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defaultThemeVersion="166925"/>
  <mc:AlternateContent xmlns:mc="http://schemas.openxmlformats.org/markup-compatibility/2006">
    <mc:Choice Requires="x15">
      <x15ac:absPath xmlns:x15ac="http://schemas.microsoft.com/office/spreadsheetml/2010/11/ac" url="C:\Users\PC_User\etymology-dictionary\data\"/>
    </mc:Choice>
  </mc:AlternateContent>
  <xr:revisionPtr revIDLastSave="0" documentId="13_ncr:1_{1BF268E0-B7E5-45E9-B6EA-B2D44EE48D2D}" xr6:coauthVersionLast="47" xr6:coauthVersionMax="47" xr10:uidLastSave="{00000000-0000-0000-0000-000000000000}"/>
  <bookViews>
    <workbookView xWindow="19090" yWindow="-8920" windowWidth="38620" windowHeight="21100" activeTab="1" xr2:uid="{00000000-000D-0000-FFFF-FFFF00000000}"/>
  </bookViews>
  <sheets>
    <sheet name="Word" sheetId="1" r:id="rId1"/>
    <sheet name="Idiom" sheetId="2" r:id="rId2"/>
  </sheets>
  <calcPr calcId="191028"/>
</workbook>
</file>

<file path=xl/calcChain.xml><?xml version="1.0" encoding="utf-8"?>
<calcChain xmlns="http://schemas.openxmlformats.org/spreadsheetml/2006/main">
  <c r="R1501" i="1" l="1"/>
  <c r="Q1501" i="1"/>
  <c r="V1492" i="1"/>
  <c r="U1492" i="1"/>
  <c r="T1492" i="1"/>
  <c r="S1492" i="1"/>
  <c r="R1492" i="1"/>
  <c r="Q1492" i="1"/>
  <c r="S1491" i="1"/>
  <c r="R1491" i="1"/>
  <c r="Q1491" i="1"/>
  <c r="R1489" i="1"/>
  <c r="Q1489" i="1"/>
  <c r="R1488" i="1"/>
  <c r="Q1488" i="1"/>
  <c r="Q1487" i="1"/>
  <c r="U1485" i="1"/>
  <c r="T1485" i="1"/>
  <c r="S1485" i="1"/>
  <c r="R1485" i="1"/>
  <c r="Q1485" i="1"/>
  <c r="Q1481" i="1"/>
  <c r="Q1480" i="1"/>
  <c r="V1479" i="1"/>
  <c r="U1479" i="1"/>
  <c r="T1479" i="1"/>
  <c r="S1479" i="1"/>
  <c r="R1479" i="1"/>
  <c r="Q1479" i="1"/>
  <c r="V1478" i="1"/>
  <c r="U1478" i="1"/>
  <c r="T1478" i="1"/>
  <c r="S1478" i="1"/>
  <c r="R1478" i="1"/>
  <c r="Q1478" i="1"/>
  <c r="Q1477" i="1"/>
  <c r="Q1474" i="1"/>
  <c r="Z1466" i="1"/>
  <c r="Y1466" i="1"/>
  <c r="X1466" i="1"/>
  <c r="W1466" i="1"/>
  <c r="V1466" i="1"/>
  <c r="U1466" i="1"/>
  <c r="T1466" i="1"/>
  <c r="S1466" i="1"/>
  <c r="R1466" i="1"/>
  <c r="Q1466" i="1"/>
  <c r="T1465" i="1"/>
  <c r="S1465" i="1"/>
  <c r="R1465" i="1"/>
  <c r="Q1465" i="1"/>
  <c r="T1463" i="1"/>
  <c r="S1463" i="1"/>
  <c r="R1463" i="1"/>
  <c r="Q1463" i="1"/>
  <c r="Q1462" i="1"/>
  <c r="T1458" i="1"/>
  <c r="S1458" i="1"/>
  <c r="R1458" i="1"/>
  <c r="Q1458" i="1"/>
  <c r="U1457" i="1"/>
  <c r="T1457" i="1"/>
  <c r="S1457" i="1"/>
  <c r="R1457" i="1"/>
  <c r="Q1457" i="1"/>
  <c r="AE1452" i="1"/>
  <c r="AD1452" i="1"/>
  <c r="AC1452" i="1"/>
  <c r="AB1452" i="1"/>
  <c r="AA1452" i="1"/>
  <c r="Z1452" i="1"/>
  <c r="Y1452" i="1"/>
  <c r="X1452" i="1"/>
  <c r="W1452" i="1"/>
  <c r="V1452" i="1"/>
  <c r="U1452" i="1"/>
  <c r="T1452" i="1"/>
  <c r="S1452" i="1"/>
  <c r="R1452" i="1"/>
  <c r="Q1452" i="1"/>
  <c r="S1451" i="1"/>
  <c r="R1451" i="1"/>
  <c r="Q1451" i="1"/>
  <c r="R1449" i="1"/>
  <c r="Q1449" i="1"/>
  <c r="X1448" i="1"/>
  <c r="W1448" i="1"/>
  <c r="V1448" i="1"/>
  <c r="U1448" i="1"/>
  <c r="T1448" i="1"/>
  <c r="S1448" i="1"/>
  <c r="R1448" i="1"/>
  <c r="Q1448" i="1"/>
  <c r="T1447" i="1"/>
  <c r="S1447" i="1"/>
  <c r="R1447" i="1"/>
  <c r="Q1447" i="1"/>
  <c r="Q1445" i="1"/>
  <c r="S1441" i="1"/>
  <c r="R1441" i="1"/>
  <c r="Q1441" i="1"/>
  <c r="T1439" i="1"/>
  <c r="S1439" i="1"/>
  <c r="R1439" i="1"/>
  <c r="Q1439" i="1"/>
  <c r="Q1438" i="1"/>
  <c r="AE1436" i="1"/>
  <c r="AD1436" i="1"/>
  <c r="AC1436" i="1"/>
  <c r="AB1436" i="1"/>
  <c r="AA1436" i="1"/>
  <c r="Z1436" i="1"/>
  <c r="Y1436" i="1"/>
  <c r="X1436" i="1"/>
  <c r="W1436" i="1"/>
  <c r="V1436" i="1"/>
  <c r="U1436" i="1"/>
  <c r="T1436" i="1"/>
  <c r="S1436" i="1"/>
  <c r="R1436" i="1"/>
  <c r="Q1436" i="1"/>
  <c r="R1433" i="1"/>
  <c r="Q1433" i="1"/>
  <c r="Q1426" i="1"/>
  <c r="S1425" i="1"/>
  <c r="R1425" i="1"/>
  <c r="Q1425" i="1"/>
  <c r="T1422" i="1"/>
  <c r="S1422" i="1"/>
  <c r="R1422" i="1"/>
  <c r="Q1422" i="1"/>
  <c r="R1421" i="1"/>
  <c r="Q1421" i="1"/>
  <c r="Z1420" i="1"/>
  <c r="Y1420" i="1"/>
  <c r="X1420" i="1"/>
  <c r="W1420" i="1"/>
  <c r="V1420" i="1"/>
  <c r="U1420" i="1"/>
  <c r="T1420" i="1"/>
  <c r="S1420" i="1"/>
  <c r="R1420" i="1"/>
  <c r="Q1420" i="1"/>
  <c r="T1419" i="1"/>
  <c r="S1419" i="1"/>
  <c r="R1419" i="1"/>
  <c r="Q1419" i="1"/>
  <c r="V1416" i="1"/>
  <c r="U1416" i="1"/>
  <c r="T1416" i="1"/>
  <c r="S1416" i="1"/>
  <c r="R1416" i="1"/>
  <c r="Q1416" i="1"/>
  <c r="Q1415" i="1"/>
  <c r="AA1413" i="1"/>
  <c r="Z1413" i="1"/>
  <c r="Y1413" i="1"/>
  <c r="X1413" i="1"/>
  <c r="W1413" i="1"/>
  <c r="V1413" i="1"/>
  <c r="U1413" i="1"/>
  <c r="T1413" i="1"/>
  <c r="S1413" i="1"/>
  <c r="R1413" i="1"/>
  <c r="Q1413" i="1"/>
  <c r="U1412" i="1"/>
  <c r="T1412" i="1"/>
  <c r="S1412" i="1"/>
  <c r="R1412" i="1"/>
  <c r="Q1412" i="1"/>
  <c r="V1410" i="1"/>
  <c r="U1410" i="1"/>
  <c r="T1410" i="1"/>
  <c r="S1410" i="1"/>
  <c r="R1410" i="1"/>
  <c r="Q1410" i="1"/>
  <c r="S1407" i="1"/>
  <c r="R1407" i="1"/>
  <c r="Q1407" i="1"/>
  <c r="U1406" i="1"/>
  <c r="T1406" i="1"/>
  <c r="S1406" i="1"/>
  <c r="R1406" i="1"/>
  <c r="Q1406" i="1"/>
  <c r="T1405" i="1"/>
  <c r="S1405" i="1"/>
  <c r="R1405" i="1"/>
  <c r="Q1405" i="1"/>
  <c r="Q1396" i="1"/>
  <c r="R1395" i="1"/>
  <c r="Q1395" i="1"/>
  <c r="S1394" i="1"/>
  <c r="R1394" i="1"/>
  <c r="Q1394" i="1"/>
  <c r="R1393" i="1"/>
  <c r="Q1393" i="1"/>
  <c r="U1392" i="1"/>
  <c r="T1392" i="1"/>
  <c r="S1392" i="1"/>
  <c r="R1392" i="1"/>
  <c r="Q1392" i="1"/>
  <c r="AE1391" i="1"/>
  <c r="AD1391" i="1"/>
  <c r="AC1391" i="1"/>
  <c r="AB1391" i="1"/>
  <c r="AA1391" i="1"/>
  <c r="Z1391" i="1"/>
  <c r="Y1391" i="1"/>
  <c r="X1391" i="1"/>
  <c r="W1391" i="1"/>
  <c r="V1391" i="1"/>
  <c r="U1391" i="1"/>
  <c r="T1391" i="1"/>
  <c r="S1391" i="1"/>
  <c r="R1391" i="1"/>
  <c r="Q1391" i="1"/>
  <c r="T1390" i="1"/>
  <c r="S1390" i="1"/>
  <c r="R1390" i="1"/>
  <c r="Q1390" i="1"/>
  <c r="X1387" i="1"/>
  <c r="W1387" i="1"/>
  <c r="V1387" i="1"/>
  <c r="U1387" i="1"/>
  <c r="T1387" i="1"/>
  <c r="S1387" i="1"/>
  <c r="R1387" i="1"/>
  <c r="Q1387" i="1"/>
  <c r="R1386" i="1"/>
  <c r="Q1386" i="1"/>
  <c r="S1385" i="1"/>
  <c r="R1385" i="1"/>
  <c r="Q1385" i="1"/>
  <c r="V1384" i="1"/>
  <c r="U1384" i="1"/>
  <c r="T1384" i="1"/>
  <c r="S1384" i="1"/>
  <c r="R1384" i="1"/>
  <c r="Q1384" i="1"/>
  <c r="Q1383" i="1"/>
  <c r="T1382" i="1"/>
  <c r="S1382" i="1"/>
  <c r="R1382" i="1"/>
  <c r="Q1382" i="1"/>
  <c r="Z1381" i="1"/>
  <c r="Y1381" i="1"/>
  <c r="X1381" i="1"/>
  <c r="W1381" i="1"/>
  <c r="V1381" i="1"/>
  <c r="U1381" i="1"/>
  <c r="T1381" i="1"/>
  <c r="S1381" i="1"/>
  <c r="R1381" i="1"/>
  <c r="Q1381" i="1"/>
  <c r="Q1380" i="1"/>
  <c r="AE1375" i="1"/>
  <c r="AD1375" i="1"/>
  <c r="AC1375" i="1"/>
  <c r="AB1375" i="1"/>
  <c r="AA1375" i="1"/>
  <c r="Z1375" i="1"/>
  <c r="Y1375" i="1"/>
  <c r="X1375" i="1"/>
  <c r="W1375" i="1"/>
  <c r="V1375" i="1"/>
  <c r="U1375" i="1"/>
  <c r="T1375" i="1"/>
  <c r="S1375" i="1"/>
  <c r="R1375" i="1"/>
  <c r="Q1375" i="1"/>
  <c r="Q1374" i="1"/>
  <c r="Z1370" i="1"/>
  <c r="Y1370" i="1"/>
  <c r="X1370" i="1"/>
  <c r="W1370" i="1"/>
  <c r="V1370" i="1"/>
  <c r="U1370" i="1"/>
  <c r="T1370" i="1"/>
  <c r="S1370" i="1"/>
  <c r="R1370" i="1"/>
  <c r="Q1370" i="1"/>
  <c r="Q1369" i="1"/>
  <c r="Q1368" i="1"/>
  <c r="W1367" i="1"/>
  <c r="V1367" i="1"/>
  <c r="U1367" i="1"/>
  <c r="T1367" i="1"/>
  <c r="S1367" i="1"/>
  <c r="R1367" i="1"/>
  <c r="Q1367" i="1"/>
  <c r="U1366" i="1"/>
  <c r="T1366" i="1"/>
  <c r="S1366" i="1"/>
  <c r="R1366" i="1"/>
  <c r="Q1366" i="1"/>
  <c r="Q1365" i="1"/>
  <c r="S1361" i="1"/>
  <c r="R1361" i="1"/>
  <c r="Q1361" i="1"/>
  <c r="T1352" i="1"/>
  <c r="S1352" i="1"/>
  <c r="R1352" i="1"/>
  <c r="Q1352" i="1"/>
  <c r="R1351" i="1"/>
  <c r="Q1351" i="1"/>
  <c r="X1348" i="1"/>
  <c r="W1348" i="1"/>
  <c r="V1348" i="1"/>
  <c r="U1348" i="1"/>
  <c r="T1348" i="1"/>
  <c r="S1348" i="1"/>
  <c r="R1348" i="1"/>
  <c r="Q1348" i="1"/>
  <c r="T1347" i="1"/>
  <c r="S1347" i="1"/>
  <c r="R1347" i="1"/>
  <c r="Q1347" i="1"/>
  <c r="R1344" i="1"/>
  <c r="Q1344" i="1"/>
  <c r="T1342" i="1"/>
  <c r="S1342" i="1"/>
  <c r="R1342" i="1"/>
  <c r="Q1342" i="1"/>
  <c r="U1341" i="1"/>
  <c r="T1341" i="1"/>
  <c r="S1341" i="1"/>
  <c r="R1341" i="1"/>
  <c r="Q1341" i="1"/>
  <c r="R1340" i="1"/>
  <c r="Q1340" i="1"/>
  <c r="V1339" i="1"/>
  <c r="U1339" i="1"/>
  <c r="T1339" i="1"/>
  <c r="S1339" i="1"/>
  <c r="R1339" i="1"/>
  <c r="Q1339" i="1"/>
  <c r="S1334" i="1"/>
  <c r="R1334" i="1"/>
  <c r="Q1334" i="1"/>
  <c r="T1333" i="1"/>
  <c r="S1333" i="1"/>
  <c r="R1333" i="1"/>
  <c r="Q1333" i="1"/>
  <c r="Q1332" i="1"/>
  <c r="U1327" i="1"/>
  <c r="T1327" i="1"/>
  <c r="S1327" i="1"/>
  <c r="R1327" i="1"/>
  <c r="Q1327" i="1"/>
  <c r="Q1326" i="1"/>
  <c r="S1325" i="1"/>
  <c r="R1325" i="1"/>
  <c r="Q1325" i="1"/>
  <c r="R1324" i="1"/>
  <c r="Q1324" i="1"/>
  <c r="U1323" i="1"/>
  <c r="T1323" i="1"/>
  <c r="S1323" i="1"/>
  <c r="R1323" i="1"/>
  <c r="Q1323" i="1"/>
  <c r="Q1321" i="1"/>
  <c r="T1317" i="1"/>
  <c r="S1317" i="1"/>
  <c r="R1317" i="1"/>
  <c r="Q1317" i="1"/>
  <c r="AE1316" i="1"/>
  <c r="AD1316" i="1"/>
  <c r="AC1316" i="1"/>
  <c r="AB1316" i="1"/>
  <c r="AA1316" i="1"/>
  <c r="Z1316" i="1"/>
  <c r="Y1316" i="1"/>
  <c r="X1316" i="1"/>
  <c r="W1316" i="1"/>
  <c r="V1316" i="1"/>
  <c r="U1316" i="1"/>
  <c r="T1316" i="1"/>
  <c r="S1316" i="1"/>
  <c r="R1316" i="1"/>
  <c r="Q1316" i="1"/>
  <c r="U1313" i="1"/>
  <c r="T1313" i="1"/>
  <c r="S1313" i="1"/>
  <c r="R1313" i="1"/>
  <c r="Q1313" i="1"/>
  <c r="V1311" i="1"/>
  <c r="U1311" i="1"/>
  <c r="T1311" i="1"/>
  <c r="S1311" i="1"/>
  <c r="R1311" i="1"/>
  <c r="Q1311" i="1"/>
  <c r="Q1310" i="1"/>
  <c r="S1309" i="1"/>
  <c r="R1309" i="1"/>
  <c r="Q1309" i="1"/>
  <c r="Q1308" i="1"/>
  <c r="S1305" i="1"/>
  <c r="R1305" i="1"/>
  <c r="Q1305" i="1"/>
  <c r="S1304" i="1"/>
  <c r="R1304" i="1"/>
  <c r="Q1304" i="1"/>
  <c r="Z1303" i="1"/>
  <c r="Y1303" i="1"/>
  <c r="X1303" i="1"/>
  <c r="W1303" i="1"/>
  <c r="V1303" i="1"/>
  <c r="U1303" i="1"/>
  <c r="T1303" i="1"/>
  <c r="S1303" i="1"/>
  <c r="R1303" i="1"/>
  <c r="Q1303" i="1"/>
  <c r="V1302" i="1"/>
  <c r="U1302" i="1"/>
  <c r="T1302" i="1"/>
  <c r="S1302" i="1"/>
  <c r="R1302" i="1"/>
  <c r="Q1302" i="1"/>
  <c r="Q1301" i="1"/>
  <c r="R1299" i="1"/>
  <c r="Q1299" i="1"/>
  <c r="T1298" i="1"/>
  <c r="S1298" i="1"/>
  <c r="R1298" i="1"/>
  <c r="Q1298" i="1"/>
  <c r="Q1295" i="1"/>
  <c r="Q1294" i="1"/>
  <c r="Q1292" i="1"/>
  <c r="X1291" i="1"/>
  <c r="W1291" i="1"/>
  <c r="V1291" i="1"/>
  <c r="U1291" i="1"/>
  <c r="T1291" i="1"/>
  <c r="S1291" i="1"/>
  <c r="R1291" i="1"/>
  <c r="Q1291" i="1"/>
  <c r="R1289" i="1"/>
  <c r="Q1289" i="1"/>
  <c r="R1286" i="1"/>
  <c r="Q1286" i="1"/>
  <c r="R1285" i="1"/>
  <c r="Q1285" i="1"/>
  <c r="S1281" i="1"/>
  <c r="R1281" i="1"/>
  <c r="Q1281" i="1"/>
  <c r="Q1279" i="1"/>
  <c r="V1278" i="1"/>
  <c r="U1278" i="1"/>
  <c r="T1278" i="1"/>
  <c r="S1278" i="1"/>
  <c r="R1278" i="1"/>
  <c r="Q1278" i="1"/>
  <c r="V1276" i="1"/>
  <c r="U1276" i="1"/>
  <c r="T1276" i="1"/>
  <c r="S1276" i="1"/>
  <c r="R1276" i="1"/>
  <c r="Q1276" i="1"/>
  <c r="W1275" i="1"/>
  <c r="V1275" i="1"/>
  <c r="U1275" i="1"/>
  <c r="T1275" i="1"/>
  <c r="S1275" i="1"/>
  <c r="R1275" i="1"/>
  <c r="Q1275" i="1"/>
  <c r="Q1274" i="1"/>
  <c r="V1273" i="1"/>
  <c r="U1273" i="1"/>
  <c r="T1273" i="1"/>
  <c r="S1273" i="1"/>
  <c r="R1273" i="1"/>
  <c r="Q1273" i="1"/>
  <c r="T1272" i="1"/>
  <c r="S1272" i="1"/>
  <c r="R1272" i="1"/>
  <c r="Q1272" i="1"/>
  <c r="Q1269" i="1"/>
  <c r="R1268" i="1"/>
  <c r="Q1268" i="1"/>
  <c r="R1267" i="1"/>
  <c r="Q1267" i="1"/>
  <c r="T1265" i="1"/>
  <c r="S1265" i="1"/>
  <c r="R1265" i="1"/>
  <c r="Q1265" i="1"/>
  <c r="W1264" i="1"/>
  <c r="V1264" i="1"/>
  <c r="U1264" i="1"/>
  <c r="T1264" i="1"/>
  <c r="S1264" i="1"/>
  <c r="R1264" i="1"/>
  <c r="Q1264" i="1"/>
  <c r="U1263" i="1"/>
  <c r="T1263" i="1"/>
  <c r="S1263" i="1"/>
  <c r="R1263" i="1"/>
  <c r="Q1263" i="1"/>
  <c r="Z1258" i="1"/>
  <c r="Y1258" i="1"/>
  <c r="X1258" i="1"/>
  <c r="W1258" i="1"/>
  <c r="V1258" i="1"/>
  <c r="U1258" i="1"/>
  <c r="T1258" i="1"/>
  <c r="S1258" i="1"/>
  <c r="R1258" i="1"/>
  <c r="Q1258" i="1"/>
  <c r="U1255" i="1"/>
  <c r="T1255" i="1"/>
  <c r="S1255" i="1"/>
  <c r="R1255" i="1"/>
  <c r="Q1255" i="1"/>
  <c r="R1253" i="1"/>
  <c r="Q1253" i="1"/>
  <c r="S1252" i="1"/>
  <c r="R1252" i="1"/>
  <c r="Q1252" i="1"/>
  <c r="V1247" i="1"/>
  <c r="U1247" i="1"/>
  <c r="T1247" i="1"/>
  <c r="S1247" i="1"/>
  <c r="R1247" i="1"/>
  <c r="Q1247" i="1"/>
  <c r="AB1246" i="1"/>
  <c r="AA1246" i="1"/>
  <c r="Z1246" i="1"/>
  <c r="Y1246" i="1"/>
  <c r="X1246" i="1"/>
  <c r="W1246" i="1"/>
  <c r="V1246" i="1"/>
  <c r="U1246" i="1"/>
  <c r="T1246" i="1"/>
  <c r="S1246" i="1"/>
  <c r="R1246" i="1"/>
  <c r="Q1246" i="1"/>
  <c r="Q1245" i="1"/>
  <c r="S1244" i="1"/>
  <c r="R1244" i="1"/>
  <c r="Q1244" i="1"/>
  <c r="S1243" i="1"/>
  <c r="R1243" i="1"/>
  <c r="Q1243" i="1"/>
  <c r="Q1241" i="1"/>
  <c r="S1240" i="1"/>
  <c r="R1240" i="1"/>
  <c r="Q1240" i="1"/>
  <c r="U1239" i="1"/>
  <c r="T1239" i="1"/>
  <c r="S1239" i="1"/>
  <c r="R1239" i="1"/>
  <c r="Q1239" i="1"/>
  <c r="W1238" i="1"/>
  <c r="V1238" i="1"/>
  <c r="U1238" i="1"/>
  <c r="T1238" i="1"/>
  <c r="S1238" i="1"/>
  <c r="R1238" i="1"/>
  <c r="Q1238" i="1"/>
  <c r="U1233" i="1"/>
  <c r="T1233" i="1"/>
  <c r="S1233" i="1"/>
  <c r="R1233" i="1"/>
  <c r="Q1233" i="1"/>
  <c r="W1232" i="1"/>
  <c r="V1232" i="1"/>
  <c r="U1232" i="1"/>
  <c r="T1232" i="1"/>
  <c r="S1232" i="1"/>
  <c r="R1232" i="1"/>
  <c r="Q1232" i="1"/>
  <c r="V1229" i="1"/>
  <c r="U1229" i="1"/>
  <c r="T1229" i="1"/>
  <c r="S1229" i="1"/>
  <c r="R1229" i="1"/>
  <c r="Q1229" i="1"/>
  <c r="S1226" i="1"/>
  <c r="R1226" i="1"/>
  <c r="Q1226" i="1"/>
  <c r="R1219" i="1"/>
  <c r="Q1219" i="1"/>
  <c r="Q1218" i="1"/>
  <c r="Q1216" i="1"/>
  <c r="R1215" i="1"/>
  <c r="Q1215" i="1"/>
  <c r="Q1211" i="1"/>
  <c r="Q1207" i="1"/>
  <c r="V1205" i="1"/>
  <c r="U1205" i="1"/>
  <c r="T1205" i="1"/>
  <c r="S1205" i="1"/>
  <c r="R1205" i="1"/>
  <c r="Q1205" i="1"/>
  <c r="S1203" i="1"/>
  <c r="R1203" i="1"/>
  <c r="Q1203" i="1"/>
  <c r="X1202" i="1"/>
  <c r="W1202" i="1"/>
  <c r="V1202" i="1"/>
  <c r="U1202" i="1"/>
  <c r="T1202" i="1"/>
  <c r="S1202" i="1"/>
  <c r="R1202" i="1"/>
  <c r="Q1202" i="1"/>
  <c r="R1201" i="1"/>
  <c r="Q1201" i="1"/>
  <c r="V1198" i="1"/>
  <c r="U1198" i="1"/>
  <c r="T1198" i="1"/>
  <c r="S1198" i="1"/>
  <c r="R1198" i="1"/>
  <c r="Q1198" i="1"/>
  <c r="R1195" i="1"/>
  <c r="Q1195" i="1"/>
  <c r="R1191" i="1"/>
  <c r="Q1191" i="1"/>
  <c r="X1190" i="1"/>
  <c r="W1190" i="1"/>
  <c r="V1190" i="1"/>
  <c r="U1190" i="1"/>
  <c r="T1190" i="1"/>
  <c r="S1190" i="1"/>
  <c r="R1190" i="1"/>
  <c r="Q1190" i="1"/>
  <c r="Z1189" i="1"/>
  <c r="Y1189" i="1"/>
  <c r="X1189" i="1"/>
  <c r="W1189" i="1"/>
  <c r="V1189" i="1"/>
  <c r="U1189" i="1"/>
  <c r="T1189" i="1"/>
  <c r="S1189" i="1"/>
  <c r="R1189" i="1"/>
  <c r="Q1189" i="1"/>
  <c r="V1188" i="1"/>
  <c r="U1188" i="1"/>
  <c r="T1188" i="1"/>
  <c r="S1188" i="1"/>
  <c r="R1188" i="1"/>
  <c r="Q1188" i="1"/>
  <c r="S1187" i="1"/>
  <c r="R1187" i="1"/>
  <c r="Q1187" i="1"/>
  <c r="Z1185" i="1"/>
  <c r="Y1185" i="1"/>
  <c r="X1185" i="1"/>
  <c r="W1185" i="1"/>
  <c r="V1185" i="1"/>
  <c r="U1185" i="1"/>
  <c r="T1185" i="1"/>
  <c r="S1185" i="1"/>
  <c r="R1185" i="1"/>
  <c r="Q1185" i="1"/>
  <c r="V1184" i="1"/>
  <c r="U1184" i="1"/>
  <c r="T1184" i="1"/>
  <c r="S1184" i="1"/>
  <c r="R1184" i="1"/>
  <c r="Q1184" i="1"/>
  <c r="Q1183" i="1"/>
  <c r="S1181" i="1"/>
  <c r="R1181" i="1"/>
  <c r="Q1181" i="1"/>
  <c r="Q1176" i="1"/>
  <c r="V1173" i="1"/>
  <c r="U1173" i="1"/>
  <c r="T1173" i="1"/>
  <c r="S1173" i="1"/>
  <c r="R1173" i="1"/>
  <c r="Q1173" i="1"/>
  <c r="Z1172" i="1"/>
  <c r="Y1172" i="1"/>
  <c r="X1172" i="1"/>
  <c r="W1172" i="1"/>
  <c r="V1172" i="1"/>
  <c r="U1172" i="1"/>
  <c r="T1172" i="1"/>
  <c r="S1172" i="1"/>
  <c r="R1172" i="1"/>
  <c r="Q1172" i="1"/>
  <c r="T1171" i="1"/>
  <c r="S1171" i="1"/>
  <c r="R1171" i="1"/>
  <c r="Q1171" i="1"/>
  <c r="Q1170" i="1"/>
  <c r="U1168" i="1"/>
  <c r="T1168" i="1"/>
  <c r="S1168" i="1"/>
  <c r="R1168" i="1"/>
  <c r="Q1168" i="1"/>
  <c r="Q1167" i="1"/>
  <c r="Z1164" i="1"/>
  <c r="Y1164" i="1"/>
  <c r="X1164" i="1"/>
  <c r="W1164" i="1"/>
  <c r="V1164" i="1"/>
  <c r="U1164" i="1"/>
  <c r="T1164" i="1"/>
  <c r="S1164" i="1"/>
  <c r="R1164" i="1"/>
  <c r="Q1164" i="1"/>
  <c r="R1163" i="1"/>
  <c r="Q1163" i="1"/>
  <c r="Q1161" i="1"/>
  <c r="Q1160" i="1"/>
  <c r="U1159" i="1"/>
  <c r="T1159" i="1"/>
  <c r="S1159" i="1"/>
  <c r="R1159" i="1"/>
  <c r="Q1159" i="1"/>
  <c r="V1157" i="1"/>
  <c r="U1157" i="1"/>
  <c r="T1157" i="1"/>
  <c r="S1157" i="1"/>
  <c r="R1157" i="1"/>
  <c r="Q1157" i="1"/>
  <c r="Q1155" i="1"/>
  <c r="V1154" i="1"/>
  <c r="U1154" i="1"/>
  <c r="T1154" i="1"/>
  <c r="S1154" i="1"/>
  <c r="R1154" i="1"/>
  <c r="Q1154" i="1"/>
  <c r="AE1153" i="1"/>
  <c r="AD1153" i="1"/>
  <c r="AC1153" i="1"/>
  <c r="AB1153" i="1"/>
  <c r="AA1153" i="1"/>
  <c r="Z1153" i="1"/>
  <c r="Y1153" i="1"/>
  <c r="X1153" i="1"/>
  <c r="W1153" i="1"/>
  <c r="V1153" i="1"/>
  <c r="U1153" i="1"/>
  <c r="T1153" i="1"/>
  <c r="S1153" i="1"/>
  <c r="R1153" i="1"/>
  <c r="Q1153" i="1"/>
  <c r="R1151" i="1"/>
  <c r="Q1151" i="1"/>
  <c r="AE1150" i="1"/>
  <c r="AD1150" i="1"/>
  <c r="AC1150" i="1"/>
  <c r="AB1150" i="1"/>
  <c r="AA1150" i="1"/>
  <c r="Z1150" i="1"/>
  <c r="Y1150" i="1"/>
  <c r="X1150" i="1"/>
  <c r="W1150" i="1"/>
  <c r="V1150" i="1"/>
  <c r="U1150" i="1"/>
  <c r="T1150" i="1"/>
  <c r="S1150" i="1"/>
  <c r="R1150" i="1"/>
  <c r="Q1150" i="1"/>
  <c r="R1147" i="1"/>
  <c r="Q1147" i="1"/>
  <c r="U1146" i="1"/>
  <c r="T1146" i="1"/>
  <c r="S1146" i="1"/>
  <c r="R1146" i="1"/>
  <c r="Q1146" i="1"/>
  <c r="Q1145" i="1"/>
  <c r="R1144" i="1"/>
  <c r="Q1144" i="1"/>
  <c r="Q1142" i="1"/>
  <c r="Q1140" i="1"/>
  <c r="T1139" i="1"/>
  <c r="S1139" i="1"/>
  <c r="R1139" i="1"/>
  <c r="Q1139" i="1"/>
  <c r="X1138" i="1"/>
  <c r="W1138" i="1"/>
  <c r="V1138" i="1"/>
  <c r="U1138" i="1"/>
  <c r="T1138" i="1"/>
  <c r="S1138" i="1"/>
  <c r="R1138" i="1"/>
  <c r="Q1138" i="1"/>
  <c r="T1137" i="1"/>
  <c r="S1137" i="1"/>
  <c r="R1137" i="1"/>
  <c r="Q1137" i="1"/>
  <c r="Z1136" i="1"/>
  <c r="Y1136" i="1"/>
  <c r="X1136" i="1"/>
  <c r="W1136" i="1"/>
  <c r="V1136" i="1"/>
  <c r="U1136" i="1"/>
  <c r="T1136" i="1"/>
  <c r="S1136" i="1"/>
  <c r="R1136" i="1"/>
  <c r="Q1136" i="1"/>
  <c r="AE1135" i="1"/>
  <c r="AD1135" i="1"/>
  <c r="AC1135" i="1"/>
  <c r="AB1135" i="1"/>
  <c r="AA1135" i="1"/>
  <c r="Z1135" i="1"/>
  <c r="Y1135" i="1"/>
  <c r="X1135" i="1"/>
  <c r="W1135" i="1"/>
  <c r="V1135" i="1"/>
  <c r="U1135" i="1"/>
  <c r="T1135" i="1"/>
  <c r="S1135" i="1"/>
  <c r="R1135" i="1"/>
  <c r="Q1135" i="1"/>
  <c r="R1133" i="1"/>
  <c r="Q1133" i="1"/>
  <c r="AE1130" i="1"/>
  <c r="AD1130" i="1"/>
  <c r="AC1130" i="1"/>
  <c r="AB1130" i="1"/>
  <c r="AA1130" i="1"/>
  <c r="Z1130" i="1"/>
  <c r="Y1130" i="1"/>
  <c r="X1130" i="1"/>
  <c r="W1130" i="1"/>
  <c r="V1130" i="1"/>
  <c r="U1130" i="1"/>
  <c r="T1130" i="1"/>
  <c r="S1130" i="1"/>
  <c r="R1130" i="1"/>
  <c r="Q1130" i="1"/>
  <c r="Q1123" i="1"/>
  <c r="R1122" i="1"/>
  <c r="Q1122" i="1"/>
  <c r="Q1121" i="1"/>
  <c r="U1120" i="1"/>
  <c r="T1120" i="1"/>
  <c r="S1120" i="1"/>
  <c r="R1120" i="1"/>
  <c r="Q1120" i="1"/>
  <c r="T1115" i="1"/>
  <c r="S1115" i="1"/>
  <c r="R1115" i="1"/>
  <c r="Q1115" i="1"/>
  <c r="R1114" i="1"/>
  <c r="Q1114" i="1"/>
  <c r="Q1113" i="1"/>
  <c r="R1112" i="1"/>
  <c r="Q1112" i="1"/>
  <c r="R1111" i="1"/>
  <c r="Q1111" i="1"/>
  <c r="S1108" i="1"/>
  <c r="R1108" i="1"/>
  <c r="Q1108" i="1"/>
  <c r="Q1106" i="1"/>
  <c r="R1103" i="1"/>
  <c r="Q1103" i="1"/>
  <c r="Z1102" i="1"/>
  <c r="Y1102" i="1"/>
  <c r="X1102" i="1"/>
  <c r="W1102" i="1"/>
  <c r="V1102" i="1"/>
  <c r="U1102" i="1"/>
  <c r="T1102" i="1"/>
  <c r="S1102" i="1"/>
  <c r="R1102" i="1"/>
  <c r="Q1102" i="1"/>
  <c r="Z1101" i="1"/>
  <c r="Y1101" i="1"/>
  <c r="X1101" i="1"/>
  <c r="W1101" i="1"/>
  <c r="V1101" i="1"/>
  <c r="U1101" i="1"/>
  <c r="T1101" i="1"/>
  <c r="S1101" i="1"/>
  <c r="R1101" i="1"/>
  <c r="Q1101" i="1"/>
  <c r="S1100" i="1"/>
  <c r="R1100" i="1"/>
  <c r="Q1100" i="1"/>
  <c r="Q1099" i="1"/>
  <c r="S1098" i="1"/>
  <c r="R1098" i="1"/>
  <c r="Q1098" i="1"/>
  <c r="S1097" i="1"/>
  <c r="R1097" i="1"/>
  <c r="Q1097" i="1"/>
  <c r="X1096" i="1"/>
  <c r="W1096" i="1"/>
  <c r="V1096" i="1"/>
  <c r="U1096" i="1"/>
  <c r="T1096" i="1"/>
  <c r="S1096" i="1"/>
  <c r="R1096" i="1"/>
  <c r="Q1096" i="1"/>
  <c r="R1093" i="1"/>
  <c r="Q1093" i="1"/>
  <c r="X1092" i="1"/>
  <c r="W1092" i="1"/>
  <c r="V1092" i="1"/>
  <c r="U1092" i="1"/>
  <c r="T1092" i="1"/>
  <c r="S1092" i="1"/>
  <c r="R1092" i="1"/>
  <c r="Q1092" i="1"/>
  <c r="T1090" i="1"/>
  <c r="S1090" i="1"/>
  <c r="R1090" i="1"/>
  <c r="Q1090" i="1"/>
  <c r="U1083" i="1"/>
  <c r="T1083" i="1"/>
  <c r="S1083" i="1"/>
  <c r="R1083" i="1"/>
  <c r="Q1083" i="1"/>
  <c r="U1081" i="1"/>
  <c r="T1081" i="1"/>
  <c r="S1081" i="1"/>
  <c r="R1081" i="1"/>
  <c r="Q1081" i="1"/>
  <c r="Q1079" i="1"/>
  <c r="T1078" i="1"/>
  <c r="S1078" i="1"/>
  <c r="R1078" i="1"/>
  <c r="Q1078" i="1"/>
  <c r="T1077" i="1"/>
  <c r="S1077" i="1"/>
  <c r="R1077" i="1"/>
  <c r="Q1077" i="1"/>
  <c r="S1074" i="1"/>
  <c r="R1074" i="1"/>
  <c r="Q1074" i="1"/>
  <c r="V1065" i="1"/>
  <c r="U1065" i="1"/>
  <c r="T1065" i="1"/>
  <c r="S1065" i="1"/>
  <c r="R1065" i="1"/>
  <c r="Q1065" i="1"/>
  <c r="X1062" i="1"/>
  <c r="W1062" i="1"/>
  <c r="V1062" i="1"/>
  <c r="U1062" i="1"/>
  <c r="T1062" i="1"/>
  <c r="S1062" i="1"/>
  <c r="R1062" i="1"/>
  <c r="Q1062" i="1"/>
  <c r="T1061" i="1"/>
  <c r="S1061" i="1"/>
  <c r="R1061" i="1"/>
  <c r="Q1061" i="1"/>
  <c r="Y1060" i="1"/>
  <c r="X1060" i="1"/>
  <c r="W1060" i="1"/>
  <c r="V1060" i="1"/>
  <c r="U1060" i="1"/>
  <c r="T1060" i="1"/>
  <c r="S1060" i="1"/>
  <c r="R1060" i="1"/>
  <c r="Q1060" i="1"/>
  <c r="Q1059" i="1"/>
  <c r="Q1057" i="1"/>
  <c r="Q1056" i="1"/>
  <c r="S1054" i="1"/>
  <c r="R1054" i="1"/>
  <c r="Q1054" i="1"/>
  <c r="Q1051" i="1"/>
  <c r="U1049" i="1"/>
  <c r="T1049" i="1"/>
  <c r="S1049" i="1"/>
  <c r="R1049" i="1"/>
  <c r="Q1049" i="1"/>
  <c r="V1047" i="1"/>
  <c r="U1047" i="1"/>
  <c r="T1047" i="1"/>
  <c r="S1047" i="1"/>
  <c r="R1047" i="1"/>
  <c r="Q1047" i="1"/>
  <c r="U1046" i="1"/>
  <c r="T1046" i="1"/>
  <c r="S1046" i="1"/>
  <c r="R1046" i="1"/>
  <c r="Q1046" i="1"/>
  <c r="Q1045" i="1"/>
  <c r="Q1043" i="1"/>
  <c r="T1042" i="1"/>
  <c r="S1042" i="1"/>
  <c r="R1042" i="1"/>
  <c r="Q1042" i="1"/>
  <c r="V1040" i="1"/>
  <c r="U1040" i="1"/>
  <c r="T1040" i="1"/>
  <c r="S1040" i="1"/>
  <c r="R1040" i="1"/>
  <c r="Q1040" i="1"/>
  <c r="U1039" i="1"/>
  <c r="T1039" i="1"/>
  <c r="S1039" i="1"/>
  <c r="R1039" i="1"/>
  <c r="Q1039" i="1"/>
  <c r="W1037" i="1"/>
  <c r="V1037" i="1"/>
  <c r="U1037" i="1"/>
  <c r="T1037" i="1"/>
  <c r="S1037" i="1"/>
  <c r="R1037" i="1"/>
  <c r="Q1037" i="1"/>
  <c r="Q1033" i="1"/>
  <c r="U1029" i="1"/>
  <c r="T1029" i="1"/>
  <c r="S1029" i="1"/>
  <c r="R1029" i="1"/>
  <c r="Q1029" i="1"/>
  <c r="Q1024" i="1"/>
  <c r="Q1023" i="1"/>
  <c r="S1022" i="1"/>
  <c r="R1022" i="1"/>
  <c r="Q1022" i="1"/>
  <c r="T1021" i="1"/>
  <c r="S1021" i="1"/>
  <c r="R1021" i="1"/>
  <c r="Q1021" i="1"/>
  <c r="T1019" i="1"/>
  <c r="S1019" i="1"/>
  <c r="R1019" i="1"/>
  <c r="Q1019" i="1"/>
  <c r="T1016" i="1"/>
  <c r="S1016" i="1"/>
  <c r="R1016" i="1"/>
  <c r="Q1016" i="1"/>
  <c r="Q1011" i="1"/>
  <c r="R1010" i="1"/>
  <c r="Q1010" i="1"/>
  <c r="Q1009" i="1"/>
  <c r="AU1005" i="1"/>
  <c r="AT1005" i="1"/>
  <c r="AS1005" i="1"/>
  <c r="AR1005" i="1"/>
  <c r="AQ1005" i="1"/>
  <c r="AP1005" i="1"/>
  <c r="AO1005" i="1"/>
  <c r="AN1005" i="1"/>
  <c r="AM1005" i="1"/>
  <c r="AL1005" i="1"/>
  <c r="AK1005" i="1"/>
  <c r="AJ1005" i="1"/>
  <c r="AI1005" i="1"/>
  <c r="AH1005" i="1"/>
  <c r="AG1005" i="1"/>
  <c r="AF1005" i="1"/>
  <c r="AE1005" i="1"/>
  <c r="AD1005" i="1"/>
  <c r="AC1005" i="1"/>
  <c r="AB1005" i="1"/>
  <c r="AA1005" i="1"/>
  <c r="Z1005" i="1"/>
  <c r="Y1005" i="1"/>
  <c r="X1005" i="1"/>
  <c r="W1005" i="1"/>
  <c r="V1005" i="1"/>
  <c r="U1005" i="1"/>
  <c r="T1005" i="1"/>
  <c r="S1005" i="1"/>
  <c r="R1005" i="1"/>
  <c r="Q1005" i="1"/>
  <c r="R1003" i="1"/>
  <c r="Q1003" i="1"/>
  <c r="Q1001" i="1"/>
  <c r="U999" i="1"/>
  <c r="T999" i="1"/>
  <c r="S999" i="1"/>
  <c r="R999" i="1"/>
  <c r="Q999" i="1"/>
  <c r="Q998" i="1"/>
  <c r="Q997" i="1"/>
  <c r="T993" i="1"/>
  <c r="S993" i="1"/>
  <c r="R993" i="1"/>
  <c r="Q993" i="1"/>
  <c r="S991" i="1"/>
  <c r="R991" i="1"/>
  <c r="Q991" i="1"/>
  <c r="S990" i="1"/>
  <c r="R990" i="1"/>
  <c r="Q990" i="1"/>
  <c r="U989" i="1"/>
  <c r="T989" i="1"/>
  <c r="S989" i="1"/>
  <c r="R989" i="1"/>
  <c r="Q989" i="1"/>
  <c r="U986" i="1"/>
  <c r="T986" i="1"/>
  <c r="S986" i="1"/>
  <c r="R986" i="1"/>
  <c r="Q986" i="1"/>
  <c r="R984" i="1"/>
  <c r="Q984" i="1"/>
  <c r="W983" i="1"/>
  <c r="V983" i="1"/>
  <c r="U983" i="1"/>
  <c r="T983" i="1"/>
  <c r="S983" i="1"/>
  <c r="R983" i="1"/>
  <c r="Q983" i="1"/>
  <c r="R982" i="1"/>
  <c r="Q982" i="1"/>
  <c r="S979" i="1"/>
  <c r="R979" i="1"/>
  <c r="Q979" i="1"/>
  <c r="R976" i="1"/>
  <c r="Q976" i="1"/>
  <c r="Q974" i="1"/>
  <c r="V973" i="1"/>
  <c r="U973" i="1"/>
  <c r="T973" i="1"/>
  <c r="S973" i="1"/>
  <c r="R973" i="1"/>
  <c r="Q973" i="1"/>
  <c r="Q972" i="1"/>
  <c r="Q971" i="1"/>
  <c r="AA970" i="1"/>
  <c r="Z970" i="1"/>
  <c r="Y970" i="1"/>
  <c r="X970" i="1"/>
  <c r="W970" i="1"/>
  <c r="V970" i="1"/>
  <c r="U970" i="1"/>
  <c r="T970" i="1"/>
  <c r="S970" i="1"/>
  <c r="R970" i="1"/>
  <c r="Q970" i="1"/>
  <c r="R968" i="1"/>
  <c r="Q968" i="1"/>
  <c r="R966" i="1"/>
  <c r="Q966" i="1"/>
  <c r="S965" i="1"/>
  <c r="R965" i="1"/>
  <c r="Q965" i="1"/>
  <c r="Q964" i="1"/>
  <c r="R960" i="1"/>
  <c r="Q960" i="1"/>
  <c r="R958" i="1"/>
  <c r="Q958" i="1"/>
  <c r="Q957" i="1"/>
  <c r="Q955" i="1"/>
  <c r="S953" i="1"/>
  <c r="R953" i="1"/>
  <c r="Q953" i="1"/>
  <c r="V946" i="1"/>
  <c r="U946" i="1"/>
  <c r="T946" i="1"/>
  <c r="S946" i="1"/>
  <c r="R946" i="1"/>
  <c r="Q946" i="1"/>
  <c r="Q945" i="1"/>
  <c r="Q944" i="1"/>
  <c r="W943" i="1"/>
  <c r="V943" i="1"/>
  <c r="U943" i="1"/>
  <c r="T943" i="1"/>
  <c r="S943" i="1"/>
  <c r="R943" i="1"/>
  <c r="Q943" i="1"/>
  <c r="R942" i="1"/>
  <c r="Q942" i="1"/>
  <c r="Q938" i="1"/>
  <c r="Z937" i="1"/>
  <c r="Y937" i="1"/>
  <c r="X937" i="1"/>
  <c r="W937" i="1"/>
  <c r="V937" i="1"/>
  <c r="U937" i="1"/>
  <c r="T937" i="1"/>
  <c r="S937" i="1"/>
  <c r="R937" i="1"/>
  <c r="Q937" i="1"/>
  <c r="U929" i="1"/>
  <c r="T929" i="1"/>
  <c r="S929" i="1"/>
  <c r="R929" i="1"/>
  <c r="Q929" i="1"/>
  <c r="Q928" i="1"/>
  <c r="R925" i="1"/>
  <c r="Q925" i="1"/>
  <c r="V924" i="1"/>
  <c r="U924" i="1"/>
  <c r="T924" i="1"/>
  <c r="S924" i="1"/>
  <c r="R924" i="1"/>
  <c r="Q924" i="1"/>
  <c r="Q923" i="1"/>
  <c r="S922" i="1"/>
  <c r="R922" i="1"/>
  <c r="Q922" i="1"/>
  <c r="V920" i="1"/>
  <c r="U920" i="1"/>
  <c r="T920" i="1"/>
  <c r="S920" i="1"/>
  <c r="R920" i="1"/>
  <c r="Q920" i="1"/>
  <c r="U918" i="1"/>
  <c r="T918" i="1"/>
  <c r="S918" i="1"/>
  <c r="R918" i="1"/>
  <c r="Q918" i="1"/>
  <c r="V917" i="1"/>
  <c r="U917" i="1"/>
  <c r="T917" i="1"/>
  <c r="S917" i="1"/>
  <c r="R917" i="1"/>
  <c r="Q917" i="1"/>
  <c r="R916" i="1"/>
  <c r="Q916" i="1"/>
  <c r="AE914" i="1"/>
  <c r="AD914" i="1"/>
  <c r="AC914" i="1"/>
  <c r="AB914" i="1"/>
  <c r="AA914" i="1"/>
  <c r="Z914" i="1"/>
  <c r="Y914" i="1"/>
  <c r="X914" i="1"/>
  <c r="W914" i="1"/>
  <c r="V914" i="1"/>
  <c r="U914" i="1"/>
  <c r="T914" i="1"/>
  <c r="S914" i="1"/>
  <c r="R914" i="1"/>
  <c r="Q914" i="1"/>
  <c r="Q912" i="1"/>
  <c r="AG911" i="1"/>
  <c r="AF911" i="1"/>
  <c r="AE911" i="1"/>
  <c r="AD911" i="1"/>
  <c r="AC911" i="1"/>
  <c r="AB911" i="1"/>
  <c r="AA911" i="1"/>
  <c r="Z911" i="1"/>
  <c r="Y911" i="1"/>
  <c r="X911" i="1"/>
  <c r="W911" i="1"/>
  <c r="V911" i="1"/>
  <c r="U911" i="1"/>
  <c r="T911" i="1"/>
  <c r="S911" i="1"/>
  <c r="R911" i="1"/>
  <c r="Q911" i="1"/>
  <c r="U909" i="1"/>
  <c r="T909" i="1"/>
  <c r="S909" i="1"/>
  <c r="R909" i="1"/>
  <c r="Q909" i="1"/>
  <c r="T903" i="1"/>
  <c r="S903" i="1"/>
  <c r="R903" i="1"/>
  <c r="Q903" i="1"/>
  <c r="Q901" i="1"/>
  <c r="AE899" i="1"/>
  <c r="AD899" i="1"/>
  <c r="AC899" i="1"/>
  <c r="AB899" i="1"/>
  <c r="AA899" i="1"/>
  <c r="Z899" i="1"/>
  <c r="Y899" i="1"/>
  <c r="X899" i="1"/>
  <c r="W899" i="1"/>
  <c r="V899" i="1"/>
  <c r="U899" i="1"/>
  <c r="T899" i="1"/>
  <c r="S899" i="1"/>
  <c r="R899" i="1"/>
  <c r="Q899" i="1"/>
  <c r="S898" i="1"/>
  <c r="R898" i="1"/>
  <c r="Q898" i="1"/>
  <c r="X896" i="1"/>
  <c r="W896" i="1"/>
  <c r="V896" i="1"/>
  <c r="U896" i="1"/>
  <c r="T896" i="1"/>
  <c r="S896" i="1"/>
  <c r="R896" i="1"/>
  <c r="Q896" i="1"/>
  <c r="S894" i="1"/>
  <c r="R894" i="1"/>
  <c r="Q894" i="1"/>
  <c r="AE892" i="1"/>
  <c r="AD892" i="1"/>
  <c r="AC892" i="1"/>
  <c r="AB892" i="1"/>
  <c r="AA892" i="1"/>
  <c r="Z892" i="1"/>
  <c r="Y892" i="1"/>
  <c r="X892" i="1"/>
  <c r="W892" i="1"/>
  <c r="V892" i="1"/>
  <c r="U892" i="1"/>
  <c r="T892" i="1"/>
  <c r="S892" i="1"/>
  <c r="R892" i="1"/>
  <c r="Q892" i="1"/>
  <c r="V890" i="1"/>
  <c r="U890" i="1"/>
  <c r="T890" i="1"/>
  <c r="S890" i="1"/>
  <c r="R890" i="1"/>
  <c r="Q890" i="1"/>
  <c r="X889" i="1"/>
  <c r="W889" i="1"/>
  <c r="V889" i="1"/>
  <c r="U889" i="1"/>
  <c r="T889" i="1"/>
  <c r="S889" i="1"/>
  <c r="R889" i="1"/>
  <c r="Q889" i="1"/>
  <c r="Q887" i="1"/>
  <c r="S882" i="1"/>
  <c r="R882" i="1"/>
  <c r="Q882" i="1"/>
  <c r="X881" i="1"/>
  <c r="W881" i="1"/>
  <c r="V881" i="1"/>
  <c r="U881" i="1"/>
  <c r="T881" i="1"/>
  <c r="S881" i="1"/>
  <c r="R881" i="1"/>
  <c r="Q881" i="1"/>
  <c r="R880" i="1"/>
  <c r="Q880" i="1"/>
  <c r="S879" i="1"/>
  <c r="R879" i="1"/>
  <c r="Q879" i="1"/>
  <c r="T878" i="1"/>
  <c r="S878" i="1"/>
  <c r="R878" i="1"/>
  <c r="Q878" i="1"/>
  <c r="T871" i="1"/>
  <c r="S871" i="1"/>
  <c r="R871" i="1"/>
  <c r="Q871" i="1"/>
  <c r="V870" i="1"/>
  <c r="U870" i="1"/>
  <c r="T870" i="1"/>
  <c r="S870" i="1"/>
  <c r="R870" i="1"/>
  <c r="Q870" i="1"/>
  <c r="Q867" i="1"/>
  <c r="R866" i="1"/>
  <c r="Q866" i="1"/>
  <c r="AE862" i="1"/>
  <c r="AD862" i="1"/>
  <c r="AC862" i="1"/>
  <c r="AB862" i="1"/>
  <c r="AA862" i="1"/>
  <c r="Z862" i="1"/>
  <c r="Y862" i="1"/>
  <c r="X862" i="1"/>
  <c r="W862" i="1"/>
  <c r="V862" i="1"/>
  <c r="U862" i="1"/>
  <c r="T862" i="1"/>
  <c r="S862" i="1"/>
  <c r="R862" i="1"/>
  <c r="Q862" i="1"/>
  <c r="Z861" i="1"/>
  <c r="Y861" i="1"/>
  <c r="X861" i="1"/>
  <c r="W861" i="1"/>
  <c r="V861" i="1"/>
  <c r="U861" i="1"/>
  <c r="T861" i="1"/>
  <c r="S861" i="1"/>
  <c r="R861" i="1"/>
  <c r="Q861" i="1"/>
  <c r="T859" i="1"/>
  <c r="S859" i="1"/>
  <c r="R859" i="1"/>
  <c r="Q859" i="1"/>
  <c r="R858" i="1"/>
  <c r="Q858" i="1"/>
  <c r="U857" i="1"/>
  <c r="T857" i="1"/>
  <c r="S857" i="1"/>
  <c r="R857" i="1"/>
  <c r="Q857" i="1"/>
  <c r="U853" i="1"/>
  <c r="T853" i="1"/>
  <c r="S853" i="1"/>
  <c r="R853" i="1"/>
  <c r="Q853" i="1"/>
  <c r="Q852" i="1"/>
  <c r="T850" i="1"/>
  <c r="S850" i="1"/>
  <c r="R850" i="1"/>
  <c r="Q850" i="1"/>
  <c r="Q849" i="1"/>
  <c r="Q847" i="1"/>
  <c r="U845" i="1"/>
  <c r="T845" i="1"/>
  <c r="S845" i="1"/>
  <c r="R845" i="1"/>
  <c r="Q845" i="1"/>
  <c r="T844" i="1"/>
  <c r="S844" i="1"/>
  <c r="R844" i="1"/>
  <c r="Q844" i="1"/>
  <c r="S842" i="1"/>
  <c r="R842" i="1"/>
  <c r="Q842" i="1"/>
  <c r="V841" i="1"/>
  <c r="U841" i="1"/>
  <c r="T841" i="1"/>
  <c r="S841" i="1"/>
  <c r="R841" i="1"/>
  <c r="Q841" i="1"/>
  <c r="U840" i="1"/>
  <c r="T840" i="1"/>
  <c r="S840" i="1"/>
  <c r="R840" i="1"/>
  <c r="Q840" i="1"/>
  <c r="Q838" i="1"/>
  <c r="Q835" i="1"/>
  <c r="AE834" i="1"/>
  <c r="AD834" i="1"/>
  <c r="AC834" i="1"/>
  <c r="AB834" i="1"/>
  <c r="AA834" i="1"/>
  <c r="Z834" i="1"/>
  <c r="Y834" i="1"/>
  <c r="X834" i="1"/>
  <c r="W834" i="1"/>
  <c r="V834" i="1"/>
  <c r="U834" i="1"/>
  <c r="T834" i="1"/>
  <c r="S834" i="1"/>
  <c r="R834" i="1"/>
  <c r="Q834" i="1"/>
  <c r="T833" i="1"/>
  <c r="S833" i="1"/>
  <c r="R833" i="1"/>
  <c r="Q833" i="1"/>
  <c r="Q831" i="1"/>
  <c r="R830" i="1"/>
  <c r="Q830" i="1"/>
  <c r="R829" i="1"/>
  <c r="Q829" i="1"/>
  <c r="AE827" i="1"/>
  <c r="AD827" i="1"/>
  <c r="AC827" i="1"/>
  <c r="AB827" i="1"/>
  <c r="AA827" i="1"/>
  <c r="Z827" i="1"/>
  <c r="Y827" i="1"/>
  <c r="X827" i="1"/>
  <c r="W827" i="1"/>
  <c r="V827" i="1"/>
  <c r="U827" i="1"/>
  <c r="T827" i="1"/>
  <c r="S827" i="1"/>
  <c r="R827" i="1"/>
  <c r="Q827" i="1"/>
  <c r="Q826" i="1"/>
  <c r="Z821" i="1"/>
  <c r="Y821" i="1"/>
  <c r="X821" i="1"/>
  <c r="W821" i="1"/>
  <c r="V821" i="1"/>
  <c r="U821" i="1"/>
  <c r="T821" i="1"/>
  <c r="S821" i="1"/>
  <c r="R821" i="1"/>
  <c r="Q821" i="1"/>
  <c r="R819" i="1"/>
  <c r="Q819" i="1"/>
  <c r="V818" i="1"/>
  <c r="U818" i="1"/>
  <c r="T818" i="1"/>
  <c r="S818" i="1"/>
  <c r="R818" i="1"/>
  <c r="Q818" i="1"/>
  <c r="R816" i="1"/>
  <c r="Q816" i="1"/>
  <c r="R814" i="1"/>
  <c r="Q814" i="1"/>
  <c r="V809" i="1"/>
  <c r="U809" i="1"/>
  <c r="T809" i="1"/>
  <c r="S809" i="1"/>
  <c r="R809" i="1"/>
  <c r="Q809" i="1"/>
  <c r="S808" i="1"/>
  <c r="R808" i="1"/>
  <c r="Q808" i="1"/>
  <c r="T807" i="1"/>
  <c r="S807" i="1"/>
  <c r="R807" i="1"/>
  <c r="Q807" i="1"/>
  <c r="AE805" i="1"/>
  <c r="AD805" i="1"/>
  <c r="AC805" i="1"/>
  <c r="AB805" i="1"/>
  <c r="AA805" i="1"/>
  <c r="Z805" i="1"/>
  <c r="Y805" i="1"/>
  <c r="X805" i="1"/>
  <c r="W805" i="1"/>
  <c r="V805" i="1"/>
  <c r="U805" i="1"/>
  <c r="T805" i="1"/>
  <c r="S805" i="1"/>
  <c r="R805" i="1"/>
  <c r="Q805" i="1"/>
  <c r="R803" i="1"/>
  <c r="Q803" i="1"/>
  <c r="T802" i="1"/>
  <c r="S802" i="1"/>
  <c r="R802" i="1"/>
  <c r="Q802" i="1"/>
  <c r="T801" i="1"/>
  <c r="S801" i="1"/>
  <c r="R801" i="1"/>
  <c r="Q801" i="1"/>
  <c r="R800" i="1"/>
  <c r="Q800" i="1"/>
  <c r="Q799" i="1"/>
  <c r="R798" i="1"/>
  <c r="Q798" i="1"/>
  <c r="Q794" i="1"/>
  <c r="R792" i="1"/>
  <c r="Q792" i="1"/>
  <c r="R789" i="1"/>
  <c r="Q789" i="1"/>
  <c r="Q788" i="1"/>
  <c r="T787" i="1"/>
  <c r="S787" i="1"/>
  <c r="R787" i="1"/>
  <c r="Q787" i="1"/>
  <c r="R786" i="1"/>
  <c r="Q786" i="1"/>
  <c r="U784" i="1"/>
  <c r="T784" i="1"/>
  <c r="S784" i="1"/>
  <c r="R784" i="1"/>
  <c r="Q784" i="1"/>
  <c r="Q783" i="1"/>
  <c r="Q782" i="1"/>
  <c r="Q781" i="1"/>
  <c r="T779" i="1"/>
  <c r="S779" i="1"/>
  <c r="R779" i="1"/>
  <c r="Q779" i="1"/>
  <c r="S777" i="1"/>
  <c r="R777" i="1"/>
  <c r="Q777" i="1"/>
  <c r="T776" i="1"/>
  <c r="S776" i="1"/>
  <c r="R776" i="1"/>
  <c r="Q776" i="1"/>
  <c r="Q773" i="1"/>
  <c r="W772" i="1"/>
  <c r="V772" i="1"/>
  <c r="U772" i="1"/>
  <c r="T772" i="1"/>
  <c r="S772" i="1"/>
  <c r="R772" i="1"/>
  <c r="Q772" i="1"/>
  <c r="S770" i="1"/>
  <c r="R770" i="1"/>
  <c r="Q770" i="1"/>
  <c r="X769" i="1"/>
  <c r="W769" i="1"/>
  <c r="V769" i="1"/>
  <c r="U769" i="1"/>
  <c r="T769" i="1"/>
  <c r="S769" i="1"/>
  <c r="R769" i="1"/>
  <c r="Q769" i="1"/>
  <c r="R768" i="1"/>
  <c r="Q768" i="1"/>
  <c r="R766" i="1"/>
  <c r="Q766" i="1"/>
  <c r="Z765" i="1"/>
  <c r="Y765" i="1"/>
  <c r="X765" i="1"/>
  <c r="W765" i="1"/>
  <c r="V765" i="1"/>
  <c r="U765" i="1"/>
  <c r="T765" i="1"/>
  <c r="S765" i="1"/>
  <c r="R765" i="1"/>
  <c r="Q765" i="1"/>
  <c r="AE763" i="1"/>
  <c r="AD763" i="1"/>
  <c r="AC763" i="1"/>
  <c r="AB763" i="1"/>
  <c r="AA763" i="1"/>
  <c r="Z763" i="1"/>
  <c r="Y763" i="1"/>
  <c r="X763" i="1"/>
  <c r="W763" i="1"/>
  <c r="V763" i="1"/>
  <c r="U763" i="1"/>
  <c r="T763" i="1"/>
  <c r="S763" i="1"/>
  <c r="R763" i="1"/>
  <c r="Q763" i="1"/>
  <c r="U762" i="1"/>
  <c r="T762" i="1"/>
  <c r="S762" i="1"/>
  <c r="R762" i="1"/>
  <c r="Q762" i="1"/>
  <c r="Q761" i="1"/>
  <c r="T760" i="1"/>
  <c r="S760" i="1"/>
  <c r="R760" i="1"/>
  <c r="Q760" i="1"/>
  <c r="T759" i="1"/>
  <c r="S759" i="1"/>
  <c r="R759" i="1"/>
  <c r="Q759" i="1"/>
  <c r="S758" i="1"/>
  <c r="R758" i="1"/>
  <c r="Q758" i="1"/>
  <c r="Q757" i="1"/>
  <c r="X753" i="1"/>
  <c r="W753" i="1"/>
  <c r="V753" i="1"/>
  <c r="U753" i="1"/>
  <c r="T753" i="1"/>
  <c r="S753" i="1"/>
  <c r="R753" i="1"/>
  <c r="Q753" i="1"/>
  <c r="Q751" i="1"/>
  <c r="W749" i="1"/>
  <c r="V749" i="1"/>
  <c r="U749" i="1"/>
  <c r="T749" i="1"/>
  <c r="S749" i="1"/>
  <c r="R749" i="1"/>
  <c r="Q749" i="1"/>
  <c r="Q748" i="1"/>
  <c r="X747" i="1"/>
  <c r="W747" i="1"/>
  <c r="V747" i="1"/>
  <c r="U747" i="1"/>
  <c r="T747" i="1"/>
  <c r="S747" i="1"/>
  <c r="R747" i="1"/>
  <c r="Q747" i="1"/>
  <c r="T745" i="1"/>
  <c r="S745" i="1"/>
  <c r="R745" i="1"/>
  <c r="Q745" i="1"/>
  <c r="Q744" i="1"/>
  <c r="Q743" i="1"/>
  <c r="Q742" i="1"/>
  <c r="U741" i="1"/>
  <c r="T741" i="1"/>
  <c r="S741" i="1"/>
  <c r="R741" i="1"/>
  <c r="Q741" i="1"/>
  <c r="U740" i="1"/>
  <c r="T740" i="1"/>
  <c r="S740" i="1"/>
  <c r="R740" i="1"/>
  <c r="Q740" i="1"/>
  <c r="V739" i="1"/>
  <c r="U739" i="1"/>
  <c r="T739" i="1"/>
  <c r="S739" i="1"/>
  <c r="R739" i="1"/>
  <c r="Q739" i="1"/>
  <c r="Q738" i="1"/>
  <c r="Q737" i="1"/>
  <c r="W736" i="1"/>
  <c r="V736" i="1"/>
  <c r="U736" i="1"/>
  <c r="T736" i="1"/>
  <c r="S736" i="1"/>
  <c r="R736" i="1"/>
  <c r="Q736" i="1"/>
  <c r="X734" i="1"/>
  <c r="W734" i="1"/>
  <c r="V734" i="1"/>
  <c r="U734" i="1"/>
  <c r="T734" i="1"/>
  <c r="S734" i="1"/>
  <c r="R734" i="1"/>
  <c r="Q734" i="1"/>
  <c r="S732" i="1"/>
  <c r="R732" i="1"/>
  <c r="Q732" i="1"/>
  <c r="U731" i="1"/>
  <c r="T731" i="1"/>
  <c r="S731" i="1"/>
  <c r="R731" i="1"/>
  <c r="Q731" i="1"/>
  <c r="U728" i="1"/>
  <c r="T728" i="1"/>
  <c r="S728" i="1"/>
  <c r="R728" i="1"/>
  <c r="Q728" i="1"/>
  <c r="Z727" i="1"/>
  <c r="Y727" i="1"/>
  <c r="X727" i="1"/>
  <c r="W727" i="1"/>
  <c r="V727" i="1"/>
  <c r="U727" i="1"/>
  <c r="T727" i="1"/>
  <c r="S727" i="1"/>
  <c r="R727" i="1"/>
  <c r="Q727" i="1"/>
  <c r="V725" i="1"/>
  <c r="U725" i="1"/>
  <c r="T725" i="1"/>
  <c r="S725" i="1"/>
  <c r="R725" i="1"/>
  <c r="Q725" i="1"/>
  <c r="S724" i="1"/>
  <c r="R724" i="1"/>
  <c r="Q724" i="1"/>
  <c r="V722" i="1"/>
  <c r="U722" i="1"/>
  <c r="T722" i="1"/>
  <c r="S722" i="1"/>
  <c r="R722" i="1"/>
  <c r="Q722" i="1"/>
  <c r="Q721" i="1"/>
  <c r="U720" i="1"/>
  <c r="T720" i="1"/>
  <c r="S720" i="1"/>
  <c r="R720" i="1"/>
  <c r="Q720" i="1"/>
  <c r="Z718" i="1"/>
  <c r="Y718" i="1"/>
  <c r="X718" i="1"/>
  <c r="W718" i="1"/>
  <c r="V718" i="1"/>
  <c r="U718" i="1"/>
  <c r="T718" i="1"/>
  <c r="S718" i="1"/>
  <c r="R718" i="1"/>
  <c r="Q718" i="1"/>
  <c r="Q714" i="1"/>
  <c r="U712" i="1"/>
  <c r="T712" i="1"/>
  <c r="S712" i="1"/>
  <c r="R712" i="1"/>
  <c r="Q712" i="1"/>
  <c r="Q710" i="1"/>
  <c r="Q709" i="1"/>
  <c r="T707" i="1"/>
  <c r="S707" i="1"/>
  <c r="R707" i="1"/>
  <c r="Q707" i="1"/>
  <c r="Q706" i="1"/>
  <c r="Q705" i="1"/>
  <c r="Q704" i="1"/>
  <c r="Q703" i="1"/>
  <c r="V702" i="1"/>
  <c r="U702" i="1"/>
  <c r="T702" i="1"/>
  <c r="S702" i="1"/>
  <c r="R702" i="1"/>
  <c r="Q702" i="1"/>
  <c r="U695" i="1"/>
  <c r="T695" i="1"/>
  <c r="S695" i="1"/>
  <c r="R695" i="1"/>
  <c r="Q695" i="1"/>
  <c r="Q693" i="1"/>
  <c r="V692" i="1"/>
  <c r="U692" i="1"/>
  <c r="T692" i="1"/>
  <c r="S692" i="1"/>
  <c r="R692" i="1"/>
  <c r="Q692" i="1"/>
  <c r="R689" i="1"/>
  <c r="Q689" i="1"/>
  <c r="R688" i="1"/>
  <c r="Q688" i="1"/>
  <c r="R687" i="1"/>
  <c r="Q687" i="1"/>
  <c r="U686" i="1"/>
  <c r="T686" i="1"/>
  <c r="S686" i="1"/>
  <c r="R686" i="1"/>
  <c r="Q686" i="1"/>
  <c r="Q685" i="1"/>
  <c r="Y684" i="1"/>
  <c r="X684" i="1"/>
  <c r="W684" i="1"/>
  <c r="V684" i="1"/>
  <c r="U684" i="1"/>
  <c r="T684" i="1"/>
  <c r="S684" i="1"/>
  <c r="R684" i="1"/>
  <c r="Q684" i="1"/>
  <c r="W683" i="1"/>
  <c r="V683" i="1"/>
  <c r="U683" i="1"/>
  <c r="T683" i="1"/>
  <c r="S683" i="1"/>
  <c r="R683" i="1"/>
  <c r="Q683" i="1"/>
  <c r="R681" i="1"/>
  <c r="Q681" i="1"/>
  <c r="Q680" i="1"/>
  <c r="T679" i="1"/>
  <c r="S679" i="1"/>
  <c r="R679" i="1"/>
  <c r="Q679" i="1"/>
  <c r="AE678" i="1"/>
  <c r="AD678" i="1"/>
  <c r="AC678" i="1"/>
  <c r="AB678" i="1"/>
  <c r="AA678" i="1"/>
  <c r="Z678" i="1"/>
  <c r="Y678" i="1"/>
  <c r="X678" i="1"/>
  <c r="W678" i="1"/>
  <c r="V678" i="1"/>
  <c r="U678" i="1"/>
  <c r="T678" i="1"/>
  <c r="S678" i="1"/>
  <c r="R678" i="1"/>
  <c r="Q678" i="1"/>
  <c r="R677" i="1"/>
  <c r="Q677" i="1"/>
  <c r="R675" i="1"/>
  <c r="Q675" i="1"/>
  <c r="T673" i="1"/>
  <c r="S673" i="1"/>
  <c r="R673" i="1"/>
  <c r="Q673" i="1"/>
  <c r="Q672" i="1"/>
  <c r="Q669" i="1"/>
  <c r="S667" i="1"/>
  <c r="R667" i="1"/>
  <c r="Q667" i="1"/>
  <c r="U666" i="1"/>
  <c r="T666" i="1"/>
  <c r="S666" i="1"/>
  <c r="R666" i="1"/>
  <c r="Q666" i="1"/>
  <c r="T665" i="1"/>
  <c r="S665" i="1"/>
  <c r="R665" i="1"/>
  <c r="Q665" i="1"/>
  <c r="V660" i="1"/>
  <c r="U660" i="1"/>
  <c r="T660" i="1"/>
  <c r="S660" i="1"/>
  <c r="R660" i="1"/>
  <c r="Q660" i="1"/>
  <c r="R659" i="1"/>
  <c r="Q659" i="1"/>
  <c r="Q657" i="1"/>
  <c r="T655" i="1"/>
  <c r="S655" i="1"/>
  <c r="R655" i="1"/>
  <c r="Q655" i="1"/>
  <c r="T654" i="1"/>
  <c r="S654" i="1"/>
  <c r="R654" i="1"/>
  <c r="Q654" i="1"/>
  <c r="R653" i="1"/>
  <c r="Q653" i="1"/>
  <c r="R652" i="1"/>
  <c r="Q652" i="1"/>
  <c r="U651" i="1"/>
  <c r="T651" i="1"/>
  <c r="S651" i="1"/>
  <c r="R651" i="1"/>
  <c r="Q651" i="1"/>
  <c r="Q648" i="1"/>
  <c r="Q646" i="1"/>
  <c r="S645" i="1"/>
  <c r="R645" i="1"/>
  <c r="Q645" i="1"/>
  <c r="T642" i="1"/>
  <c r="S642" i="1"/>
  <c r="R642" i="1"/>
  <c r="Q642" i="1"/>
  <c r="Q639" i="1"/>
  <c r="V637" i="1"/>
  <c r="U637" i="1"/>
  <c r="T637" i="1"/>
  <c r="S637" i="1"/>
  <c r="R637" i="1"/>
  <c r="Q637" i="1"/>
  <c r="S635" i="1"/>
  <c r="R635" i="1"/>
  <c r="Q635" i="1"/>
  <c r="S634" i="1"/>
  <c r="R634" i="1"/>
  <c r="Q634" i="1"/>
  <c r="Z631" i="1"/>
  <c r="Y631" i="1"/>
  <c r="X631" i="1"/>
  <c r="W631" i="1"/>
  <c r="V631" i="1"/>
  <c r="U631" i="1"/>
  <c r="T631" i="1"/>
  <c r="S631" i="1"/>
  <c r="R631" i="1"/>
  <c r="Q631" i="1"/>
  <c r="S630" i="1"/>
  <c r="R630" i="1"/>
  <c r="Q630" i="1"/>
  <c r="U629" i="1"/>
  <c r="T629" i="1"/>
  <c r="S629" i="1"/>
  <c r="R629" i="1"/>
  <c r="Q629" i="1"/>
  <c r="AE625" i="1"/>
  <c r="AD625" i="1"/>
  <c r="AC625" i="1"/>
  <c r="AB625" i="1"/>
  <c r="AA625" i="1"/>
  <c r="Z625" i="1"/>
  <c r="Y625" i="1"/>
  <c r="X625" i="1"/>
  <c r="W625" i="1"/>
  <c r="V625" i="1"/>
  <c r="U625" i="1"/>
  <c r="T625" i="1"/>
  <c r="S625" i="1"/>
  <c r="R625" i="1"/>
  <c r="Q625" i="1"/>
  <c r="T622" i="1"/>
  <c r="S622" i="1"/>
  <c r="R622" i="1"/>
  <c r="Q622" i="1"/>
  <c r="W621" i="1"/>
  <c r="V621" i="1"/>
  <c r="U621" i="1"/>
  <c r="T621" i="1"/>
  <c r="S621" i="1"/>
  <c r="R621" i="1"/>
  <c r="Q621" i="1"/>
  <c r="V619" i="1"/>
  <c r="U619" i="1"/>
  <c r="T619" i="1"/>
  <c r="S619" i="1"/>
  <c r="R619" i="1"/>
  <c r="Q619" i="1"/>
  <c r="S618" i="1"/>
  <c r="R618" i="1"/>
  <c r="Q618" i="1"/>
  <c r="X612" i="1"/>
  <c r="W612" i="1"/>
  <c r="V612" i="1"/>
  <c r="U612" i="1"/>
  <c r="T612" i="1"/>
  <c r="S612" i="1"/>
  <c r="R612" i="1"/>
  <c r="Q612" i="1"/>
  <c r="V611" i="1"/>
  <c r="U611" i="1"/>
  <c r="T611" i="1"/>
  <c r="S611" i="1"/>
  <c r="R611" i="1"/>
  <c r="Q611" i="1"/>
  <c r="X606" i="1"/>
  <c r="W606" i="1"/>
  <c r="V606" i="1"/>
  <c r="U606" i="1"/>
  <c r="T606" i="1"/>
  <c r="S606" i="1"/>
  <c r="R606" i="1"/>
  <c r="Q606" i="1"/>
  <c r="T605" i="1"/>
  <c r="S605" i="1"/>
  <c r="R605" i="1"/>
  <c r="Q605" i="1"/>
  <c r="U603" i="1"/>
  <c r="T603" i="1"/>
  <c r="S603" i="1"/>
  <c r="R603" i="1"/>
  <c r="Q603" i="1"/>
  <c r="U602" i="1"/>
  <c r="T602" i="1"/>
  <c r="S602" i="1"/>
  <c r="R602" i="1"/>
  <c r="Q602" i="1"/>
  <c r="S600" i="1"/>
  <c r="R600" i="1"/>
  <c r="Q600" i="1"/>
  <c r="X599" i="1"/>
  <c r="W599" i="1"/>
  <c r="V599" i="1"/>
  <c r="U599" i="1"/>
  <c r="T599" i="1"/>
  <c r="S599" i="1"/>
  <c r="R599" i="1"/>
  <c r="Q599" i="1"/>
  <c r="S598" i="1"/>
  <c r="R598" i="1"/>
  <c r="Q598" i="1"/>
  <c r="S597" i="1"/>
  <c r="R597" i="1"/>
  <c r="Q597" i="1"/>
  <c r="Z595" i="1"/>
  <c r="Y595" i="1"/>
  <c r="X595" i="1"/>
  <c r="W595" i="1"/>
  <c r="V595" i="1"/>
  <c r="U595" i="1"/>
  <c r="T595" i="1"/>
  <c r="S595" i="1"/>
  <c r="R595" i="1"/>
  <c r="Q595" i="1"/>
  <c r="W594" i="1"/>
  <c r="V594" i="1"/>
  <c r="U594" i="1"/>
  <c r="T594" i="1"/>
  <c r="S594" i="1"/>
  <c r="R594" i="1"/>
  <c r="Q594" i="1"/>
  <c r="U593" i="1"/>
  <c r="T593" i="1"/>
  <c r="S593" i="1"/>
  <c r="R593" i="1"/>
  <c r="Q593" i="1"/>
  <c r="Q591" i="1"/>
  <c r="AE590" i="1"/>
  <c r="AD590" i="1"/>
  <c r="AC590" i="1"/>
  <c r="AB590" i="1"/>
  <c r="AA590" i="1"/>
  <c r="Z590" i="1"/>
  <c r="Y590" i="1"/>
  <c r="X590" i="1"/>
  <c r="W590" i="1"/>
  <c r="V590" i="1"/>
  <c r="U590" i="1"/>
  <c r="T590" i="1"/>
  <c r="S590" i="1"/>
  <c r="R590" i="1"/>
  <c r="Q590" i="1"/>
  <c r="S589" i="1"/>
  <c r="R589" i="1"/>
  <c r="Q589" i="1"/>
  <c r="T588" i="1"/>
  <c r="S588" i="1"/>
  <c r="R588" i="1"/>
  <c r="Q588" i="1"/>
  <c r="T587" i="1"/>
  <c r="S587" i="1"/>
  <c r="R587" i="1"/>
  <c r="Q587" i="1"/>
  <c r="V586" i="1"/>
  <c r="U586" i="1"/>
  <c r="T586" i="1"/>
  <c r="S586" i="1"/>
  <c r="R586" i="1"/>
  <c r="Q586" i="1"/>
  <c r="S585" i="1"/>
  <c r="R585" i="1"/>
  <c r="Q585" i="1"/>
  <c r="U583" i="1"/>
  <c r="T583" i="1"/>
  <c r="S583" i="1"/>
  <c r="R583" i="1"/>
  <c r="Q583" i="1"/>
  <c r="V581" i="1"/>
  <c r="U581" i="1"/>
  <c r="T581" i="1"/>
  <c r="S581" i="1"/>
  <c r="R581" i="1"/>
  <c r="Q581" i="1"/>
  <c r="T580" i="1"/>
  <c r="S580" i="1"/>
  <c r="R580" i="1"/>
  <c r="Q580" i="1"/>
  <c r="Q579" i="1"/>
  <c r="T578" i="1"/>
  <c r="S578" i="1"/>
  <c r="R578" i="1"/>
  <c r="Q578" i="1"/>
  <c r="U576" i="1"/>
  <c r="T576" i="1"/>
  <c r="S576" i="1"/>
  <c r="R576" i="1"/>
  <c r="Q576" i="1"/>
  <c r="AG574" i="1"/>
  <c r="AF574" i="1"/>
  <c r="AE574" i="1"/>
  <c r="AD574" i="1"/>
  <c r="AC574" i="1"/>
  <c r="AB574" i="1"/>
  <c r="AA574" i="1"/>
  <c r="Z574" i="1"/>
  <c r="Y574" i="1"/>
  <c r="X574" i="1"/>
  <c r="W574" i="1"/>
  <c r="V574" i="1"/>
  <c r="U574" i="1"/>
  <c r="T574" i="1"/>
  <c r="S574" i="1"/>
  <c r="R574" i="1"/>
  <c r="Q574" i="1"/>
  <c r="S573" i="1"/>
  <c r="R573" i="1"/>
  <c r="Q573" i="1"/>
  <c r="R572" i="1"/>
  <c r="Q572" i="1"/>
  <c r="R571" i="1"/>
  <c r="Q571" i="1"/>
  <c r="Q567" i="1"/>
  <c r="W566" i="1"/>
  <c r="V566" i="1"/>
  <c r="U566" i="1"/>
  <c r="T566" i="1"/>
  <c r="S566" i="1"/>
  <c r="R566" i="1"/>
  <c r="Q566" i="1"/>
  <c r="T564" i="1"/>
  <c r="S564" i="1"/>
  <c r="R564" i="1"/>
  <c r="Q564" i="1"/>
  <c r="Q563" i="1"/>
  <c r="Q562" i="1"/>
  <c r="S560" i="1"/>
  <c r="R560" i="1"/>
  <c r="Q560" i="1"/>
  <c r="S559" i="1"/>
  <c r="R559" i="1"/>
  <c r="Q559" i="1"/>
  <c r="Q558" i="1"/>
  <c r="Q556" i="1"/>
  <c r="T553" i="1"/>
  <c r="S553" i="1"/>
  <c r="R553" i="1"/>
  <c r="Q553" i="1"/>
  <c r="R552" i="1"/>
  <c r="Q552" i="1"/>
  <c r="Q551" i="1"/>
  <c r="R549" i="1"/>
  <c r="Q549" i="1"/>
  <c r="R547" i="1"/>
  <c r="Q547" i="1"/>
  <c r="V546" i="1"/>
  <c r="U546" i="1"/>
  <c r="T546" i="1"/>
  <c r="S546" i="1"/>
  <c r="R546" i="1"/>
  <c r="Q546" i="1"/>
  <c r="R543" i="1"/>
  <c r="Q543" i="1"/>
  <c r="Q541" i="1"/>
  <c r="Q539" i="1"/>
  <c r="X538" i="1"/>
  <c r="W538" i="1"/>
  <c r="V538" i="1"/>
  <c r="U538" i="1"/>
  <c r="T538" i="1"/>
  <c r="S538" i="1"/>
  <c r="R538" i="1"/>
  <c r="Q538" i="1"/>
  <c r="V537" i="1"/>
  <c r="U537" i="1"/>
  <c r="T537" i="1"/>
  <c r="S537" i="1"/>
  <c r="R537" i="1"/>
  <c r="Q537" i="1"/>
  <c r="S529" i="1"/>
  <c r="R529" i="1"/>
  <c r="Q529" i="1"/>
  <c r="V528" i="1"/>
  <c r="U528" i="1"/>
  <c r="T528" i="1"/>
  <c r="S528" i="1"/>
  <c r="R528" i="1"/>
  <c r="Q528" i="1"/>
  <c r="S525" i="1"/>
  <c r="R525" i="1"/>
  <c r="Q525" i="1"/>
  <c r="Q523" i="1"/>
  <c r="V521" i="1"/>
  <c r="U521" i="1"/>
  <c r="T521" i="1"/>
  <c r="S521" i="1"/>
  <c r="R521" i="1"/>
  <c r="Q521" i="1"/>
  <c r="W520" i="1"/>
  <c r="V520" i="1"/>
  <c r="U520" i="1"/>
  <c r="T520" i="1"/>
  <c r="S520" i="1"/>
  <c r="R520" i="1"/>
  <c r="Q520" i="1"/>
  <c r="R519" i="1"/>
  <c r="Q519" i="1"/>
  <c r="W518" i="1"/>
  <c r="V518" i="1"/>
  <c r="U518" i="1"/>
  <c r="T518" i="1"/>
  <c r="S518" i="1"/>
  <c r="R518" i="1"/>
  <c r="Q518" i="1"/>
  <c r="T517" i="1"/>
  <c r="S517" i="1"/>
  <c r="R517" i="1"/>
  <c r="Q517" i="1"/>
  <c r="X515" i="1"/>
  <c r="W515" i="1"/>
  <c r="V515" i="1"/>
  <c r="U515" i="1"/>
  <c r="T515" i="1"/>
  <c r="S515" i="1"/>
  <c r="R515" i="1"/>
  <c r="Q515" i="1"/>
  <c r="AE514" i="1"/>
  <c r="AD514" i="1"/>
  <c r="AC514" i="1"/>
  <c r="AB514" i="1"/>
  <c r="AA514" i="1"/>
  <c r="Z514" i="1"/>
  <c r="Y514" i="1"/>
  <c r="X514" i="1"/>
  <c r="W514" i="1"/>
  <c r="V514" i="1"/>
  <c r="U514" i="1"/>
  <c r="T514" i="1"/>
  <c r="S514" i="1"/>
  <c r="R514" i="1"/>
  <c r="Q514" i="1"/>
  <c r="R512" i="1"/>
  <c r="Q512" i="1"/>
  <c r="Q511" i="1"/>
  <c r="V510" i="1"/>
  <c r="U510" i="1"/>
  <c r="T510" i="1"/>
  <c r="S510" i="1"/>
  <c r="R510" i="1"/>
  <c r="Q510" i="1"/>
  <c r="W509" i="1"/>
  <c r="V509" i="1"/>
  <c r="U509" i="1"/>
  <c r="T509" i="1"/>
  <c r="S509" i="1"/>
  <c r="R509" i="1"/>
  <c r="Q509" i="1"/>
  <c r="V508" i="1"/>
  <c r="U508" i="1"/>
  <c r="T508" i="1"/>
  <c r="S508" i="1"/>
  <c r="R508" i="1"/>
  <c r="Q508" i="1"/>
  <c r="R507" i="1"/>
  <c r="Q507" i="1"/>
  <c r="R506" i="1"/>
  <c r="Q506" i="1"/>
  <c r="T505" i="1"/>
  <c r="S505" i="1"/>
  <c r="R505" i="1"/>
  <c r="Q505" i="1"/>
  <c r="T503" i="1"/>
  <c r="S503" i="1"/>
  <c r="R503" i="1"/>
  <c r="Q503" i="1"/>
  <c r="S502" i="1"/>
  <c r="R502" i="1"/>
  <c r="Q502" i="1"/>
  <c r="S499" i="1"/>
  <c r="R499" i="1"/>
  <c r="Q499" i="1"/>
  <c r="U498" i="1"/>
  <c r="T498" i="1"/>
  <c r="S498" i="1"/>
  <c r="R498" i="1"/>
  <c r="Q498" i="1"/>
  <c r="Q497" i="1"/>
  <c r="Q496" i="1"/>
  <c r="V495" i="1"/>
  <c r="U495" i="1"/>
  <c r="T495" i="1"/>
  <c r="S495" i="1"/>
  <c r="R495" i="1"/>
  <c r="Q495" i="1"/>
  <c r="S494" i="1"/>
  <c r="R494" i="1"/>
  <c r="Q494" i="1"/>
  <c r="Z493" i="1"/>
  <c r="Y493" i="1"/>
  <c r="X493" i="1"/>
  <c r="W493" i="1"/>
  <c r="V493" i="1"/>
  <c r="U493" i="1"/>
  <c r="T493" i="1"/>
  <c r="S493" i="1"/>
  <c r="R493" i="1"/>
  <c r="Q493" i="1"/>
  <c r="U490" i="1"/>
  <c r="T490" i="1"/>
  <c r="S490" i="1"/>
  <c r="R490" i="1"/>
  <c r="Q490" i="1"/>
  <c r="U489" i="1"/>
  <c r="T489" i="1"/>
  <c r="S489" i="1"/>
  <c r="R489" i="1"/>
  <c r="Q489" i="1"/>
  <c r="Q488" i="1"/>
  <c r="R487" i="1"/>
  <c r="Q487" i="1"/>
  <c r="Q485" i="1"/>
  <c r="U484" i="1"/>
  <c r="T484" i="1"/>
  <c r="S484" i="1"/>
  <c r="R484" i="1"/>
  <c r="Q484" i="1"/>
  <c r="Q483" i="1"/>
  <c r="W480" i="1"/>
  <c r="V480" i="1"/>
  <c r="U480" i="1"/>
  <c r="T480" i="1"/>
  <c r="S480" i="1"/>
  <c r="R480" i="1"/>
  <c r="Q480" i="1"/>
  <c r="AE479" i="1"/>
  <c r="AD479" i="1"/>
  <c r="AC479" i="1"/>
  <c r="AB479" i="1"/>
  <c r="AA479" i="1"/>
  <c r="Z479" i="1"/>
  <c r="Y479" i="1"/>
  <c r="X479" i="1"/>
  <c r="W479" i="1"/>
  <c r="V479" i="1"/>
  <c r="U479" i="1"/>
  <c r="T479" i="1"/>
  <c r="S479" i="1"/>
  <c r="R479" i="1"/>
  <c r="Q479" i="1"/>
  <c r="Q477" i="1"/>
  <c r="Q475" i="1"/>
  <c r="S474" i="1"/>
  <c r="R474" i="1"/>
  <c r="Q474" i="1"/>
  <c r="Q472" i="1"/>
  <c r="Q470" i="1"/>
  <c r="S469" i="1"/>
  <c r="R469" i="1"/>
  <c r="Q469" i="1"/>
  <c r="V465" i="1"/>
  <c r="U465" i="1"/>
  <c r="T465" i="1"/>
  <c r="S465" i="1"/>
  <c r="R465" i="1"/>
  <c r="Q465" i="1"/>
  <c r="X464" i="1"/>
  <c r="W464" i="1"/>
  <c r="V464" i="1"/>
  <c r="U464" i="1"/>
  <c r="T464" i="1"/>
  <c r="S464" i="1"/>
  <c r="R464" i="1"/>
  <c r="Q464" i="1"/>
  <c r="Q463" i="1"/>
  <c r="X462" i="1"/>
  <c r="W462" i="1"/>
  <c r="V462" i="1"/>
  <c r="U462" i="1"/>
  <c r="T462" i="1"/>
  <c r="S462" i="1"/>
  <c r="R462" i="1"/>
  <c r="Q462" i="1"/>
  <c r="Q460" i="1"/>
  <c r="S459" i="1"/>
  <c r="R459" i="1"/>
  <c r="Q459" i="1"/>
  <c r="Z457" i="1"/>
  <c r="Y457" i="1"/>
  <c r="X457" i="1"/>
  <c r="W457" i="1"/>
  <c r="V457" i="1"/>
  <c r="U457" i="1"/>
  <c r="T457" i="1"/>
  <c r="S457" i="1"/>
  <c r="R457" i="1"/>
  <c r="Q457" i="1"/>
  <c r="V456" i="1"/>
  <c r="U456" i="1"/>
  <c r="T456" i="1"/>
  <c r="S456" i="1"/>
  <c r="R456" i="1"/>
  <c r="Q456" i="1"/>
  <c r="W455" i="1"/>
  <c r="V455" i="1"/>
  <c r="U455" i="1"/>
  <c r="T455" i="1"/>
  <c r="S455" i="1"/>
  <c r="R455" i="1"/>
  <c r="Q455" i="1"/>
  <c r="Z454" i="1"/>
  <c r="Y454" i="1"/>
  <c r="X454" i="1"/>
  <c r="W454" i="1"/>
  <c r="V454" i="1"/>
  <c r="U454" i="1"/>
  <c r="T454" i="1"/>
  <c r="S454" i="1"/>
  <c r="R454" i="1"/>
  <c r="Q454" i="1"/>
  <c r="R453" i="1"/>
  <c r="Q453" i="1"/>
  <c r="R452" i="1"/>
  <c r="Q452" i="1"/>
  <c r="V450" i="1"/>
  <c r="U450" i="1"/>
  <c r="T450" i="1"/>
  <c r="S450" i="1"/>
  <c r="R450" i="1"/>
  <c r="Q450" i="1"/>
  <c r="R448" i="1"/>
  <c r="Q448" i="1"/>
  <c r="S447" i="1"/>
  <c r="R447" i="1"/>
  <c r="Q447" i="1"/>
  <c r="T444" i="1"/>
  <c r="S444" i="1"/>
  <c r="R444" i="1"/>
  <c r="Q444" i="1"/>
  <c r="V443" i="1"/>
  <c r="U443" i="1"/>
  <c r="T443" i="1"/>
  <c r="S443" i="1"/>
  <c r="R443" i="1"/>
  <c r="Q443" i="1"/>
  <c r="V442" i="1"/>
  <c r="U442" i="1"/>
  <c r="T442" i="1"/>
  <c r="S442" i="1"/>
  <c r="R442" i="1"/>
  <c r="Q442" i="1"/>
  <c r="U441" i="1"/>
  <c r="T441" i="1"/>
  <c r="S441" i="1"/>
  <c r="R441" i="1"/>
  <c r="Q441" i="1"/>
  <c r="R440" i="1"/>
  <c r="Q440" i="1"/>
  <c r="AE437" i="1"/>
  <c r="AD437" i="1"/>
  <c r="AC437" i="1"/>
  <c r="AB437" i="1"/>
  <c r="AA437" i="1"/>
  <c r="Z437" i="1"/>
  <c r="Y437" i="1"/>
  <c r="X437" i="1"/>
  <c r="W437" i="1"/>
  <c r="V437" i="1"/>
  <c r="U437" i="1"/>
  <c r="T437" i="1"/>
  <c r="S437" i="1"/>
  <c r="R437" i="1"/>
  <c r="Q437" i="1"/>
  <c r="Q436" i="1"/>
  <c r="AE434" i="1"/>
  <c r="AD434" i="1"/>
  <c r="AC434" i="1"/>
  <c r="AB434" i="1"/>
  <c r="AA434" i="1"/>
  <c r="Z434" i="1"/>
  <c r="Y434" i="1"/>
  <c r="X434" i="1"/>
  <c r="W434" i="1"/>
  <c r="V434" i="1"/>
  <c r="U434" i="1"/>
  <c r="T434" i="1"/>
  <c r="S434" i="1"/>
  <c r="R434" i="1"/>
  <c r="Q434" i="1"/>
  <c r="V433" i="1"/>
  <c r="U433" i="1"/>
  <c r="T433" i="1"/>
  <c r="S433" i="1"/>
  <c r="R433" i="1"/>
  <c r="Q433" i="1"/>
  <c r="S432" i="1"/>
  <c r="R432" i="1"/>
  <c r="Q432" i="1"/>
  <c r="Q431" i="1"/>
  <c r="S429" i="1"/>
  <c r="R429" i="1"/>
  <c r="Q429" i="1"/>
  <c r="U428" i="1"/>
  <c r="T428" i="1"/>
  <c r="S428" i="1"/>
  <c r="R428" i="1"/>
  <c r="Q428" i="1"/>
  <c r="S427" i="1"/>
  <c r="R427" i="1"/>
  <c r="Q427" i="1"/>
  <c r="R426" i="1"/>
  <c r="Q426" i="1"/>
  <c r="V425" i="1"/>
  <c r="U425" i="1"/>
  <c r="T425" i="1"/>
  <c r="S425" i="1"/>
  <c r="R425" i="1"/>
  <c r="Q425" i="1"/>
  <c r="W424" i="1"/>
  <c r="V424" i="1"/>
  <c r="U424" i="1"/>
  <c r="T424" i="1"/>
  <c r="S424" i="1"/>
  <c r="R424" i="1"/>
  <c r="Q424" i="1"/>
  <c r="U423" i="1"/>
  <c r="T423" i="1"/>
  <c r="S423" i="1"/>
  <c r="R423" i="1"/>
  <c r="Q423" i="1"/>
  <c r="Q422" i="1"/>
  <c r="Q421" i="1"/>
  <c r="Q420" i="1"/>
  <c r="V417" i="1"/>
  <c r="U417" i="1"/>
  <c r="T417" i="1"/>
  <c r="S417" i="1"/>
  <c r="R417" i="1"/>
  <c r="Q417" i="1"/>
  <c r="U416" i="1"/>
  <c r="T416" i="1"/>
  <c r="S416" i="1"/>
  <c r="R416" i="1"/>
  <c r="Q416" i="1"/>
  <c r="Z415" i="1"/>
  <c r="Y415" i="1"/>
  <c r="X415" i="1"/>
  <c r="W415" i="1"/>
  <c r="V415" i="1"/>
  <c r="U415" i="1"/>
  <c r="T415" i="1"/>
  <c r="S415" i="1"/>
  <c r="R415" i="1"/>
  <c r="Q415" i="1"/>
  <c r="R414" i="1"/>
  <c r="Q414" i="1"/>
  <c r="T412" i="1"/>
  <c r="S412" i="1"/>
  <c r="R412" i="1"/>
  <c r="Q412" i="1"/>
  <c r="X408" i="1"/>
  <c r="W408" i="1"/>
  <c r="V408" i="1"/>
  <c r="U408" i="1"/>
  <c r="T408" i="1"/>
  <c r="S408" i="1"/>
  <c r="R408" i="1"/>
  <c r="Q408" i="1"/>
  <c r="U407" i="1"/>
  <c r="T407" i="1"/>
  <c r="S407" i="1"/>
  <c r="R407" i="1"/>
  <c r="Q407" i="1"/>
  <c r="R406" i="1"/>
  <c r="Q406" i="1"/>
  <c r="Q405" i="1"/>
  <c r="U404" i="1"/>
  <c r="T404" i="1"/>
  <c r="S404" i="1"/>
  <c r="R404" i="1"/>
  <c r="Q404" i="1"/>
  <c r="Q401" i="1"/>
  <c r="S400" i="1"/>
  <c r="R400" i="1"/>
  <c r="Q400" i="1"/>
  <c r="Q397" i="1"/>
  <c r="V396" i="1"/>
  <c r="U396" i="1"/>
  <c r="T396" i="1"/>
  <c r="S396" i="1"/>
  <c r="R396" i="1"/>
  <c r="Q396" i="1"/>
  <c r="Q395" i="1"/>
  <c r="W394" i="1"/>
  <c r="V394" i="1"/>
  <c r="U394" i="1"/>
  <c r="T394" i="1"/>
  <c r="S394" i="1"/>
  <c r="R394" i="1"/>
  <c r="Q394" i="1"/>
  <c r="AE392" i="1"/>
  <c r="AD392" i="1"/>
  <c r="AC392" i="1"/>
  <c r="AB392" i="1"/>
  <c r="AA392" i="1"/>
  <c r="Z392" i="1"/>
  <c r="Y392" i="1"/>
  <c r="X392" i="1"/>
  <c r="W392" i="1"/>
  <c r="V392" i="1"/>
  <c r="U392" i="1"/>
  <c r="T392" i="1"/>
  <c r="S392" i="1"/>
  <c r="R392" i="1"/>
  <c r="Q392" i="1"/>
  <c r="R391" i="1"/>
  <c r="Q391" i="1"/>
  <c r="T390" i="1"/>
  <c r="S390" i="1"/>
  <c r="R390" i="1"/>
  <c r="Q390" i="1"/>
  <c r="Q388" i="1"/>
  <c r="Q387" i="1"/>
  <c r="Q386" i="1"/>
  <c r="S385" i="1"/>
  <c r="R385" i="1"/>
  <c r="Q385" i="1"/>
  <c r="S384" i="1"/>
  <c r="R384" i="1"/>
  <c r="Q384" i="1"/>
  <c r="V383" i="1"/>
  <c r="U383" i="1"/>
  <c r="T383" i="1"/>
  <c r="S383" i="1"/>
  <c r="R383" i="1"/>
  <c r="Q383" i="1"/>
  <c r="V382" i="1"/>
  <c r="U382" i="1"/>
  <c r="T382" i="1"/>
  <c r="S382" i="1"/>
  <c r="R382" i="1"/>
  <c r="Q382" i="1"/>
  <c r="X380" i="1"/>
  <c r="W380" i="1"/>
  <c r="V380" i="1"/>
  <c r="U380" i="1"/>
  <c r="T380" i="1"/>
  <c r="S380" i="1"/>
  <c r="R380" i="1"/>
  <c r="Q380" i="1"/>
  <c r="R379" i="1"/>
  <c r="Q379" i="1"/>
  <c r="S376" i="1"/>
  <c r="R376" i="1"/>
  <c r="Q376" i="1"/>
  <c r="Q374" i="1"/>
  <c r="Q372" i="1"/>
  <c r="X371" i="1"/>
  <c r="W371" i="1"/>
  <c r="V371" i="1"/>
  <c r="U371" i="1"/>
  <c r="T371" i="1"/>
  <c r="S371" i="1"/>
  <c r="R371" i="1"/>
  <c r="Q371" i="1"/>
  <c r="X369" i="1"/>
  <c r="W369" i="1"/>
  <c r="V369" i="1"/>
  <c r="U369" i="1"/>
  <c r="T369" i="1"/>
  <c r="S369" i="1"/>
  <c r="R369" i="1"/>
  <c r="Q369" i="1"/>
  <c r="Q368" i="1"/>
  <c r="R367" i="1"/>
  <c r="Q367" i="1"/>
  <c r="Z366" i="1"/>
  <c r="Y366" i="1"/>
  <c r="X366" i="1"/>
  <c r="W366" i="1"/>
  <c r="V366" i="1"/>
  <c r="U366" i="1"/>
  <c r="T366" i="1"/>
  <c r="S366" i="1"/>
  <c r="R366" i="1"/>
  <c r="Q366" i="1"/>
  <c r="Z365" i="1"/>
  <c r="Y365" i="1"/>
  <c r="X365" i="1"/>
  <c r="W365" i="1"/>
  <c r="V365" i="1"/>
  <c r="U365" i="1"/>
  <c r="T365" i="1"/>
  <c r="S365" i="1"/>
  <c r="R365" i="1"/>
  <c r="Q365" i="1"/>
  <c r="Q362" i="1"/>
  <c r="S361" i="1"/>
  <c r="R361" i="1"/>
  <c r="Q361" i="1"/>
  <c r="Q358" i="1"/>
  <c r="R356" i="1"/>
  <c r="Q356" i="1"/>
  <c r="T354" i="1"/>
  <c r="S354" i="1"/>
  <c r="R354" i="1"/>
  <c r="Q354" i="1"/>
  <c r="V352" i="1"/>
  <c r="U352" i="1"/>
  <c r="T352" i="1"/>
  <c r="S352" i="1"/>
  <c r="R352" i="1"/>
  <c r="Q352" i="1"/>
  <c r="AE351" i="1"/>
  <c r="AD351" i="1"/>
  <c r="AC351" i="1"/>
  <c r="AB351" i="1"/>
  <c r="AA351" i="1"/>
  <c r="Z351" i="1"/>
  <c r="Y351" i="1"/>
  <c r="X351" i="1"/>
  <c r="W351" i="1"/>
  <c r="V351" i="1"/>
  <c r="U351" i="1"/>
  <c r="T351" i="1"/>
  <c r="S351" i="1"/>
  <c r="R351" i="1"/>
  <c r="Q351" i="1"/>
  <c r="S350" i="1"/>
  <c r="R350" i="1"/>
  <c r="Q350" i="1"/>
  <c r="V349" i="1"/>
  <c r="U349" i="1"/>
  <c r="T349" i="1"/>
  <c r="S349" i="1"/>
  <c r="R349" i="1"/>
  <c r="Q349" i="1"/>
  <c r="R347" i="1"/>
  <c r="Q347" i="1"/>
  <c r="T345" i="1"/>
  <c r="S345" i="1"/>
  <c r="R345" i="1"/>
  <c r="Q345" i="1"/>
  <c r="Y344" i="1"/>
  <c r="X344" i="1"/>
  <c r="W344" i="1"/>
  <c r="V344" i="1"/>
  <c r="U344" i="1"/>
  <c r="T344" i="1"/>
  <c r="S344" i="1"/>
  <c r="R344" i="1"/>
  <c r="Q344" i="1"/>
  <c r="R341" i="1"/>
  <c r="Q341" i="1"/>
  <c r="V340" i="1"/>
  <c r="U340" i="1"/>
  <c r="T340" i="1"/>
  <c r="S340" i="1"/>
  <c r="R340" i="1"/>
  <c r="Q340" i="1"/>
  <c r="R339" i="1"/>
  <c r="Q339" i="1"/>
  <c r="Q338" i="1"/>
  <c r="U335" i="1"/>
  <c r="T335" i="1"/>
  <c r="S335" i="1"/>
  <c r="R335" i="1"/>
  <c r="Q335" i="1"/>
  <c r="V333" i="1"/>
  <c r="U333" i="1"/>
  <c r="T333" i="1"/>
  <c r="S333" i="1"/>
  <c r="R333" i="1"/>
  <c r="Q333" i="1"/>
  <c r="R332" i="1"/>
  <c r="Q332" i="1"/>
  <c r="U331" i="1"/>
  <c r="T331" i="1"/>
  <c r="S331" i="1"/>
  <c r="R331" i="1"/>
  <c r="Q331" i="1"/>
  <c r="Q330" i="1"/>
  <c r="Q329" i="1"/>
  <c r="S328" i="1"/>
  <c r="R328" i="1"/>
  <c r="Q328" i="1"/>
  <c r="V327" i="1"/>
  <c r="U327" i="1"/>
  <c r="T327" i="1"/>
  <c r="S327" i="1"/>
  <c r="R327" i="1"/>
  <c r="Q327" i="1"/>
  <c r="Q325" i="1"/>
  <c r="R324" i="1"/>
  <c r="Q324" i="1"/>
  <c r="X323" i="1"/>
  <c r="W323" i="1"/>
  <c r="V323" i="1"/>
  <c r="U323" i="1"/>
  <c r="T323" i="1"/>
  <c r="S323" i="1"/>
  <c r="R323" i="1"/>
  <c r="Q323" i="1"/>
  <c r="Q322" i="1"/>
  <c r="R321" i="1"/>
  <c r="Q321" i="1"/>
  <c r="S320" i="1"/>
  <c r="R320" i="1"/>
  <c r="Q320" i="1"/>
  <c r="Q319" i="1"/>
  <c r="Q318" i="1"/>
  <c r="T316" i="1"/>
  <c r="S316" i="1"/>
  <c r="R316" i="1"/>
  <c r="Q316" i="1"/>
  <c r="Q315" i="1"/>
  <c r="T312" i="1"/>
  <c r="S312" i="1"/>
  <c r="R312" i="1"/>
  <c r="Q312" i="1"/>
  <c r="X311" i="1"/>
  <c r="W311" i="1"/>
  <c r="V311" i="1"/>
  <c r="U311" i="1"/>
  <c r="T311" i="1"/>
  <c r="S311" i="1"/>
  <c r="R311" i="1"/>
  <c r="Q311" i="1"/>
  <c r="R310" i="1"/>
  <c r="Q310" i="1"/>
  <c r="R309" i="1"/>
  <c r="Q309" i="1"/>
  <c r="Q308" i="1"/>
  <c r="Q307" i="1"/>
  <c r="Q306" i="1"/>
  <c r="U305" i="1"/>
  <c r="T305" i="1"/>
  <c r="S305" i="1"/>
  <c r="R305" i="1"/>
  <c r="Q305" i="1"/>
  <c r="V302" i="1"/>
  <c r="U302" i="1"/>
  <c r="T302" i="1"/>
  <c r="S302" i="1"/>
  <c r="R302" i="1"/>
  <c r="Q302" i="1"/>
  <c r="Q300" i="1"/>
  <c r="X298" i="1"/>
  <c r="W298" i="1"/>
  <c r="V298" i="1"/>
  <c r="U298" i="1"/>
  <c r="T298" i="1"/>
  <c r="S298" i="1"/>
  <c r="R298" i="1"/>
  <c r="Q298" i="1"/>
  <c r="S297" i="1"/>
  <c r="R297" i="1"/>
  <c r="Q297" i="1"/>
  <c r="V296" i="1"/>
  <c r="U296" i="1"/>
  <c r="T296" i="1"/>
  <c r="S296" i="1"/>
  <c r="R296" i="1"/>
  <c r="Q296" i="1"/>
  <c r="R295" i="1"/>
  <c r="Q295" i="1"/>
  <c r="Q293" i="1"/>
  <c r="T292" i="1"/>
  <c r="S292" i="1"/>
  <c r="R292" i="1"/>
  <c r="Q292" i="1"/>
  <c r="R291" i="1"/>
  <c r="Q291" i="1"/>
  <c r="S290" i="1"/>
  <c r="R290" i="1"/>
  <c r="Q290" i="1"/>
  <c r="T288" i="1"/>
  <c r="S288" i="1"/>
  <c r="R288" i="1"/>
  <c r="Q288" i="1"/>
  <c r="Q287" i="1"/>
  <c r="S286" i="1"/>
  <c r="R286" i="1"/>
  <c r="Q286" i="1"/>
  <c r="S285" i="1"/>
  <c r="R285" i="1"/>
  <c r="Q285" i="1"/>
  <c r="Q284" i="1"/>
  <c r="Z283" i="1"/>
  <c r="Y283" i="1"/>
  <c r="X283" i="1"/>
  <c r="W283" i="1"/>
  <c r="V283" i="1"/>
  <c r="U283" i="1"/>
  <c r="T283" i="1"/>
  <c r="S283" i="1"/>
  <c r="R283" i="1"/>
  <c r="Q283" i="1"/>
  <c r="U282" i="1"/>
  <c r="T282" i="1"/>
  <c r="S282" i="1"/>
  <c r="R282" i="1"/>
  <c r="Q282" i="1"/>
  <c r="Q281" i="1"/>
  <c r="Z280" i="1"/>
  <c r="Y280" i="1"/>
  <c r="X280" i="1"/>
  <c r="W280" i="1"/>
  <c r="V280" i="1"/>
  <c r="U280" i="1"/>
  <c r="T280" i="1"/>
  <c r="S280" i="1"/>
  <c r="R280" i="1"/>
  <c r="Q280" i="1"/>
  <c r="U279" i="1"/>
  <c r="T279" i="1"/>
  <c r="S279" i="1"/>
  <c r="R279" i="1"/>
  <c r="Q279" i="1"/>
  <c r="R278" i="1"/>
  <c r="Q278" i="1"/>
  <c r="X276" i="1"/>
  <c r="W276" i="1"/>
  <c r="V276" i="1"/>
  <c r="U276" i="1"/>
  <c r="T276" i="1"/>
  <c r="S276" i="1"/>
  <c r="R276" i="1"/>
  <c r="Q276" i="1"/>
  <c r="AD275" i="1"/>
  <c r="AC275" i="1"/>
  <c r="AB275" i="1"/>
  <c r="AA275" i="1"/>
  <c r="Z275" i="1"/>
  <c r="Y275" i="1"/>
  <c r="X275" i="1"/>
  <c r="W275" i="1"/>
  <c r="V275" i="1"/>
  <c r="U275" i="1"/>
  <c r="T275" i="1"/>
  <c r="S275" i="1"/>
  <c r="R275" i="1"/>
  <c r="Q275" i="1"/>
  <c r="S274" i="1"/>
  <c r="R274" i="1"/>
  <c r="Q274" i="1"/>
  <c r="T273" i="1"/>
  <c r="S273" i="1"/>
  <c r="R273" i="1"/>
  <c r="Q273" i="1"/>
  <c r="Q272" i="1"/>
  <c r="Q266" i="1"/>
  <c r="Q265" i="1"/>
  <c r="R264" i="1"/>
  <c r="Q264" i="1"/>
  <c r="U259" i="1"/>
  <c r="T259" i="1"/>
  <c r="S259" i="1"/>
  <c r="R259" i="1"/>
  <c r="Q259" i="1"/>
  <c r="Q258" i="1"/>
  <c r="AE257" i="1"/>
  <c r="AD257" i="1"/>
  <c r="AC257" i="1"/>
  <c r="AB257" i="1"/>
  <c r="AA257" i="1"/>
  <c r="Z257" i="1"/>
  <c r="Y257" i="1"/>
  <c r="X257" i="1"/>
  <c r="W257" i="1"/>
  <c r="V257" i="1"/>
  <c r="U257" i="1"/>
  <c r="T257" i="1"/>
  <c r="S257" i="1"/>
  <c r="R257" i="1"/>
  <c r="Q257" i="1"/>
  <c r="Q256" i="1"/>
  <c r="Q252" i="1"/>
  <c r="Q251" i="1"/>
  <c r="V250" i="1"/>
  <c r="U250" i="1"/>
  <c r="T250" i="1"/>
  <c r="S250" i="1"/>
  <c r="R250" i="1"/>
  <c r="Q250" i="1"/>
  <c r="Q248" i="1"/>
  <c r="X247" i="1"/>
  <c r="W247" i="1"/>
  <c r="V247" i="1"/>
  <c r="U247" i="1"/>
  <c r="T247" i="1"/>
  <c r="S247" i="1"/>
  <c r="R247" i="1"/>
  <c r="Q247" i="1"/>
  <c r="U246" i="1"/>
  <c r="T246" i="1"/>
  <c r="S246" i="1"/>
  <c r="R246" i="1"/>
  <c r="Q246" i="1"/>
  <c r="S245" i="1"/>
  <c r="R245" i="1"/>
  <c r="Q245" i="1"/>
  <c r="R244" i="1"/>
  <c r="Q244" i="1"/>
  <c r="T242" i="1"/>
  <c r="S242" i="1"/>
  <c r="R242" i="1"/>
  <c r="Q242" i="1"/>
  <c r="Z241" i="1"/>
  <c r="Y241" i="1"/>
  <c r="X241" i="1"/>
  <c r="W241" i="1"/>
  <c r="V241" i="1"/>
  <c r="U241" i="1"/>
  <c r="T241" i="1"/>
  <c r="S241" i="1"/>
  <c r="R241" i="1"/>
  <c r="Q241" i="1"/>
  <c r="Q240" i="1"/>
  <c r="Q239" i="1"/>
  <c r="Q238" i="1"/>
  <c r="R237" i="1"/>
  <c r="Q237" i="1"/>
  <c r="W235" i="1"/>
  <c r="V235" i="1"/>
  <c r="U235" i="1"/>
  <c r="T235" i="1"/>
  <c r="S235" i="1"/>
  <c r="R235" i="1"/>
  <c r="Q235" i="1"/>
  <c r="Q232" i="1"/>
  <c r="W231" i="1"/>
  <c r="V231" i="1"/>
  <c r="U231" i="1"/>
  <c r="T231" i="1"/>
  <c r="S231" i="1"/>
  <c r="R231" i="1"/>
  <c r="Q231" i="1"/>
  <c r="S229" i="1"/>
  <c r="R229" i="1"/>
  <c r="Q229" i="1"/>
  <c r="Q228" i="1"/>
  <c r="T227" i="1"/>
  <c r="S227" i="1"/>
  <c r="R227" i="1"/>
  <c r="Q227" i="1"/>
  <c r="Z225" i="1"/>
  <c r="Y225" i="1"/>
  <c r="X225" i="1"/>
  <c r="W225" i="1"/>
  <c r="V225" i="1"/>
  <c r="U225" i="1"/>
  <c r="T225" i="1"/>
  <c r="S225" i="1"/>
  <c r="R225" i="1"/>
  <c r="Q225" i="1"/>
  <c r="U224" i="1"/>
  <c r="T224" i="1"/>
  <c r="S224" i="1"/>
  <c r="R224" i="1"/>
  <c r="Q224" i="1"/>
  <c r="T223" i="1"/>
  <c r="S223" i="1"/>
  <c r="R223" i="1"/>
  <c r="Q223" i="1"/>
  <c r="Q222" i="1"/>
  <c r="S221" i="1"/>
  <c r="R221" i="1"/>
  <c r="Q221" i="1"/>
  <c r="S219" i="1"/>
  <c r="R219" i="1"/>
  <c r="Q219" i="1"/>
  <c r="Q217" i="1"/>
  <c r="W214" i="1"/>
  <c r="V214" i="1"/>
  <c r="U214" i="1"/>
  <c r="T214" i="1"/>
  <c r="S214" i="1"/>
  <c r="R214" i="1"/>
  <c r="Q214" i="1"/>
  <c r="Q213" i="1"/>
  <c r="U211" i="1"/>
  <c r="T211" i="1"/>
  <c r="S211" i="1"/>
  <c r="R211" i="1"/>
  <c r="Q211" i="1"/>
  <c r="W208" i="1"/>
  <c r="V208" i="1"/>
  <c r="U208" i="1"/>
  <c r="T208" i="1"/>
  <c r="S208" i="1"/>
  <c r="R208" i="1"/>
  <c r="Q208" i="1"/>
  <c r="AB207" i="1"/>
  <c r="AA207" i="1"/>
  <c r="Z207" i="1"/>
  <c r="Y207" i="1"/>
  <c r="X207" i="1"/>
  <c r="W207" i="1"/>
  <c r="V207" i="1"/>
  <c r="U207" i="1"/>
  <c r="T207" i="1"/>
  <c r="S207" i="1"/>
  <c r="R207" i="1"/>
  <c r="Q207" i="1"/>
  <c r="V206" i="1"/>
  <c r="U206" i="1"/>
  <c r="T206" i="1"/>
  <c r="S206" i="1"/>
  <c r="R206" i="1"/>
  <c r="Q206" i="1"/>
  <c r="V205" i="1"/>
  <c r="U205" i="1"/>
  <c r="T205" i="1"/>
  <c r="S205" i="1"/>
  <c r="R205" i="1"/>
  <c r="Q205" i="1"/>
  <c r="V204" i="1"/>
  <c r="U204" i="1"/>
  <c r="T204" i="1"/>
  <c r="S204" i="1"/>
  <c r="R204" i="1"/>
  <c r="Q204" i="1"/>
  <c r="S203" i="1"/>
  <c r="R203" i="1"/>
  <c r="Q203" i="1"/>
  <c r="V201" i="1"/>
  <c r="U201" i="1"/>
  <c r="T201" i="1"/>
  <c r="S201" i="1"/>
  <c r="R201" i="1"/>
  <c r="Q201" i="1"/>
  <c r="Z200" i="1"/>
  <c r="Y200" i="1"/>
  <c r="X200" i="1"/>
  <c r="W200" i="1"/>
  <c r="V200" i="1"/>
  <c r="U200" i="1"/>
  <c r="T200" i="1"/>
  <c r="S200" i="1"/>
  <c r="R200" i="1"/>
  <c r="Q200" i="1"/>
  <c r="R197" i="1"/>
  <c r="Q197" i="1"/>
  <c r="W196" i="1"/>
  <c r="V196" i="1"/>
  <c r="U196" i="1"/>
  <c r="T196" i="1"/>
  <c r="S196" i="1"/>
  <c r="R196" i="1"/>
  <c r="Q196" i="1"/>
  <c r="X194" i="1"/>
  <c r="W194" i="1"/>
  <c r="V194" i="1"/>
  <c r="U194" i="1"/>
  <c r="T194" i="1"/>
  <c r="S194" i="1"/>
  <c r="R194" i="1"/>
  <c r="Q194" i="1"/>
  <c r="R193" i="1"/>
  <c r="Q193" i="1"/>
  <c r="Q192" i="1"/>
  <c r="U191" i="1"/>
  <c r="T191" i="1"/>
  <c r="S191" i="1"/>
  <c r="R191" i="1"/>
  <c r="Q191" i="1"/>
  <c r="T189" i="1"/>
  <c r="S189" i="1"/>
  <c r="R189" i="1"/>
  <c r="Q189" i="1"/>
  <c r="R188" i="1"/>
  <c r="Q188" i="1"/>
  <c r="S187" i="1"/>
  <c r="R187" i="1"/>
  <c r="Q187" i="1"/>
  <c r="U186" i="1"/>
  <c r="T186" i="1"/>
  <c r="S186" i="1"/>
  <c r="R186" i="1"/>
  <c r="Q186" i="1"/>
  <c r="Z185" i="1"/>
  <c r="Y185" i="1"/>
  <c r="X185" i="1"/>
  <c r="W185" i="1"/>
  <c r="V185" i="1"/>
  <c r="U185" i="1"/>
  <c r="T185" i="1"/>
  <c r="S185" i="1"/>
  <c r="R185" i="1"/>
  <c r="Q185" i="1"/>
  <c r="V184" i="1"/>
  <c r="U184" i="1"/>
  <c r="T184" i="1"/>
  <c r="S184" i="1"/>
  <c r="R184" i="1"/>
  <c r="Q184" i="1"/>
  <c r="S183" i="1"/>
  <c r="R183" i="1"/>
  <c r="Q183" i="1"/>
  <c r="W182" i="1"/>
  <c r="V182" i="1"/>
  <c r="U182" i="1"/>
  <c r="T182" i="1"/>
  <c r="S182" i="1"/>
  <c r="R182" i="1"/>
  <c r="Q182" i="1"/>
  <c r="Q181" i="1"/>
  <c r="AE180" i="1"/>
  <c r="AD180" i="1"/>
  <c r="AC180" i="1"/>
  <c r="AB180" i="1"/>
  <c r="AA180" i="1"/>
  <c r="Z180" i="1"/>
  <c r="Y180" i="1"/>
  <c r="X180" i="1"/>
  <c r="W180" i="1"/>
  <c r="V180" i="1"/>
  <c r="U180" i="1"/>
  <c r="T180" i="1"/>
  <c r="S180" i="1"/>
  <c r="R180" i="1"/>
  <c r="Q180" i="1"/>
  <c r="AE179" i="1"/>
  <c r="AD179" i="1"/>
  <c r="AC179" i="1"/>
  <c r="AB179" i="1"/>
  <c r="AA179" i="1"/>
  <c r="Z179" i="1"/>
  <c r="Y179" i="1"/>
  <c r="X179" i="1"/>
  <c r="W179" i="1"/>
  <c r="V179" i="1"/>
  <c r="U179" i="1"/>
  <c r="T179" i="1"/>
  <c r="S179" i="1"/>
  <c r="R179" i="1"/>
  <c r="Q179" i="1"/>
  <c r="T177" i="1"/>
  <c r="S177" i="1"/>
  <c r="R177" i="1"/>
  <c r="Q177" i="1"/>
  <c r="V176" i="1"/>
  <c r="U176" i="1"/>
  <c r="T176" i="1"/>
  <c r="S176" i="1"/>
  <c r="R176" i="1"/>
  <c r="Q176" i="1"/>
  <c r="Z175" i="1"/>
  <c r="Y175" i="1"/>
  <c r="X175" i="1"/>
  <c r="W175" i="1"/>
  <c r="V175" i="1"/>
  <c r="U175" i="1"/>
  <c r="T175" i="1"/>
  <c r="S175" i="1"/>
  <c r="R175" i="1"/>
  <c r="Q175" i="1"/>
  <c r="Q173" i="1"/>
  <c r="R172" i="1"/>
  <c r="Q172" i="1"/>
  <c r="Z170" i="1"/>
  <c r="Y170" i="1"/>
  <c r="X170" i="1"/>
  <c r="W170" i="1"/>
  <c r="V170" i="1"/>
  <c r="U170" i="1"/>
  <c r="T170" i="1"/>
  <c r="S170" i="1"/>
  <c r="R170" i="1"/>
  <c r="Q170" i="1"/>
  <c r="S168" i="1"/>
  <c r="R168" i="1"/>
  <c r="Q168" i="1"/>
  <c r="Q167" i="1"/>
  <c r="Q166" i="1"/>
  <c r="U165" i="1"/>
  <c r="T165" i="1"/>
  <c r="S165" i="1"/>
  <c r="R165" i="1"/>
  <c r="Q165" i="1"/>
  <c r="U164" i="1"/>
  <c r="T164" i="1"/>
  <c r="S164" i="1"/>
  <c r="R164" i="1"/>
  <c r="Q164" i="1"/>
  <c r="T159" i="1"/>
  <c r="S159" i="1"/>
  <c r="R159" i="1"/>
  <c r="Q159" i="1"/>
  <c r="Q157" i="1"/>
  <c r="U155" i="1"/>
  <c r="T155" i="1"/>
  <c r="S155" i="1"/>
  <c r="R155" i="1"/>
  <c r="Q155" i="1"/>
  <c r="W154" i="1"/>
  <c r="V154" i="1"/>
  <c r="U154" i="1"/>
  <c r="T154" i="1"/>
  <c r="S154" i="1"/>
  <c r="R154" i="1"/>
  <c r="Q154" i="1"/>
  <c r="R153" i="1"/>
  <c r="Q153" i="1"/>
  <c r="U150" i="1"/>
  <c r="T150" i="1"/>
  <c r="S150" i="1"/>
  <c r="R150" i="1"/>
  <c r="Q150" i="1"/>
  <c r="T148" i="1"/>
  <c r="S148" i="1"/>
  <c r="R148" i="1"/>
  <c r="Q148" i="1"/>
  <c r="R147" i="1"/>
  <c r="Q147" i="1"/>
  <c r="Q146" i="1"/>
  <c r="S145" i="1"/>
  <c r="R145" i="1"/>
  <c r="Q145" i="1"/>
  <c r="V144" i="1"/>
  <c r="U144" i="1"/>
  <c r="T144" i="1"/>
  <c r="S144" i="1"/>
  <c r="R144" i="1"/>
  <c r="Q144" i="1"/>
  <c r="T143" i="1"/>
  <c r="S143" i="1"/>
  <c r="R143" i="1"/>
  <c r="Q143" i="1"/>
  <c r="S142" i="1"/>
  <c r="R142" i="1"/>
  <c r="Q142" i="1"/>
  <c r="R141" i="1"/>
  <c r="Q141" i="1"/>
  <c r="S140" i="1"/>
  <c r="R140" i="1"/>
  <c r="Q140" i="1"/>
  <c r="X139" i="1"/>
  <c r="W139" i="1"/>
  <c r="V139" i="1"/>
  <c r="U139" i="1"/>
  <c r="T139" i="1"/>
  <c r="S139" i="1"/>
  <c r="R139" i="1"/>
  <c r="Q139" i="1"/>
  <c r="V138" i="1"/>
  <c r="U138" i="1"/>
  <c r="T138" i="1"/>
  <c r="S138" i="1"/>
  <c r="R138" i="1"/>
  <c r="Q138" i="1"/>
  <c r="R137" i="1"/>
  <c r="Q137" i="1"/>
  <c r="Q135" i="1"/>
  <c r="Z134" i="1"/>
  <c r="Y134" i="1"/>
  <c r="X134" i="1"/>
  <c r="W134" i="1"/>
  <c r="V134" i="1"/>
  <c r="U134" i="1"/>
  <c r="T134" i="1"/>
  <c r="S134" i="1"/>
  <c r="R134" i="1"/>
  <c r="Q134" i="1"/>
  <c r="U133" i="1"/>
  <c r="T133" i="1"/>
  <c r="S133" i="1"/>
  <c r="R133" i="1"/>
  <c r="Q133" i="1"/>
  <c r="S132" i="1"/>
  <c r="R132" i="1"/>
  <c r="Q132" i="1"/>
  <c r="V131" i="1"/>
  <c r="U131" i="1"/>
  <c r="T131" i="1"/>
  <c r="S131" i="1"/>
  <c r="R131" i="1"/>
  <c r="Q131" i="1"/>
  <c r="S130" i="1"/>
  <c r="R130" i="1"/>
  <c r="Q130" i="1"/>
  <c r="V129" i="1"/>
  <c r="U129" i="1"/>
  <c r="T129" i="1"/>
  <c r="S129" i="1"/>
  <c r="R129" i="1"/>
  <c r="Q129" i="1"/>
  <c r="W128" i="1"/>
  <c r="V128" i="1"/>
  <c r="U128" i="1"/>
  <c r="T128" i="1"/>
  <c r="S128" i="1"/>
  <c r="R128" i="1"/>
  <c r="Q128" i="1"/>
  <c r="R127" i="1"/>
  <c r="Q127" i="1"/>
  <c r="V126" i="1"/>
  <c r="U126" i="1"/>
  <c r="T126" i="1"/>
  <c r="S126" i="1"/>
  <c r="R126" i="1"/>
  <c r="Q126" i="1"/>
  <c r="Q125" i="1"/>
  <c r="X124" i="1"/>
  <c r="W124" i="1"/>
  <c r="V124" i="1"/>
  <c r="U124" i="1"/>
  <c r="T124" i="1"/>
  <c r="S124" i="1"/>
  <c r="R124" i="1"/>
  <c r="Q124" i="1"/>
  <c r="AE122" i="1"/>
  <c r="AD122" i="1"/>
  <c r="AC122" i="1"/>
  <c r="AB122" i="1"/>
  <c r="AA122" i="1"/>
  <c r="Z122" i="1"/>
  <c r="Y122" i="1"/>
  <c r="X122" i="1"/>
  <c r="W122" i="1"/>
  <c r="V122" i="1"/>
  <c r="U122" i="1"/>
  <c r="T122" i="1"/>
  <c r="S122" i="1"/>
  <c r="R122" i="1"/>
  <c r="Q122" i="1"/>
  <c r="U121" i="1"/>
  <c r="T121" i="1"/>
  <c r="S121" i="1"/>
  <c r="R121" i="1"/>
  <c r="Q121" i="1"/>
  <c r="AE120" i="1"/>
  <c r="AD120" i="1"/>
  <c r="AC120" i="1"/>
  <c r="AB120" i="1"/>
  <c r="AA120" i="1"/>
  <c r="Z120" i="1"/>
  <c r="Y120" i="1"/>
  <c r="X120" i="1"/>
  <c r="W120" i="1"/>
  <c r="V120" i="1"/>
  <c r="U120" i="1"/>
  <c r="T120" i="1"/>
  <c r="S120" i="1"/>
  <c r="R120" i="1"/>
  <c r="Q120" i="1"/>
  <c r="X119" i="1"/>
  <c r="W119" i="1"/>
  <c r="V119" i="1"/>
  <c r="U119" i="1"/>
  <c r="T119" i="1"/>
  <c r="S119" i="1"/>
  <c r="R119" i="1"/>
  <c r="Q119" i="1"/>
  <c r="R117" i="1"/>
  <c r="Q117" i="1"/>
  <c r="Q116" i="1"/>
  <c r="T115" i="1"/>
  <c r="S115" i="1"/>
  <c r="R115" i="1"/>
  <c r="Q115" i="1"/>
  <c r="Q114" i="1"/>
  <c r="R113" i="1"/>
  <c r="Q113" i="1"/>
  <c r="S112" i="1"/>
  <c r="R112" i="1"/>
  <c r="Q112" i="1"/>
  <c r="S109" i="1"/>
  <c r="R109" i="1"/>
  <c r="Q109" i="1"/>
  <c r="R108" i="1"/>
  <c r="Q108" i="1"/>
  <c r="Z107" i="1"/>
  <c r="Y107" i="1"/>
  <c r="X107" i="1"/>
  <c r="W107" i="1"/>
  <c r="V107" i="1"/>
  <c r="U107" i="1"/>
  <c r="T107" i="1"/>
  <c r="S107" i="1"/>
  <c r="R107" i="1"/>
  <c r="Q107" i="1"/>
  <c r="R106" i="1"/>
  <c r="Q106" i="1"/>
  <c r="X103" i="1"/>
  <c r="W103" i="1"/>
  <c r="V103" i="1"/>
  <c r="U103" i="1"/>
  <c r="T103" i="1"/>
  <c r="S103" i="1"/>
  <c r="R103" i="1"/>
  <c r="Q103" i="1"/>
  <c r="Z102" i="1"/>
  <c r="Y102" i="1"/>
  <c r="X102" i="1"/>
  <c r="W102" i="1"/>
  <c r="V102" i="1"/>
  <c r="U102" i="1"/>
  <c r="T102" i="1"/>
  <c r="S102" i="1"/>
  <c r="R102" i="1"/>
  <c r="Q102" i="1"/>
  <c r="Z101" i="1"/>
  <c r="Y101" i="1"/>
  <c r="X101" i="1"/>
  <c r="W101" i="1"/>
  <c r="V101" i="1"/>
  <c r="U101" i="1"/>
  <c r="T101" i="1"/>
  <c r="S101" i="1"/>
  <c r="R101" i="1"/>
  <c r="Q101" i="1"/>
  <c r="U100" i="1"/>
  <c r="T100" i="1"/>
  <c r="S100" i="1"/>
  <c r="R100" i="1"/>
  <c r="Q100" i="1"/>
  <c r="T99" i="1"/>
  <c r="S99" i="1"/>
  <c r="R99" i="1"/>
  <c r="Q99" i="1"/>
  <c r="Q98" i="1"/>
  <c r="R97" i="1"/>
  <c r="Q97" i="1"/>
  <c r="R96" i="1"/>
  <c r="Q96" i="1"/>
  <c r="X95" i="1"/>
  <c r="W95" i="1"/>
  <c r="V95" i="1"/>
  <c r="U95" i="1"/>
  <c r="T95" i="1"/>
  <c r="S95" i="1"/>
  <c r="R95" i="1"/>
  <c r="Q95" i="1"/>
  <c r="U94" i="1"/>
  <c r="T94" i="1"/>
  <c r="S94" i="1"/>
  <c r="R94" i="1"/>
  <c r="Q94" i="1"/>
  <c r="Q93" i="1"/>
  <c r="Q92" i="1"/>
  <c r="Y91" i="1"/>
  <c r="X91" i="1"/>
  <c r="W91" i="1"/>
  <c r="V91" i="1"/>
  <c r="U91" i="1"/>
  <c r="T91" i="1"/>
  <c r="S91" i="1"/>
  <c r="R91" i="1"/>
  <c r="Q91" i="1"/>
  <c r="S90" i="1"/>
  <c r="R90" i="1"/>
  <c r="Q90" i="1"/>
  <c r="R89" i="1"/>
  <c r="Q89" i="1"/>
  <c r="S87" i="1"/>
  <c r="R87" i="1"/>
  <c r="Q87" i="1"/>
  <c r="R86" i="1"/>
  <c r="Q86" i="1"/>
  <c r="S85" i="1"/>
  <c r="R85" i="1"/>
  <c r="Q85" i="1"/>
  <c r="R84" i="1"/>
  <c r="Q84" i="1"/>
  <c r="R83" i="1"/>
  <c r="Q83" i="1"/>
  <c r="R82" i="1"/>
  <c r="Q82" i="1"/>
  <c r="Q81" i="1"/>
  <c r="Q80" i="1"/>
  <c r="S79" i="1"/>
  <c r="R79" i="1"/>
  <c r="Q79" i="1"/>
  <c r="Q78" i="1"/>
  <c r="S77" i="1"/>
  <c r="R77" i="1"/>
  <c r="Q77" i="1"/>
  <c r="U76" i="1"/>
  <c r="T76" i="1"/>
  <c r="S76" i="1"/>
  <c r="R76" i="1"/>
  <c r="Q76" i="1"/>
  <c r="W75" i="1"/>
  <c r="V75" i="1"/>
  <c r="U75" i="1"/>
  <c r="T75" i="1"/>
  <c r="S75" i="1"/>
  <c r="R75" i="1"/>
  <c r="Q75" i="1"/>
  <c r="Q74" i="1"/>
  <c r="AE73" i="1"/>
  <c r="AD73" i="1"/>
  <c r="AC73" i="1"/>
  <c r="AB73" i="1"/>
  <c r="AA73" i="1"/>
  <c r="Z73" i="1"/>
  <c r="Y73" i="1"/>
  <c r="X73" i="1"/>
  <c r="W73" i="1"/>
  <c r="V73" i="1"/>
  <c r="U73" i="1"/>
  <c r="T73" i="1"/>
  <c r="S73" i="1"/>
  <c r="R73" i="1"/>
  <c r="Q73" i="1"/>
  <c r="Q72" i="1"/>
  <c r="Q70" i="1"/>
  <c r="S69" i="1"/>
  <c r="R69" i="1"/>
  <c r="Q69" i="1"/>
  <c r="S68" i="1"/>
  <c r="R68" i="1"/>
  <c r="Q68" i="1"/>
  <c r="Q67" i="1"/>
  <c r="T66" i="1"/>
  <c r="S66" i="1"/>
  <c r="R66" i="1"/>
  <c r="Q66" i="1"/>
  <c r="S64" i="1"/>
  <c r="R64" i="1"/>
  <c r="Q64" i="1"/>
  <c r="S62" i="1"/>
  <c r="R62" i="1"/>
  <c r="Q62" i="1"/>
  <c r="Z59" i="1"/>
  <c r="Y59" i="1"/>
  <c r="X59" i="1"/>
  <c r="W59" i="1"/>
  <c r="V59" i="1"/>
  <c r="U59" i="1"/>
  <c r="T59" i="1"/>
  <c r="S59" i="1"/>
  <c r="R59" i="1"/>
  <c r="Q59" i="1"/>
  <c r="Z57" i="1"/>
  <c r="Y57" i="1"/>
  <c r="X57" i="1"/>
  <c r="W57" i="1"/>
  <c r="V57" i="1"/>
  <c r="U57" i="1"/>
  <c r="T57" i="1"/>
  <c r="S57" i="1"/>
  <c r="R57" i="1"/>
  <c r="Q57" i="1"/>
  <c r="U56" i="1"/>
  <c r="T56" i="1"/>
  <c r="S56" i="1"/>
  <c r="R56" i="1"/>
  <c r="Q56" i="1"/>
  <c r="W55" i="1"/>
  <c r="V55" i="1"/>
  <c r="U55" i="1"/>
  <c r="T55" i="1"/>
  <c r="S55" i="1"/>
  <c r="R55" i="1"/>
  <c r="Q55" i="1"/>
  <c r="Q54" i="1"/>
  <c r="U50" i="1"/>
  <c r="T50" i="1"/>
  <c r="S50" i="1"/>
  <c r="R50" i="1"/>
  <c r="Q50" i="1"/>
  <c r="U49" i="1"/>
  <c r="T49" i="1"/>
  <c r="S49" i="1"/>
  <c r="R49" i="1"/>
  <c r="Q49" i="1"/>
  <c r="R48" i="1"/>
  <c r="Q48" i="1"/>
  <c r="Q47" i="1"/>
  <c r="Q46" i="1"/>
  <c r="S45" i="1"/>
  <c r="R45" i="1"/>
  <c r="Q45" i="1"/>
  <c r="Q44" i="1"/>
  <c r="T43" i="1"/>
  <c r="S43" i="1"/>
  <c r="R43" i="1"/>
  <c r="Q43" i="1"/>
  <c r="Q42" i="1"/>
  <c r="U41" i="1"/>
  <c r="T41" i="1"/>
  <c r="S41" i="1"/>
  <c r="R41" i="1"/>
  <c r="Q41" i="1"/>
  <c r="S40" i="1"/>
  <c r="R40" i="1"/>
  <c r="Q40" i="1"/>
  <c r="R39" i="1"/>
  <c r="Q39" i="1"/>
  <c r="S38" i="1"/>
  <c r="R38" i="1"/>
  <c r="Q38" i="1"/>
  <c r="V37" i="1"/>
  <c r="U37" i="1"/>
  <c r="T37" i="1"/>
  <c r="S37" i="1"/>
  <c r="R37" i="1"/>
  <c r="Q37" i="1"/>
  <c r="Q35" i="1"/>
  <c r="U34" i="1"/>
  <c r="T34" i="1"/>
  <c r="S34" i="1"/>
  <c r="R34" i="1"/>
  <c r="Q34" i="1"/>
  <c r="Q33" i="1"/>
  <c r="T31" i="1"/>
  <c r="S31" i="1"/>
  <c r="R31" i="1"/>
  <c r="Q31" i="1"/>
  <c r="T29" i="1"/>
  <c r="S29" i="1"/>
  <c r="R29" i="1"/>
  <c r="Q29" i="1"/>
  <c r="Q28" i="1"/>
  <c r="U26" i="1"/>
  <c r="T26" i="1"/>
  <c r="S26" i="1"/>
  <c r="R26" i="1"/>
  <c r="Q26" i="1"/>
  <c r="Q25" i="1"/>
  <c r="Q24" i="1"/>
  <c r="S23" i="1"/>
  <c r="R23" i="1"/>
  <c r="Q23" i="1"/>
  <c r="U22" i="1"/>
  <c r="T22" i="1"/>
  <c r="S22" i="1"/>
  <c r="R22" i="1"/>
  <c r="Q22" i="1"/>
  <c r="U21" i="1"/>
  <c r="T21" i="1"/>
  <c r="S21" i="1"/>
  <c r="R21" i="1"/>
  <c r="Q21" i="1"/>
  <c r="R20" i="1"/>
  <c r="Q20" i="1"/>
  <c r="Q19" i="1"/>
  <c r="R18" i="1"/>
  <c r="Q18" i="1"/>
  <c r="V17" i="1"/>
  <c r="U17" i="1"/>
  <c r="T17" i="1"/>
  <c r="S17" i="1"/>
  <c r="R17" i="1"/>
  <c r="Q17" i="1"/>
  <c r="T14" i="1"/>
  <c r="S14" i="1"/>
  <c r="R14" i="1"/>
  <c r="Q14" i="1"/>
  <c r="X13" i="1"/>
  <c r="W13" i="1"/>
  <c r="V13" i="1"/>
  <c r="U13" i="1"/>
  <c r="T13" i="1"/>
  <c r="S13" i="1"/>
  <c r="R13" i="1"/>
  <c r="Q13" i="1"/>
  <c r="S12" i="1"/>
  <c r="R12" i="1"/>
  <c r="Q12" i="1"/>
  <c r="U11" i="1"/>
  <c r="T11" i="1"/>
  <c r="S11" i="1"/>
  <c r="R11" i="1"/>
  <c r="Q11" i="1"/>
  <c r="R10" i="1"/>
  <c r="Q10" i="1"/>
  <c r="Q8" i="1"/>
  <c r="R7" i="1"/>
  <c r="Q7" i="1"/>
  <c r="Q6" i="1"/>
  <c r="Q5" i="1"/>
  <c r="U3" i="1"/>
  <c r="T3" i="1"/>
  <c r="S3" i="1"/>
  <c r="R3" i="1"/>
  <c r="Q3" i="1"/>
  <c r="U2" i="1"/>
  <c r="T2" i="1"/>
  <c r="S2" i="1"/>
  <c r="R2" i="1"/>
  <c r="Q2" i="1"/>
</calcChain>
</file>

<file path=xl/sharedStrings.xml><?xml version="1.0" encoding="utf-8"?>
<sst xmlns="http://schemas.openxmlformats.org/spreadsheetml/2006/main" count="32356" uniqueCount="12259">
  <si>
    <t>part1</t>
  </si>
  <si>
    <t>part2</t>
  </si>
  <si>
    <t>part3</t>
  </si>
  <si>
    <t>part4</t>
  </si>
  <si>
    <t>create</t>
  </si>
  <si>
    <t>increase</t>
  </si>
  <si>
    <t>improve</t>
  </si>
  <si>
    <t>mean</t>
  </si>
  <si>
    <t>own</t>
  </si>
  <si>
    <t>related1</t>
  </si>
  <si>
    <t>related2</t>
  </si>
  <si>
    <t>related3</t>
  </si>
  <si>
    <t>related4</t>
  </si>
  <si>
    <t>related5</t>
  </si>
  <si>
    <t>related6</t>
  </si>
  <si>
    <t>note1</t>
  </si>
  <si>
    <t>note2</t>
  </si>
  <si>
    <t>note3</t>
  </si>
  <si>
    <t>note4</t>
  </si>
  <si>
    <t>note5</t>
  </si>
  <si>
    <t>part5</t>
  </si>
  <si>
    <t>p1</t>
  </si>
  <si>
    <t>p2</t>
  </si>
  <si>
    <t>p3</t>
  </si>
  <si>
    <t>p4</t>
  </si>
  <si>
    <t>p5</t>
  </si>
  <si>
    <t>p6</t>
  </si>
  <si>
    <t>in</t>
  </si>
  <si>
    <t>crease</t>
  </si>
  <si>
    <t>im</t>
  </si>
  <si>
    <t>note6</t>
  </si>
  <si>
    <t>pro</t>
  </si>
  <si>
    <t>tag1</t>
  </si>
  <si>
    <t>tag2</t>
  </si>
  <si>
    <t>tag3</t>
  </si>
  <si>
    <t>tag4</t>
  </si>
  <si>
    <t>tag5</t>
  </si>
  <si>
    <t>tag6</t>
  </si>
  <si>
    <t>補足</t>
  </si>
  <si>
    <t>h1</t>
  </si>
  <si>
    <t>h2</t>
  </si>
  <si>
    <t>h3</t>
  </si>
  <si>
    <t>note7</t>
  </si>
  <si>
    <t>include</t>
  </si>
  <si>
    <t>clude</t>
  </si>
  <si>
    <t>consider</t>
  </si>
  <si>
    <t>con</t>
  </si>
  <si>
    <t>sider</t>
  </si>
  <si>
    <t>allow</t>
  </si>
  <si>
    <t>al</t>
  </si>
  <si>
    <t>low</t>
  </si>
  <si>
    <t>suggest</t>
  </si>
  <si>
    <t>share</t>
  </si>
  <si>
    <t>store</t>
  </si>
  <si>
    <t>tend</t>
  </si>
  <si>
    <t>concern</t>
  </si>
  <si>
    <t>describe</t>
  </si>
  <si>
    <t>involve</t>
  </si>
  <si>
    <t>reduce</t>
  </si>
  <si>
    <t>design</t>
  </si>
  <si>
    <t>force</t>
  </si>
  <si>
    <t>limit</t>
  </si>
  <si>
    <t>bear</t>
  </si>
  <si>
    <t>affect</t>
  </si>
  <si>
    <t>deal</t>
  </si>
  <si>
    <t>avoid</t>
  </si>
  <si>
    <t>relate</t>
  </si>
  <si>
    <t>realize</t>
  </si>
  <si>
    <t>measure</t>
  </si>
  <si>
    <t>mark</t>
  </si>
  <si>
    <t>challenge</t>
  </si>
  <si>
    <t>depend</t>
  </si>
  <si>
    <t>object</t>
  </si>
  <si>
    <t>demand</t>
  </si>
  <si>
    <t>found</t>
  </si>
  <si>
    <t>complete</t>
  </si>
  <si>
    <t>idea</t>
  </si>
  <si>
    <t>accord</t>
  </si>
  <si>
    <t>interest</t>
  </si>
  <si>
    <t>research</t>
  </si>
  <si>
    <t>cause</t>
  </si>
  <si>
    <t>reason</t>
  </si>
  <si>
    <t>influence</t>
  </si>
  <si>
    <t>skill</t>
  </si>
  <si>
    <t>matter</t>
  </si>
  <si>
    <t>view</t>
  </si>
  <si>
    <t>value</t>
  </si>
  <si>
    <t>thought</t>
  </si>
  <si>
    <t>practice</t>
  </si>
  <si>
    <t>issue</t>
  </si>
  <si>
    <t>focus</t>
  </si>
  <si>
    <t>subject</t>
  </si>
  <si>
    <t>project</t>
  </si>
  <si>
    <t>role</t>
  </si>
  <si>
    <t>term</t>
  </si>
  <si>
    <t>common</t>
  </si>
  <si>
    <t>certain</t>
  </si>
  <si>
    <t>major</t>
  </si>
  <si>
    <t>due</t>
  </si>
  <si>
    <t>blank</t>
  </si>
  <si>
    <t>waste</t>
  </si>
  <si>
    <t>spread</t>
  </si>
  <si>
    <t>perform</t>
  </si>
  <si>
    <t>treat</t>
  </si>
  <si>
    <t>prove</t>
  </si>
  <si>
    <t>contact</t>
  </si>
  <si>
    <t>regard</t>
  </si>
  <si>
    <t>respect</t>
  </si>
  <si>
    <t>search</t>
  </si>
  <si>
    <t>prevent</t>
  </si>
  <si>
    <t>publish</t>
  </si>
  <si>
    <t>task</t>
  </si>
  <si>
    <t>medium</t>
  </si>
  <si>
    <t>economy</t>
  </si>
  <si>
    <t>policy</t>
  </si>
  <si>
    <t>account</t>
  </si>
  <si>
    <t>trade</t>
  </si>
  <si>
    <t>model</t>
  </si>
  <si>
    <t>figure</t>
  </si>
  <si>
    <t>cell</t>
  </si>
  <si>
    <t>image</t>
  </si>
  <si>
    <t>stress</t>
  </si>
  <si>
    <t>decade</t>
  </si>
  <si>
    <t>range</t>
  </si>
  <si>
    <t>character</t>
  </si>
  <si>
    <t>advantage</t>
  </si>
  <si>
    <t>phrase</t>
  </si>
  <si>
    <t>impact</t>
  </si>
  <si>
    <t>method</t>
  </si>
  <si>
    <t>medicine</t>
  </si>
  <si>
    <t>detail</t>
  </si>
  <si>
    <t>function</t>
  </si>
  <si>
    <t>access</t>
  </si>
  <si>
    <t>item</t>
  </si>
  <si>
    <t>site</t>
  </si>
  <si>
    <t>habit</t>
  </si>
  <si>
    <t>link</t>
  </si>
  <si>
    <t>negative</t>
  </si>
  <si>
    <t>specific</t>
  </si>
  <si>
    <t>significant</t>
  </si>
  <si>
    <t>official</t>
  </si>
  <si>
    <t>financial</t>
  </si>
  <si>
    <t>aware</t>
  </si>
  <si>
    <t>worth</t>
  </si>
  <si>
    <t>active</t>
  </si>
  <si>
    <t>novel</t>
  </si>
  <si>
    <t>chemical</t>
  </si>
  <si>
    <t>indicate</t>
  </si>
  <si>
    <t>manage</t>
  </si>
  <si>
    <t>survey</t>
  </si>
  <si>
    <t>replace</t>
  </si>
  <si>
    <t>sort</t>
  </si>
  <si>
    <t>conduct</t>
  </si>
  <si>
    <t>earn</t>
  </si>
  <si>
    <t>unite</t>
  </si>
  <si>
    <t>feed</t>
  </si>
  <si>
    <t>seek</t>
  </si>
  <si>
    <t>observe</t>
  </si>
  <si>
    <t>reveal</t>
  </si>
  <si>
    <t>estimate</t>
  </si>
  <si>
    <t>reflect</t>
  </si>
  <si>
    <t>attract</t>
  </si>
  <si>
    <t>match</t>
  </si>
  <si>
    <t>define</t>
  </si>
  <si>
    <t>contribute</t>
  </si>
  <si>
    <t>exchange</t>
  </si>
  <si>
    <t>respond</t>
  </si>
  <si>
    <t>hide</t>
  </si>
  <si>
    <t>doubt</t>
  </si>
  <si>
    <t>wind</t>
  </si>
  <si>
    <t>assume</t>
  </si>
  <si>
    <t>relax</t>
  </si>
  <si>
    <t>satisfy</t>
  </si>
  <si>
    <t>concept</t>
  </si>
  <si>
    <t>device</t>
  </si>
  <si>
    <t>charge</t>
  </si>
  <si>
    <t>contrast</t>
  </si>
  <si>
    <t>colleague</t>
  </si>
  <si>
    <t>pain</t>
  </si>
  <si>
    <t>bill</t>
  </si>
  <si>
    <t>content</t>
  </si>
  <si>
    <t>surface</t>
  </si>
  <si>
    <t>crop</t>
  </si>
  <si>
    <t>topic</t>
  </si>
  <si>
    <t>technique</t>
  </si>
  <si>
    <t>status</t>
  </si>
  <si>
    <t>race</t>
  </si>
  <si>
    <t>crime</t>
  </si>
  <si>
    <t>conflict</t>
  </si>
  <si>
    <t>struggle</t>
  </si>
  <si>
    <t>context</t>
  </si>
  <si>
    <t>debate</t>
  </si>
  <si>
    <t>fuel</t>
  </si>
  <si>
    <t>trend</t>
  </si>
  <si>
    <t>balance</t>
  </si>
  <si>
    <t>traffic</t>
  </si>
  <si>
    <t>strategy</t>
  </si>
  <si>
    <t>basis</t>
  </si>
  <si>
    <t>consequence</t>
  </si>
  <si>
    <t>aim</t>
  </si>
  <si>
    <t>gene</t>
  </si>
  <si>
    <t>track</t>
  </si>
  <si>
    <t>progress</t>
  </si>
  <si>
    <t>efficient</t>
  </si>
  <si>
    <t>vast</t>
  </si>
  <si>
    <t>extra</t>
  </si>
  <si>
    <t>entire</t>
  </si>
  <si>
    <t>obvious</t>
  </si>
  <si>
    <t>previous</t>
  </si>
  <si>
    <t>rare</t>
  </si>
  <si>
    <t>extreme</t>
  </si>
  <si>
    <t>whereas</t>
  </si>
  <si>
    <t>trust</t>
  </si>
  <si>
    <t>stick</t>
  </si>
  <si>
    <t>emerge</t>
  </si>
  <si>
    <t>vary</t>
  </si>
  <si>
    <t>enable</t>
  </si>
  <si>
    <t>rely</t>
  </si>
  <si>
    <t>engage</t>
  </si>
  <si>
    <t>shift</t>
  </si>
  <si>
    <t>adopt</t>
  </si>
  <si>
    <t>expand</t>
  </si>
  <si>
    <t>refuse</t>
  </si>
  <si>
    <t>strike</t>
  </si>
  <si>
    <t>repeat</t>
  </si>
  <si>
    <t>convince</t>
  </si>
  <si>
    <t>recall</t>
  </si>
  <si>
    <t>warn</t>
  </si>
  <si>
    <t>operate</t>
  </si>
  <si>
    <t>surround</t>
  </si>
  <si>
    <t>flow</t>
  </si>
  <si>
    <t>bore</t>
  </si>
  <si>
    <t>complain</t>
  </si>
  <si>
    <t>host</t>
  </si>
  <si>
    <t>combine</t>
  </si>
  <si>
    <t>appreciate</t>
  </si>
  <si>
    <t>target</t>
  </si>
  <si>
    <t>element</t>
  </si>
  <si>
    <t>principle</t>
  </si>
  <si>
    <t>atmosphere</t>
  </si>
  <si>
    <t>origin</t>
  </si>
  <si>
    <t>personality</t>
  </si>
  <si>
    <t>capacity</t>
  </si>
  <si>
    <t>profit</t>
  </si>
  <si>
    <t>manner</t>
  </si>
  <si>
    <t>threat</t>
  </si>
  <si>
    <t>wealth</t>
  </si>
  <si>
    <t>authority</t>
  </si>
  <si>
    <t>vote</t>
  </si>
  <si>
    <t>sight</t>
  </si>
  <si>
    <t>fund</t>
  </si>
  <si>
    <t>web</t>
  </si>
  <si>
    <t>symbol</t>
  </si>
  <si>
    <t>crisis</t>
  </si>
  <si>
    <t>disaster</t>
  </si>
  <si>
    <t>psychology</t>
  </si>
  <si>
    <t>gender</t>
  </si>
  <si>
    <t>court</t>
  </si>
  <si>
    <t>desert</t>
  </si>
  <si>
    <t>soil</t>
  </si>
  <si>
    <t>conscious</t>
  </si>
  <si>
    <t>accurate</t>
  </si>
  <si>
    <t>artificial</t>
  </si>
  <si>
    <t>firm</t>
  </si>
  <si>
    <t>overall</t>
  </si>
  <si>
    <t>military</t>
  </si>
  <si>
    <t>nuclear</t>
  </si>
  <si>
    <t>biological</t>
  </si>
  <si>
    <t>severe</t>
  </si>
  <si>
    <t>enormous</t>
  </si>
  <si>
    <t>domestic</t>
  </si>
  <si>
    <t>mass</t>
  </si>
  <si>
    <t>overseas</t>
  </si>
  <si>
    <t>nevertheless</t>
  </si>
  <si>
    <t>demonstrate</t>
  </si>
  <si>
    <t>encounter</t>
  </si>
  <si>
    <t>remind</t>
  </si>
  <si>
    <t>locate</t>
  </si>
  <si>
    <t>aid</t>
  </si>
  <si>
    <t>bite</t>
  </si>
  <si>
    <t>deliver</t>
  </si>
  <si>
    <t>distinguish</t>
  </si>
  <si>
    <t>handle</t>
  </si>
  <si>
    <t>praise</t>
  </si>
  <si>
    <t>appeal</t>
  </si>
  <si>
    <t>rank</t>
  </si>
  <si>
    <t>deny</t>
  </si>
  <si>
    <t>favor</t>
  </si>
  <si>
    <t>inspire</t>
  </si>
  <si>
    <t>spell</t>
  </si>
  <si>
    <t>breathe</t>
  </si>
  <si>
    <t>comment</t>
  </si>
  <si>
    <t>neighborhood</t>
  </si>
  <si>
    <t>laboratory</t>
  </si>
  <si>
    <t>confidence</t>
  </si>
  <si>
    <t>harm</t>
  </si>
  <si>
    <t>category</t>
  </si>
  <si>
    <t>capital</t>
  </si>
  <si>
    <t>outcome</t>
  </si>
  <si>
    <t>trait</t>
  </si>
  <si>
    <t>victim</t>
  </si>
  <si>
    <t>occasion</t>
  </si>
  <si>
    <t>facility</t>
  </si>
  <si>
    <t>stock</t>
  </si>
  <si>
    <t>humanity</t>
  </si>
  <si>
    <t>dialect</t>
  </si>
  <si>
    <t>tip</t>
  </si>
  <si>
    <t>lawyer</t>
  </si>
  <si>
    <t>stuff</t>
  </si>
  <si>
    <t>comfort</t>
  </si>
  <si>
    <t>philosophy</t>
  </si>
  <si>
    <t>mammal</t>
  </si>
  <si>
    <t>landscape</t>
  </si>
  <si>
    <t>tribe</t>
  </si>
  <si>
    <t>organ</t>
  </si>
  <si>
    <t>trial</t>
  </si>
  <si>
    <t>norm</t>
  </si>
  <si>
    <t>code</t>
  </si>
  <si>
    <t>numerous</t>
  </si>
  <si>
    <t>narrow</t>
  </si>
  <si>
    <t>widespread</t>
  </si>
  <si>
    <t>sufficient</t>
  </si>
  <si>
    <t>linguistic</t>
  </si>
  <si>
    <t>annual</t>
  </si>
  <si>
    <t>contemporary</t>
  </si>
  <si>
    <t>strict</t>
  </si>
  <si>
    <t>civil</t>
  </si>
  <si>
    <t>odd</t>
  </si>
  <si>
    <t>superior</t>
  </si>
  <si>
    <t>sensitive</t>
  </si>
  <si>
    <t>violent</t>
  </si>
  <si>
    <t>immediate</t>
  </si>
  <si>
    <t>crucial</t>
  </si>
  <si>
    <t>somewhat</t>
  </si>
  <si>
    <t>translate</t>
  </si>
  <si>
    <t>request</t>
  </si>
  <si>
    <t>overcome</t>
  </si>
  <si>
    <t>inform</t>
  </si>
  <si>
    <t>announce</t>
  </si>
  <si>
    <t>grant</t>
  </si>
  <si>
    <t>freeze</t>
  </si>
  <si>
    <t>hate</t>
  </si>
  <si>
    <t>credit</t>
  </si>
  <si>
    <t>arise</t>
  </si>
  <si>
    <t>beat</t>
  </si>
  <si>
    <t>regret</t>
  </si>
  <si>
    <t>alter</t>
  </si>
  <si>
    <t>absorb</t>
  </si>
  <si>
    <t>disappoint</t>
  </si>
  <si>
    <t>transport</t>
  </si>
  <si>
    <t>rush</t>
  </si>
  <si>
    <t>hang</t>
  </si>
  <si>
    <t>blame</t>
  </si>
  <si>
    <t>ban</t>
  </si>
  <si>
    <t>fascinate</t>
  </si>
  <si>
    <t>recover</t>
  </si>
  <si>
    <t>celebrate</t>
  </si>
  <si>
    <t>interact</t>
  </si>
  <si>
    <t>arrange</t>
  </si>
  <si>
    <t>adjust</t>
  </si>
  <si>
    <t>innovation</t>
  </si>
  <si>
    <t>budget</t>
  </si>
  <si>
    <t>fee</t>
  </si>
  <si>
    <t>debt</t>
  </si>
  <si>
    <t>loan</t>
  </si>
  <si>
    <t>duty</t>
  </si>
  <si>
    <t>alarm</t>
  </si>
  <si>
    <t>democracy</t>
  </si>
  <si>
    <t>minister</t>
  </si>
  <si>
    <t>fellow</t>
  </si>
  <si>
    <t>candidate</t>
  </si>
  <si>
    <t>corporation</t>
  </si>
  <si>
    <t>stereotype</t>
  </si>
  <si>
    <t>route</t>
  </si>
  <si>
    <t>disorder</t>
  </si>
  <si>
    <t>weapon</t>
  </si>
  <si>
    <t>barrier</t>
  </si>
  <si>
    <t>mood</t>
  </si>
  <si>
    <t>myth</t>
  </si>
  <si>
    <t>hypothesis</t>
  </si>
  <si>
    <t>grain</t>
  </si>
  <si>
    <t>treasure</t>
  </si>
  <si>
    <t>welfare</t>
  </si>
  <si>
    <t>prime</t>
  </si>
  <si>
    <t>curious</t>
  </si>
  <si>
    <t>dramatic</t>
  </si>
  <si>
    <t>distinct</t>
  </si>
  <si>
    <t>anxious</t>
  </si>
  <si>
    <t>stable</t>
  </si>
  <si>
    <t>flexible</t>
  </si>
  <si>
    <t>brief</t>
  </si>
  <si>
    <t>aggressive</t>
  </si>
  <si>
    <t>ethnic</t>
  </si>
  <si>
    <t>alien</t>
  </si>
  <si>
    <t>initial</t>
  </si>
  <si>
    <t>exact</t>
  </si>
  <si>
    <t>precise</t>
  </si>
  <si>
    <t>latter</t>
  </si>
  <si>
    <t>commit</t>
  </si>
  <si>
    <t>stimulate</t>
  </si>
  <si>
    <t>enhance</t>
  </si>
  <si>
    <t>pursue</t>
  </si>
  <si>
    <t>react</t>
  </si>
  <si>
    <t>disagree</t>
  </si>
  <si>
    <t>stare</t>
  </si>
  <si>
    <t>abandon</t>
  </si>
  <si>
    <t>quit</t>
  </si>
  <si>
    <t>capture</t>
  </si>
  <si>
    <t>bother</t>
  </si>
  <si>
    <t>persuade</t>
  </si>
  <si>
    <t>rent</t>
  </si>
  <si>
    <t>breed</t>
  </si>
  <si>
    <t>invest</t>
  </si>
  <si>
    <t>illustrate</t>
  </si>
  <si>
    <t>attach</t>
  </si>
  <si>
    <t>stretch</t>
  </si>
  <si>
    <t>puzzle</t>
  </si>
  <si>
    <t>disturb</t>
  </si>
  <si>
    <t>crash</t>
  </si>
  <si>
    <t>cope</t>
  </si>
  <si>
    <t>upset</t>
  </si>
  <si>
    <t>investigate</t>
  </si>
  <si>
    <t>monitor</t>
  </si>
  <si>
    <t>calculate</t>
  </si>
  <si>
    <t>ease</t>
  </si>
  <si>
    <t>launch</t>
  </si>
  <si>
    <t>sequence</t>
  </si>
  <si>
    <t>therapy</t>
  </si>
  <si>
    <t>symptom</t>
  </si>
  <si>
    <t>witness</t>
  </si>
  <si>
    <t>sum</t>
  </si>
  <si>
    <t>burden</t>
  </si>
  <si>
    <t>tone</t>
  </si>
  <si>
    <t>honor</t>
  </si>
  <si>
    <t>award</t>
  </si>
  <si>
    <t>logic</t>
  </si>
  <si>
    <t>minimum</t>
  </si>
  <si>
    <t>exception</t>
  </si>
  <si>
    <t>clue</t>
  </si>
  <si>
    <t>bond</t>
  </si>
  <si>
    <t>virus</t>
  </si>
  <si>
    <t>surgery</t>
  </si>
  <si>
    <t>insurance</t>
  </si>
  <si>
    <t>frame</t>
  </si>
  <si>
    <t>shelter</t>
  </si>
  <si>
    <t>territory</t>
  </si>
  <si>
    <t>boundary</t>
  </si>
  <si>
    <t>harvest</t>
  </si>
  <si>
    <t>predator</t>
  </si>
  <si>
    <t>trap</t>
  </si>
  <si>
    <t>trick</t>
  </si>
  <si>
    <t>discount</t>
  </si>
  <si>
    <t>bias</t>
  </si>
  <si>
    <t>patent</t>
  </si>
  <si>
    <t>dialogue</t>
  </si>
  <si>
    <t>verbal</t>
  </si>
  <si>
    <t>internal</t>
  </si>
  <si>
    <t>solid</t>
  </si>
  <si>
    <t>sophisticated</t>
  </si>
  <si>
    <t>relevant</t>
  </si>
  <si>
    <t>frequent</t>
  </si>
  <si>
    <t>intense</t>
  </si>
  <si>
    <t>meaningful</t>
  </si>
  <si>
    <t>evil</t>
  </si>
  <si>
    <t>random</t>
  </si>
  <si>
    <t>raw</t>
  </si>
  <si>
    <t>rude</t>
  </si>
  <si>
    <t>mere</t>
  </si>
  <si>
    <t>tropical</t>
  </si>
  <si>
    <t>forth</t>
  </si>
  <si>
    <t>possess</t>
  </si>
  <si>
    <t>dominate</t>
  </si>
  <si>
    <t>guarantee</t>
  </si>
  <si>
    <t>melt</t>
  </si>
  <si>
    <t>embarrass</t>
  </si>
  <si>
    <t>discourage</t>
  </si>
  <si>
    <t>detect</t>
  </si>
  <si>
    <t>devote</t>
  </si>
  <si>
    <t>urge</t>
  </si>
  <si>
    <t>lend</t>
  </si>
  <si>
    <t>restrict</t>
  </si>
  <si>
    <t>isolate</t>
  </si>
  <si>
    <t>accompany</t>
  </si>
  <si>
    <t>exhaust</t>
  </si>
  <si>
    <t>annoy</t>
  </si>
  <si>
    <t>endanger</t>
  </si>
  <si>
    <t>acknowledge</t>
  </si>
  <si>
    <t>admire</t>
  </si>
  <si>
    <t>evaluate</t>
  </si>
  <si>
    <t>declare</t>
  </si>
  <si>
    <t>secure</t>
  </si>
  <si>
    <t>specialize</t>
  </si>
  <si>
    <t>attribute</t>
  </si>
  <si>
    <t>pretend</t>
  </si>
  <si>
    <t>bury</t>
  </si>
  <si>
    <t>reverse</t>
  </si>
  <si>
    <t>resist</t>
  </si>
  <si>
    <t>scare</t>
  </si>
  <si>
    <t>imitate</t>
  </si>
  <si>
    <t>assist</t>
  </si>
  <si>
    <t>resemble</t>
  </si>
  <si>
    <t>retire</t>
  </si>
  <si>
    <t>neglect</t>
  </si>
  <si>
    <t>collapse</t>
  </si>
  <si>
    <t>reform</t>
  </si>
  <si>
    <t>protest</t>
  </si>
  <si>
    <t>owe</t>
  </si>
  <si>
    <t>sustain</t>
  </si>
  <si>
    <t>assign</t>
  </si>
  <si>
    <t>accomplish</t>
  </si>
  <si>
    <t>mission</t>
  </si>
  <si>
    <t>license</t>
  </si>
  <si>
    <t>elite</t>
  </si>
  <si>
    <t>layer</t>
  </si>
  <si>
    <t>motor</t>
  </si>
  <si>
    <t>protein</t>
  </si>
  <si>
    <t>editor</t>
  </si>
  <si>
    <t>agent</t>
  </si>
  <si>
    <t>globe</t>
  </si>
  <si>
    <t>haven</t>
  </si>
  <si>
    <t>row</t>
  </si>
  <si>
    <t>sacrifice</t>
  </si>
  <si>
    <t>means</t>
  </si>
  <si>
    <t>session</t>
  </si>
  <si>
    <t>league</t>
  </si>
  <si>
    <t>contest</t>
  </si>
  <si>
    <t>guard</t>
  </si>
  <si>
    <t>opponent</t>
  </si>
  <si>
    <t>glance</t>
  </si>
  <si>
    <t>divorce</t>
  </si>
  <si>
    <t>tissue</t>
  </si>
  <si>
    <t>liquid</t>
  </si>
  <si>
    <t>inequality</t>
  </si>
  <si>
    <t>prejudice</t>
  </si>
  <si>
    <t>justice</t>
  </si>
  <si>
    <t>guideline</t>
  </si>
  <si>
    <t>platform</t>
  </si>
  <si>
    <t>sector</t>
  </si>
  <si>
    <t>channel</t>
  </si>
  <si>
    <t>glacier</t>
  </si>
  <si>
    <t>primate</t>
  </si>
  <si>
    <t>usage</t>
  </si>
  <si>
    <t>fortune</t>
  </si>
  <si>
    <t>correlation</t>
  </si>
  <si>
    <t>artistic</t>
  </si>
  <si>
    <t>literary</t>
  </si>
  <si>
    <t>classic</t>
  </si>
  <si>
    <t>liberal</t>
  </si>
  <si>
    <t>concrete</t>
  </si>
  <si>
    <t>slight</t>
  </si>
  <si>
    <t>federal</t>
  </si>
  <si>
    <t>primitive</t>
  </si>
  <si>
    <t>unfamiliar</t>
  </si>
  <si>
    <t>subtle</t>
  </si>
  <si>
    <t>plain</t>
  </si>
  <si>
    <t>marine</t>
  </si>
  <si>
    <t>apparent</t>
  </si>
  <si>
    <t>reluctant</t>
  </si>
  <si>
    <t>temporary</t>
  </si>
  <si>
    <t>guilty</t>
  </si>
  <si>
    <t>royal</t>
  </si>
  <si>
    <t>pure</t>
  </si>
  <si>
    <t>incredible</t>
  </si>
  <si>
    <t>eager</t>
  </si>
  <si>
    <t>adequate</t>
  </si>
  <si>
    <t>via</t>
  </si>
  <si>
    <t>assess</t>
  </si>
  <si>
    <t>approve</t>
  </si>
  <si>
    <t>yield</t>
  </si>
  <si>
    <t>exhibit</t>
  </si>
  <si>
    <t>distribute</t>
  </si>
  <si>
    <t>command</t>
  </si>
  <si>
    <t>occupy</t>
  </si>
  <si>
    <t>pop</t>
  </si>
  <si>
    <t>pile</t>
  </si>
  <si>
    <t>greet</t>
  </si>
  <si>
    <t>apologize</t>
  </si>
  <si>
    <t>frustrate</t>
  </si>
  <si>
    <t>relieve</t>
  </si>
  <si>
    <t>derive</t>
  </si>
  <si>
    <t>deserve</t>
  </si>
  <si>
    <t>peer</t>
  </si>
  <si>
    <t>defeat</t>
  </si>
  <si>
    <t>wed</t>
  </si>
  <si>
    <t>delight</t>
  </si>
  <si>
    <t>boost</t>
  </si>
  <si>
    <t>endure</t>
  </si>
  <si>
    <t>correspond</t>
  </si>
  <si>
    <t>impose</t>
  </si>
  <si>
    <t>rescue</t>
  </si>
  <si>
    <t>resolve</t>
  </si>
  <si>
    <t>register</t>
  </si>
  <si>
    <t>interrupt</t>
  </si>
  <si>
    <t>rid</t>
  </si>
  <si>
    <t>prohibit</t>
  </si>
  <si>
    <t>punish</t>
  </si>
  <si>
    <t>ruin</t>
  </si>
  <si>
    <t>passion</t>
  </si>
  <si>
    <t>enthusiasm</t>
  </si>
  <si>
    <t>phase</t>
  </si>
  <si>
    <t>mode</t>
  </si>
  <si>
    <t>span</t>
  </si>
  <si>
    <t>gravity</t>
  </si>
  <si>
    <t>orbit</t>
  </si>
  <si>
    <t>asteroid</t>
  </si>
  <si>
    <t>core</t>
  </si>
  <si>
    <t>soul</t>
  </si>
  <si>
    <t>nerve</t>
  </si>
  <si>
    <t>infection</t>
  </si>
  <si>
    <t>mall</t>
  </si>
  <si>
    <t>grocery</t>
  </si>
  <si>
    <t>humor</t>
  </si>
  <si>
    <t>stem</t>
  </si>
  <si>
    <t>shame</t>
  </si>
  <si>
    <t>drought</t>
  </si>
  <si>
    <t>flavor</t>
  </si>
  <si>
    <t>recipe</t>
  </si>
  <si>
    <t>luxury</t>
  </si>
  <si>
    <t>chip</t>
  </si>
  <si>
    <t>ritual</t>
  </si>
  <si>
    <t>sake</t>
  </si>
  <si>
    <t>prefecture</t>
  </si>
  <si>
    <t>council</t>
  </si>
  <si>
    <t>administration</t>
  </si>
  <si>
    <t>curriculum</t>
  </si>
  <si>
    <t>precious</t>
  </si>
  <si>
    <t>generous</t>
  </si>
  <si>
    <t>casual</t>
  </si>
  <si>
    <t>optimistic</t>
  </si>
  <si>
    <t>rough</t>
  </si>
  <si>
    <t>ultimate</t>
  </si>
  <si>
    <t>deaf</t>
  </si>
  <si>
    <t>genuine</t>
  </si>
  <si>
    <t>manual</t>
  </si>
  <si>
    <t>mechanical</t>
  </si>
  <si>
    <t>instant</t>
  </si>
  <si>
    <t>spare</t>
  </si>
  <si>
    <t>immune</t>
  </si>
  <si>
    <t>harsh</t>
  </si>
  <si>
    <t>collective</t>
  </si>
  <si>
    <t>inevitable</t>
  </si>
  <si>
    <t>profound</t>
  </si>
  <si>
    <t>steady</t>
  </si>
  <si>
    <t>mature</t>
  </si>
  <si>
    <t>likewise</t>
  </si>
  <si>
    <t>chase</t>
  </si>
  <si>
    <t>sue</t>
  </si>
  <si>
    <t>gaze</t>
  </si>
  <si>
    <t>slip</t>
  </si>
  <si>
    <t>load</t>
  </si>
  <si>
    <t>overwhelm</t>
  </si>
  <si>
    <t>wander</t>
  </si>
  <si>
    <t>float</t>
  </si>
  <si>
    <t>pour</t>
  </si>
  <si>
    <t>substitute</t>
  </si>
  <si>
    <t>pronounce</t>
  </si>
  <si>
    <t>shrink</t>
  </si>
  <si>
    <t>restore</t>
  </si>
  <si>
    <t>trigger</t>
  </si>
  <si>
    <t>grab</t>
  </si>
  <si>
    <t>retain</t>
  </si>
  <si>
    <t>reproduce</t>
  </si>
  <si>
    <t>bob</t>
  </si>
  <si>
    <t>entertain</t>
  </si>
  <si>
    <t>interfere</t>
  </si>
  <si>
    <t>cultivate</t>
  </si>
  <si>
    <t>underlie</t>
  </si>
  <si>
    <t>anticipate</t>
  </si>
  <si>
    <t>justify</t>
  </si>
  <si>
    <t>regulate</t>
  </si>
  <si>
    <t>scan</t>
  </si>
  <si>
    <t>classify</t>
  </si>
  <si>
    <t>submit</t>
  </si>
  <si>
    <t>pause</t>
  </si>
  <si>
    <t>lean</t>
  </si>
  <si>
    <t>bump</t>
  </si>
  <si>
    <t>fold</t>
  </si>
  <si>
    <t>hesitate</t>
  </si>
  <si>
    <t>pump</t>
  </si>
  <si>
    <t>mount</t>
  </si>
  <si>
    <t>exceed</t>
  </si>
  <si>
    <t>undergo</t>
  </si>
  <si>
    <t>confront</t>
  </si>
  <si>
    <t>consult</t>
  </si>
  <si>
    <t>fulfill</t>
  </si>
  <si>
    <t>privilege</t>
  </si>
  <si>
    <t>neuron</t>
  </si>
  <si>
    <t>sensation</t>
  </si>
  <si>
    <t>chart</t>
  </si>
  <si>
    <t>geography</t>
  </si>
  <si>
    <t>panel</t>
  </si>
  <si>
    <t>semester</t>
  </si>
  <si>
    <t>workforce</t>
  </si>
  <si>
    <t>mill</t>
  </si>
  <si>
    <t>abuse</t>
  </si>
  <si>
    <t>vice</t>
  </si>
  <si>
    <t>fate</t>
  </si>
  <si>
    <t>tragedy</t>
  </si>
  <si>
    <t>scenario</t>
  </si>
  <si>
    <t>allergy</t>
  </si>
  <si>
    <t>wound</t>
  </si>
  <si>
    <t>antibiotic</t>
  </si>
  <si>
    <t>vaccine</t>
  </si>
  <si>
    <t>metaphor</t>
  </si>
  <si>
    <t>folk</t>
  </si>
  <si>
    <t>fare</t>
  </si>
  <si>
    <t>transition</t>
  </si>
  <si>
    <t>maximum</t>
  </si>
  <si>
    <t>galaxy</t>
  </si>
  <si>
    <t>mineral</t>
  </si>
  <si>
    <t>skeleton</t>
  </si>
  <si>
    <t>counterpart</t>
  </si>
  <si>
    <t>stroke</t>
  </si>
  <si>
    <t>pedestrian</t>
  </si>
  <si>
    <t>trail</t>
  </si>
  <si>
    <t>ecology</t>
  </si>
  <si>
    <t>sibling</t>
  </si>
  <si>
    <t>ratio</t>
  </si>
  <si>
    <t>mixture</t>
  </si>
  <si>
    <t>charm</t>
  </si>
  <si>
    <t>ambition</t>
  </si>
  <si>
    <t>prompt</t>
  </si>
  <si>
    <t>informal</t>
  </si>
  <si>
    <t>mutual</t>
  </si>
  <si>
    <t>neutral</t>
  </si>
  <si>
    <t>alert</t>
  </si>
  <si>
    <t>magnetic</t>
  </si>
  <si>
    <t>polar</t>
  </si>
  <si>
    <t>fluent</t>
  </si>
  <si>
    <t>external</t>
  </si>
  <si>
    <t>passive</t>
  </si>
  <si>
    <t>awful</t>
  </si>
  <si>
    <t>cruel</t>
  </si>
  <si>
    <t>fake</t>
  </si>
  <si>
    <t>vulnerable</t>
  </si>
  <si>
    <t>urgent</t>
  </si>
  <si>
    <t>spiritual</t>
  </si>
  <si>
    <t>modest</t>
  </si>
  <si>
    <t>keen</t>
  </si>
  <si>
    <t>nonetheless</t>
  </si>
  <si>
    <t>negotiate</t>
  </si>
  <si>
    <t>grasp</t>
  </si>
  <si>
    <t>donate</t>
  </si>
  <si>
    <t>arrest</t>
  </si>
  <si>
    <t>crack</t>
  </si>
  <si>
    <t>tap</t>
  </si>
  <si>
    <t>split</t>
  </si>
  <si>
    <t>forecast</t>
  </si>
  <si>
    <t>exclude</t>
  </si>
  <si>
    <t>overlook</t>
  </si>
  <si>
    <t>burst</t>
  </si>
  <si>
    <t>heal</t>
  </si>
  <si>
    <t>forbid</t>
  </si>
  <si>
    <t>install</t>
  </si>
  <si>
    <t>diminish</t>
  </si>
  <si>
    <t>cite</t>
  </si>
  <si>
    <t>quote</t>
  </si>
  <si>
    <t>dispute</t>
  </si>
  <si>
    <t>highlight</t>
  </si>
  <si>
    <t>distract</t>
  </si>
  <si>
    <t>cheat</t>
  </si>
  <si>
    <t>foster</t>
  </si>
  <si>
    <t>obey</t>
  </si>
  <si>
    <t>bend</t>
  </si>
  <si>
    <t>deprive</t>
  </si>
  <si>
    <t>govern</t>
  </si>
  <si>
    <t>log</t>
  </si>
  <si>
    <t>transmit</t>
  </si>
  <si>
    <t>bully</t>
  </si>
  <si>
    <t>leap</t>
  </si>
  <si>
    <t>astonish</t>
  </si>
  <si>
    <t>thrill</t>
  </si>
  <si>
    <t>nod</t>
  </si>
  <si>
    <t>bow</t>
  </si>
  <si>
    <t>blend</t>
  </si>
  <si>
    <t>complicate</t>
  </si>
  <si>
    <t>pitch</t>
  </si>
  <si>
    <t>persist</t>
  </si>
  <si>
    <t>dedicate</t>
  </si>
  <si>
    <t>equip</t>
  </si>
  <si>
    <t>premise</t>
  </si>
  <si>
    <t>input</t>
  </si>
  <si>
    <t>merit</t>
  </si>
  <si>
    <t>sympathy</t>
  </si>
  <si>
    <t>compliment</t>
  </si>
  <si>
    <t>infrastructure</t>
  </si>
  <si>
    <t>ray</t>
  </si>
  <si>
    <t>distress</t>
  </si>
  <si>
    <t>joint</t>
  </si>
  <si>
    <t>expedition</t>
  </si>
  <si>
    <t>adolescent</t>
  </si>
  <si>
    <t>shade</t>
  </si>
  <si>
    <t>jury</t>
  </si>
  <si>
    <t>ethic</t>
  </si>
  <si>
    <t>penalty</t>
  </si>
  <si>
    <t>faculty</t>
  </si>
  <si>
    <t>scheme</t>
  </si>
  <si>
    <t>nutrition</t>
  </si>
  <si>
    <t>particle</t>
  </si>
  <si>
    <t>molecule</t>
  </si>
  <si>
    <t>nationality</t>
  </si>
  <si>
    <t>poll</t>
  </si>
  <si>
    <t>clinic</t>
  </si>
  <si>
    <t>dementia</t>
  </si>
  <si>
    <t>fatigue</t>
  </si>
  <si>
    <t>dilemma</t>
  </si>
  <si>
    <t>queue</t>
  </si>
  <si>
    <t>curve</t>
  </si>
  <si>
    <t>narrative</t>
  </si>
  <si>
    <t>fingerprint</t>
  </si>
  <si>
    <t>file</t>
  </si>
  <si>
    <t>wilderness</t>
  </si>
  <si>
    <t>pesticide</t>
  </si>
  <si>
    <t>panic</t>
  </si>
  <si>
    <t>fabric</t>
  </si>
  <si>
    <t>fantasy</t>
  </si>
  <si>
    <t>fancy</t>
  </si>
  <si>
    <t>virtue</t>
  </si>
  <si>
    <t>grateful</t>
  </si>
  <si>
    <t>valid</t>
  </si>
  <si>
    <t>elaborate</t>
  </si>
  <si>
    <t>moderate</t>
  </si>
  <si>
    <t>dynamic</t>
  </si>
  <si>
    <t>brave</t>
  </si>
  <si>
    <t>brilliant</t>
  </si>
  <si>
    <t>tremendous</t>
  </si>
  <si>
    <t>oral</t>
  </si>
  <si>
    <t>innocent</t>
  </si>
  <si>
    <t>subsequent</t>
  </si>
  <si>
    <t>shallow</t>
  </si>
  <si>
    <t>indifferent</t>
  </si>
  <si>
    <t>inferior</t>
  </si>
  <si>
    <t>awkward</t>
  </si>
  <si>
    <t>obese</t>
  </si>
  <si>
    <t>pregnant</t>
  </si>
  <si>
    <t>intimate</t>
  </si>
  <si>
    <t>medieval</t>
  </si>
  <si>
    <t>sacred</t>
  </si>
  <si>
    <t>simultaneously</t>
  </si>
  <si>
    <t>versus</t>
  </si>
  <si>
    <t>proceed</t>
  </si>
  <si>
    <t>orient</t>
  </si>
  <si>
    <t>surf</t>
  </si>
  <si>
    <t>filter</t>
  </si>
  <si>
    <t>bind</t>
  </si>
  <si>
    <t>resort</t>
  </si>
  <si>
    <t>reinforce</t>
  </si>
  <si>
    <t>bet</t>
  </si>
  <si>
    <t>advocate</t>
  </si>
  <si>
    <t>constitute</t>
  </si>
  <si>
    <t>undertake</t>
  </si>
  <si>
    <t>grip</t>
  </si>
  <si>
    <t>dismiss</t>
  </si>
  <si>
    <t>fade</t>
  </si>
  <si>
    <t>conceal</t>
  </si>
  <si>
    <t>chew</t>
  </si>
  <si>
    <t>swallow</t>
  </si>
  <si>
    <t>seal</t>
  </si>
  <si>
    <t>migrate</t>
  </si>
  <si>
    <t>exaggerate</t>
  </si>
  <si>
    <t>accuse</t>
  </si>
  <si>
    <t>vanish</t>
  </si>
  <si>
    <t>polish</t>
  </si>
  <si>
    <t>wipe</t>
  </si>
  <si>
    <t>sweep</t>
  </si>
  <si>
    <t>mislead</t>
  </si>
  <si>
    <t>spoil</t>
  </si>
  <si>
    <t>compound</t>
  </si>
  <si>
    <t>explode</t>
  </si>
  <si>
    <t>disgust</t>
  </si>
  <si>
    <t>commute</t>
  </si>
  <si>
    <t>decorate</t>
  </si>
  <si>
    <t>postpone</t>
  </si>
  <si>
    <t>cease</t>
  </si>
  <si>
    <t>compromise</t>
  </si>
  <si>
    <t>elect</t>
  </si>
  <si>
    <t>extract</t>
  </si>
  <si>
    <t>inherit</t>
  </si>
  <si>
    <t>rear</t>
  </si>
  <si>
    <t>empathy</t>
  </si>
  <si>
    <t>cue</t>
  </si>
  <si>
    <t>enterprise</t>
  </si>
  <si>
    <t>output</t>
  </si>
  <si>
    <t>congress</t>
  </si>
  <si>
    <t>millennium</t>
  </si>
  <si>
    <t>mankind</t>
  </si>
  <si>
    <t>Muslim</t>
  </si>
  <si>
    <t>estate</t>
  </si>
  <si>
    <t>landmine</t>
  </si>
  <si>
    <t>caution</t>
  </si>
  <si>
    <t>controversy</t>
  </si>
  <si>
    <t>consensus</t>
  </si>
  <si>
    <t>retail</t>
  </si>
  <si>
    <t>fiber</t>
  </si>
  <si>
    <t>scent</t>
  </si>
  <si>
    <t>beverage</t>
  </si>
  <si>
    <t>supplement</t>
  </si>
  <si>
    <t>diabetes</t>
  </si>
  <si>
    <t>province</t>
  </si>
  <si>
    <t>reef</t>
  </si>
  <si>
    <t>microbe</t>
  </si>
  <si>
    <t>excess</t>
  </si>
  <si>
    <t>gallery</t>
  </si>
  <si>
    <t>fame</t>
  </si>
  <si>
    <t>deadline</t>
  </si>
  <si>
    <t>undergraduate</t>
  </si>
  <si>
    <t>slavery</t>
  </si>
  <si>
    <t>prey</t>
  </si>
  <si>
    <t>mess</t>
  </si>
  <si>
    <t>recession</t>
  </si>
  <si>
    <t>retreat</t>
  </si>
  <si>
    <t>grave</t>
  </si>
  <si>
    <t>column</t>
  </si>
  <si>
    <t>scenery</t>
  </si>
  <si>
    <t>plot</t>
  </si>
  <si>
    <t>sculpture</t>
  </si>
  <si>
    <t>tablet</t>
  </si>
  <si>
    <t>dense</t>
  </si>
  <si>
    <t>exotic</t>
  </si>
  <si>
    <t>acid</t>
  </si>
  <si>
    <t>bitter</t>
  </si>
  <si>
    <t>sensible</t>
  </si>
  <si>
    <t>noble</t>
  </si>
  <si>
    <t>vague</t>
  </si>
  <si>
    <t>parallel</t>
  </si>
  <si>
    <t>tense</t>
  </si>
  <si>
    <t>vertical</t>
  </si>
  <si>
    <t>indigenous</t>
  </si>
  <si>
    <t>aboriginal</t>
  </si>
  <si>
    <t>seasonal</t>
  </si>
  <si>
    <t>abundant</t>
  </si>
  <si>
    <t>hybrid</t>
  </si>
  <si>
    <t>irrelevant</t>
  </si>
  <si>
    <t>ridiculous</t>
  </si>
  <si>
    <t>fairy</t>
  </si>
  <si>
    <t>sensory</t>
  </si>
  <si>
    <t>chronic</t>
  </si>
  <si>
    <t>voluntary</t>
  </si>
  <si>
    <t>inclined</t>
  </si>
  <si>
    <t>infer</t>
  </si>
  <si>
    <t>esteem</t>
  </si>
  <si>
    <t>tackle</t>
  </si>
  <si>
    <t>venture</t>
  </si>
  <si>
    <t>accelerate</t>
  </si>
  <si>
    <t>accustom</t>
  </si>
  <si>
    <t>amuse</t>
  </si>
  <si>
    <t>flourish</t>
  </si>
  <si>
    <t>thrive</t>
  </si>
  <si>
    <t>nurture</t>
  </si>
  <si>
    <t>click</t>
  </si>
  <si>
    <t>spin</t>
  </si>
  <si>
    <t>clip</t>
  </si>
  <si>
    <t>drag</t>
  </si>
  <si>
    <t>cast</t>
  </si>
  <si>
    <t>scatter</t>
  </si>
  <si>
    <t>tempt</t>
  </si>
  <si>
    <t>withdraw</t>
  </si>
  <si>
    <t>yawn</t>
  </si>
  <si>
    <t>blink</t>
  </si>
  <si>
    <t>dye</t>
  </si>
  <si>
    <t>spill</t>
  </si>
  <si>
    <t>irritate</t>
  </si>
  <si>
    <t>insult</t>
  </si>
  <si>
    <t>enforce</t>
  </si>
  <si>
    <t>rob</t>
  </si>
  <si>
    <t>drain</t>
  </si>
  <si>
    <t>suspend</t>
  </si>
  <si>
    <t>drift</t>
  </si>
  <si>
    <t>forgive</t>
  </si>
  <si>
    <t>revise</t>
  </si>
  <si>
    <t>recruit</t>
  </si>
  <si>
    <t>twist</t>
  </si>
  <si>
    <t>crush</t>
  </si>
  <si>
    <t>pin</t>
  </si>
  <si>
    <t>uncover</t>
  </si>
  <si>
    <t>exploit</t>
  </si>
  <si>
    <t>implement</t>
  </si>
  <si>
    <t>integrate</t>
  </si>
  <si>
    <t>incorporate</t>
  </si>
  <si>
    <t>profile</t>
  </si>
  <si>
    <t>appetite</t>
  </si>
  <si>
    <t>impulse</t>
  </si>
  <si>
    <t>script</t>
  </si>
  <si>
    <t>anniversary</t>
  </si>
  <si>
    <t>pension</t>
  </si>
  <si>
    <t>temper</t>
  </si>
  <si>
    <t>cortex</t>
  </si>
  <si>
    <t>syndrome</t>
  </si>
  <si>
    <t>chamber</t>
  </si>
  <si>
    <t>utility</t>
  </si>
  <si>
    <t>cattle</t>
  </si>
  <si>
    <t>herd</t>
  </si>
  <si>
    <t>fluid</t>
  </si>
  <si>
    <t>pity</t>
  </si>
  <si>
    <t>priest</t>
  </si>
  <si>
    <t>acquaintance</t>
  </si>
  <si>
    <t>offspring</t>
  </si>
  <si>
    <t>famine</t>
  </si>
  <si>
    <t>deforestation</t>
  </si>
  <si>
    <t>jail</t>
  </si>
  <si>
    <t>commodity</t>
  </si>
  <si>
    <t>format</t>
  </si>
  <si>
    <t>recipient</t>
  </si>
  <si>
    <t>drill</t>
  </si>
  <si>
    <t>inability</t>
  </si>
  <si>
    <t>republic</t>
  </si>
  <si>
    <t>combat</t>
  </si>
  <si>
    <t>debris</t>
  </si>
  <si>
    <t>bug</t>
  </si>
  <si>
    <t>fraction</t>
  </si>
  <si>
    <t>index</t>
  </si>
  <si>
    <t>motive</t>
  </si>
  <si>
    <t>consent</t>
  </si>
  <si>
    <t>hierarchy</t>
  </si>
  <si>
    <t>monument</t>
  </si>
  <si>
    <t>asset</t>
  </si>
  <si>
    <t>decent</t>
  </si>
  <si>
    <t>competent</t>
  </si>
  <si>
    <t>straightforward</t>
  </si>
  <si>
    <t>cosmetic</t>
  </si>
  <si>
    <t>delicate</t>
  </si>
  <si>
    <t>interior</t>
  </si>
  <si>
    <t>transparent</t>
  </si>
  <si>
    <t>aesthetic</t>
  </si>
  <si>
    <t>deliberate</t>
  </si>
  <si>
    <t>demographic</t>
  </si>
  <si>
    <t>prehistoric</t>
  </si>
  <si>
    <t>innate</t>
  </si>
  <si>
    <t>mild</t>
  </si>
  <si>
    <t>toxic</t>
  </si>
  <si>
    <t>ashamed</t>
  </si>
  <si>
    <t>humble</t>
  </si>
  <si>
    <t>peculiar</t>
  </si>
  <si>
    <t>steep</t>
  </si>
  <si>
    <t>trivial</t>
  </si>
  <si>
    <t>magnificent</t>
  </si>
  <si>
    <t>wireless</t>
  </si>
  <si>
    <t>ongoing</t>
  </si>
  <si>
    <t>assure</t>
  </si>
  <si>
    <t>precede</t>
  </si>
  <si>
    <t>revive</t>
  </si>
  <si>
    <t>compel</t>
  </si>
  <si>
    <t>blossom</t>
  </si>
  <si>
    <t>terrify</t>
  </si>
  <si>
    <t>violate</t>
  </si>
  <si>
    <t>suppress</t>
  </si>
  <si>
    <t>deceive</t>
  </si>
  <si>
    <t>manipulate</t>
  </si>
  <si>
    <t>starve</t>
  </si>
  <si>
    <t>flee</t>
  </si>
  <si>
    <t>whisper</t>
  </si>
  <si>
    <t>yell</t>
  </si>
  <si>
    <t>deposit</t>
  </si>
  <si>
    <t>confine</t>
  </si>
  <si>
    <t>swing</t>
  </si>
  <si>
    <t>prolong</t>
  </si>
  <si>
    <t>depict</t>
  </si>
  <si>
    <t>outline</t>
  </si>
  <si>
    <t>shed</t>
  </si>
  <si>
    <t>emit</t>
  </si>
  <si>
    <t>renew</t>
  </si>
  <si>
    <t>utilize</t>
  </si>
  <si>
    <t>assert</t>
  </si>
  <si>
    <t>strain</t>
  </si>
  <si>
    <t>strive</t>
  </si>
  <si>
    <t>dare</t>
  </si>
  <si>
    <t>boast</t>
  </si>
  <si>
    <t>startle</t>
  </si>
  <si>
    <t>offend</t>
  </si>
  <si>
    <t>compute</t>
  </si>
  <si>
    <t>assemble</t>
  </si>
  <si>
    <t>worsen</t>
  </si>
  <si>
    <t>flip</t>
  </si>
  <si>
    <t>rub</t>
  </si>
  <si>
    <t>descend</t>
  </si>
  <si>
    <t>compensate</t>
  </si>
  <si>
    <t>comprise</t>
  </si>
  <si>
    <t>prevail</t>
  </si>
  <si>
    <t>quest</t>
  </si>
  <si>
    <t>dignity</t>
  </si>
  <si>
    <t>criterion</t>
  </si>
  <si>
    <t>paradox</t>
  </si>
  <si>
    <t>parliament</t>
  </si>
  <si>
    <t>legislation</t>
  </si>
  <si>
    <t>agenda</t>
  </si>
  <si>
    <t>mainstream</t>
  </si>
  <si>
    <t>troop</t>
  </si>
  <si>
    <t>epidemic</t>
  </si>
  <si>
    <t>outbreak</t>
  </si>
  <si>
    <t>chaos</t>
  </si>
  <si>
    <t>nightmare</t>
  </si>
  <si>
    <t>horror</t>
  </si>
  <si>
    <t>cluster</t>
  </si>
  <si>
    <t>pollen</t>
  </si>
  <si>
    <t>hive</t>
  </si>
  <si>
    <t>irrigation</t>
  </si>
  <si>
    <t>dose</t>
  </si>
  <si>
    <t>suicide</t>
  </si>
  <si>
    <t>feast</t>
  </si>
  <si>
    <t>cuisine</t>
  </si>
  <si>
    <t>rumor</t>
  </si>
  <si>
    <t>proverb</t>
  </si>
  <si>
    <t>signature</t>
  </si>
  <si>
    <t>formula</t>
  </si>
  <si>
    <t>tuition</t>
  </si>
  <si>
    <t>intake</t>
  </si>
  <si>
    <t>spectrum</t>
  </si>
  <si>
    <t>kidney</t>
  </si>
  <si>
    <t>gear</t>
  </si>
  <si>
    <t>aisle</t>
  </si>
  <si>
    <t>grief</t>
  </si>
  <si>
    <t>destiny</t>
  </si>
  <si>
    <t>skull</t>
  </si>
  <si>
    <t>tomb</t>
  </si>
  <si>
    <t>monk</t>
  </si>
  <si>
    <t>worship</t>
  </si>
  <si>
    <t>infinite</t>
  </si>
  <si>
    <t>indispensable</t>
  </si>
  <si>
    <t>compulsory</t>
  </si>
  <si>
    <t>probable</t>
  </si>
  <si>
    <t>fragile</t>
  </si>
  <si>
    <t>static</t>
  </si>
  <si>
    <t>vocal</t>
  </si>
  <si>
    <t>gross</t>
  </si>
  <si>
    <t>inherent</t>
  </si>
  <si>
    <t>note8</t>
    <phoneticPr fontId="1"/>
  </si>
  <si>
    <t>note9</t>
    <phoneticPr fontId="1"/>
  </si>
  <si>
    <t>note10</t>
    <phoneticPr fontId="1"/>
  </si>
  <si>
    <t>wonder</t>
  </si>
  <si>
    <t>draw</t>
  </si>
  <si>
    <t>income</t>
  </si>
  <si>
    <t>behave</t>
  </si>
  <si>
    <t>admit</t>
  </si>
  <si>
    <t>explore</t>
  </si>
  <si>
    <t>tear</t>
  </si>
  <si>
    <t>settle</t>
  </si>
  <si>
    <t>afford</t>
  </si>
  <si>
    <t>update</t>
  </si>
  <si>
    <t>refresh</t>
  </si>
  <si>
    <t>bloom</t>
  </si>
  <si>
    <t>conquer</t>
  </si>
  <si>
    <t>induce</t>
  </si>
  <si>
    <t>attain</t>
  </si>
  <si>
    <t>spray</t>
  </si>
  <si>
    <t>retrieve</t>
  </si>
  <si>
    <t>portray</t>
  </si>
  <si>
    <t>scratch</t>
  </si>
  <si>
    <t>designate</t>
  </si>
  <si>
    <t>contradict</t>
  </si>
  <si>
    <t>sigh</t>
  </si>
  <si>
    <t>disrupt</t>
  </si>
  <si>
    <t>depart</t>
  </si>
  <si>
    <t>navigate</t>
  </si>
  <si>
    <t>beg</t>
  </si>
  <si>
    <t>inhabit</t>
  </si>
  <si>
    <t>diagnose</t>
  </si>
  <si>
    <t>comprehend</t>
  </si>
  <si>
    <t>oblige</t>
  </si>
  <si>
    <t>cram</t>
  </si>
  <si>
    <t>flock</t>
  </si>
  <si>
    <t>underestimate</t>
  </si>
  <si>
    <t>clarify</t>
  </si>
  <si>
    <t>spark</t>
  </si>
  <si>
    <t>seize</t>
  </si>
  <si>
    <t>soar</t>
  </si>
  <si>
    <t>glow</t>
  </si>
  <si>
    <t>disguise</t>
  </si>
  <si>
    <t>distort</t>
  </si>
  <si>
    <t>undermine</t>
  </si>
  <si>
    <t>abolish</t>
  </si>
  <si>
    <t>strip</t>
  </si>
  <si>
    <t>dispose</t>
  </si>
  <si>
    <t>dump</t>
  </si>
  <si>
    <t>weave</t>
  </si>
  <si>
    <t>refine</t>
  </si>
  <si>
    <t>enrich</t>
  </si>
  <si>
    <t>coordinate</t>
  </si>
  <si>
    <t>headline</t>
  </si>
  <si>
    <t>internship</t>
  </si>
  <si>
    <t>outlet</t>
  </si>
  <si>
    <t>remedy</t>
  </si>
  <si>
    <t>pill</t>
  </si>
  <si>
    <t>reception</t>
  </si>
  <si>
    <t>transaction</t>
  </si>
  <si>
    <t>mutation</t>
  </si>
  <si>
    <t>dairy</t>
  </si>
  <si>
    <t>compassion</t>
  </si>
  <si>
    <t>posture</t>
  </si>
  <si>
    <t>curse</t>
  </si>
  <si>
    <t>funeral</t>
  </si>
  <si>
    <t>census</t>
  </si>
  <si>
    <t>encyclopedia</t>
  </si>
  <si>
    <t>cereal</t>
  </si>
  <si>
    <t>fragment</t>
  </si>
  <si>
    <t>patch</t>
  </si>
  <si>
    <t>rubbish</t>
  </si>
  <si>
    <t>maze</t>
  </si>
  <si>
    <t>outlook</t>
  </si>
  <si>
    <t>breakthrough</t>
  </si>
  <si>
    <t>triumph</t>
  </si>
  <si>
    <t>ally</t>
  </si>
  <si>
    <t>spectator</t>
  </si>
  <si>
    <t>sphere</t>
  </si>
  <si>
    <t>county</t>
  </si>
  <si>
    <t>behalf</t>
  </si>
  <si>
    <t>interval</t>
  </si>
  <si>
    <t>circulation</t>
  </si>
  <si>
    <t>blade</t>
  </si>
  <si>
    <t>theft</t>
  </si>
  <si>
    <t>vacuum</t>
  </si>
  <si>
    <t>collision</t>
  </si>
  <si>
    <t>bargain</t>
  </si>
  <si>
    <t>landmark</t>
  </si>
  <si>
    <t>revenue</t>
  </si>
  <si>
    <t>treaty</t>
  </si>
  <si>
    <t>supreme</t>
  </si>
  <si>
    <t>thorough</t>
  </si>
  <si>
    <t>naked</t>
  </si>
  <si>
    <t>sincere</t>
  </si>
  <si>
    <t>tame</t>
  </si>
  <si>
    <t>insufficient</t>
  </si>
  <si>
    <t>dim</t>
  </si>
  <si>
    <t>acute</t>
  </si>
  <si>
    <t>disabled</t>
  </si>
  <si>
    <t>metropolitan</t>
  </si>
  <si>
    <t>monetary</t>
  </si>
  <si>
    <t>alternate</t>
  </si>
  <si>
    <t>partial</t>
  </si>
  <si>
    <t>divine</t>
  </si>
  <si>
    <t>drastic</t>
  </si>
  <si>
    <t>fierce</t>
  </si>
  <si>
    <t>sole</t>
  </si>
  <si>
    <t>spontaneous</t>
  </si>
  <si>
    <t>spatial</t>
  </si>
  <si>
    <t>neat</t>
  </si>
  <si>
    <t>tidy</t>
  </si>
  <si>
    <t>loyal</t>
  </si>
  <si>
    <t>ラテン語</t>
    <phoneticPr fontId="1"/>
  </si>
  <si>
    <t>allowは複雑な過程を経て「許す, 与える, 考慮する」という意味になったので歴史を知っておくと便利。</t>
    <rPh sb="6" eb="8">
      <t>フクザツ</t>
    </rPh>
    <rPh sb="9" eb="11">
      <t>カテイ</t>
    </rPh>
    <rPh sb="12" eb="13">
      <t>ヘ</t>
    </rPh>
    <rPh sb="15" eb="16">
      <t>ユル</t>
    </rPh>
    <rPh sb="19" eb="20">
      <t>アタ</t>
    </rPh>
    <rPh sb="24" eb="26">
      <t>コウリョ</t>
    </rPh>
    <rPh sb="32" eb="34">
      <t>イミ</t>
    </rPh>
    <rPh sb="40" eb="42">
      <t>レキシ</t>
    </rPh>
    <rPh sb="43" eb="44">
      <t>シ</t>
    </rPh>
    <rPh sb="49" eb="51">
      <t>ベンリ</t>
    </rPh>
    <phoneticPr fontId="1"/>
  </si>
  <si>
    <t>num</t>
    <phoneticPr fontId="1"/>
  </si>
  <si>
    <t>word</t>
    <phoneticPr fontId="1"/>
  </si>
  <si>
    <t>関連語</t>
    <phoneticPr fontId="1"/>
  </si>
  <si>
    <t>語源</t>
    <rPh sb="0" eb="2">
      <t>ゴゲン</t>
    </rPh>
    <phoneticPr fontId="1"/>
  </si>
  <si>
    <t>i1</t>
    <phoneticPr fontId="1"/>
  </si>
  <si>
    <t>i2</t>
    <phoneticPr fontId="1"/>
  </si>
  <si>
    <t>i4</t>
    <phoneticPr fontId="1"/>
  </si>
  <si>
    <t>i5</t>
    <phoneticPr fontId="1"/>
  </si>
  <si>
    <t>h4</t>
    <phoneticPr fontId="1"/>
  </si>
  <si>
    <t>h5</t>
    <phoneticPr fontId="1"/>
  </si>
  <si>
    <t>of</t>
  </si>
  <si>
    <t>fer</t>
  </si>
  <si>
    <t>re</t>
  </si>
  <si>
    <t>quire</t>
  </si>
  <si>
    <t>legal</t>
    <phoneticPr fontId="1"/>
  </si>
  <si>
    <t>in</t>
    <phoneticPr fontId="1"/>
  </si>
  <si>
    <t>related7</t>
    <phoneticPr fontId="1"/>
  </si>
  <si>
    <t>related8</t>
    <phoneticPr fontId="1"/>
  </si>
  <si>
    <t>related9</t>
    <phoneticPr fontId="1"/>
  </si>
  <si>
    <t>related10</t>
    <phoneticPr fontId="1"/>
  </si>
  <si>
    <t>ize</t>
    <phoneticPr fontId="1"/>
  </si>
  <si>
    <t>courage</t>
    <phoneticPr fontId="1"/>
  </si>
  <si>
    <t>ex</t>
    <phoneticPr fontId="1"/>
  </si>
  <si>
    <t>com</t>
    <phoneticPr fontId="1"/>
  </si>
  <si>
    <t>effect</t>
    <phoneticPr fontId="1"/>
  </si>
  <si>
    <t>exist</t>
    <phoneticPr fontId="1"/>
  </si>
  <si>
    <t>search</t>
    <phoneticPr fontId="1"/>
  </si>
  <si>
    <t>environment</t>
    <phoneticPr fontId="1"/>
  </si>
  <si>
    <t>species</t>
    <phoneticPr fontId="1"/>
  </si>
  <si>
    <t>knowledge</t>
    <phoneticPr fontId="1"/>
  </si>
  <si>
    <t>memory</t>
    <phoneticPr fontId="1"/>
  </si>
  <si>
    <t>benefit</t>
    <phoneticPr fontId="1"/>
  </si>
  <si>
    <t>experiment</t>
    <phoneticPr fontId="1"/>
  </si>
  <si>
    <t>article</t>
    <phoneticPr fontId="1"/>
  </si>
  <si>
    <t>focus</t>
    <phoneticPr fontId="1"/>
  </si>
  <si>
    <t>quality</t>
    <phoneticPr fontId="1"/>
  </si>
  <si>
    <t>term</t>
    <phoneticPr fontId="1"/>
  </si>
  <si>
    <t>statement</t>
    <phoneticPr fontId="1"/>
  </si>
  <si>
    <t>material</t>
    <phoneticPr fontId="1"/>
  </si>
  <si>
    <t>community</t>
    <phoneticPr fontId="1"/>
  </si>
  <si>
    <t>technology</t>
    <phoneticPr fontId="1"/>
  </si>
  <si>
    <t>culture</t>
    <phoneticPr fontId="1"/>
  </si>
  <si>
    <t>appropriate</t>
    <phoneticPr fontId="1"/>
  </si>
  <si>
    <t>priate</t>
  </si>
  <si>
    <t>likely</t>
    <phoneticPr fontId="1"/>
  </si>
  <si>
    <t>possible</t>
    <phoneticPr fontId="1"/>
  </si>
  <si>
    <t>individual</t>
    <phoneticPr fontId="1"/>
  </si>
  <si>
    <t>public</t>
    <phoneticPr fontId="1"/>
  </si>
  <si>
    <t>similar</t>
    <phoneticPr fontId="1"/>
  </si>
  <si>
    <t>recent</t>
    <phoneticPr fontId="1"/>
  </si>
  <si>
    <t>patient</t>
    <phoneticPr fontId="1"/>
  </si>
  <si>
    <t>participate</t>
    <phoneticPr fontId="1"/>
  </si>
  <si>
    <t>particular</t>
    <phoneticPr fontId="1"/>
  </si>
  <si>
    <t>physical</t>
    <phoneticPr fontId="1"/>
  </si>
  <si>
    <t>al</t>
    <phoneticPr fontId="1"/>
  </si>
  <si>
    <t>various</t>
    <phoneticPr fontId="1"/>
  </si>
  <si>
    <t>available</t>
    <phoneticPr fontId="1"/>
  </si>
  <si>
    <t>certain</t>
    <phoneticPr fontId="1"/>
  </si>
  <si>
    <t>native</t>
    <phoneticPr fontId="1"/>
  </si>
  <si>
    <t>political</t>
    <phoneticPr fontId="1"/>
  </si>
  <si>
    <t>blank</t>
    <phoneticPr fontId="1"/>
  </si>
  <si>
    <t>ancient</t>
    <phoneticPr fontId="1"/>
  </si>
  <si>
    <t>correct</t>
    <phoneticPr fontId="1"/>
  </si>
  <si>
    <t>despite</t>
    <phoneticPr fontId="1"/>
  </si>
  <si>
    <t>notice</t>
    <phoneticPr fontId="1"/>
  </si>
  <si>
    <t>refer</t>
    <phoneticPr fontId="1"/>
  </si>
  <si>
    <t>approach</t>
    <phoneticPr fontId="1"/>
  </si>
  <si>
    <t>wonder</t>
    <phoneticPr fontId="1"/>
  </si>
  <si>
    <t>imagine</t>
    <phoneticPr fontId="1"/>
  </si>
  <si>
    <t>co</t>
    <phoneticPr fontId="1"/>
  </si>
  <si>
    <t>solve</t>
    <phoneticPr fontId="1"/>
  </si>
  <si>
    <t>occur</t>
    <phoneticPr fontId="1"/>
  </si>
  <si>
    <t>argue</t>
    <phoneticPr fontId="1"/>
  </si>
  <si>
    <t>claim</t>
    <phoneticPr fontId="1"/>
  </si>
  <si>
    <t>advance</t>
    <phoneticPr fontId="1"/>
  </si>
  <si>
    <t>prepare</t>
    <phoneticPr fontId="1"/>
  </si>
  <si>
    <t>gain</t>
    <phoneticPr fontId="1"/>
  </si>
  <si>
    <t>achieve</t>
    <phoneticPr fontId="1"/>
  </si>
  <si>
    <t>establish</t>
    <phoneticPr fontId="1"/>
  </si>
  <si>
    <t>supply</t>
    <phoneticPr fontId="1"/>
  </si>
  <si>
    <t>suppose</t>
    <phoneticPr fontId="1"/>
  </si>
  <si>
    <t>pose</t>
    <phoneticPr fontId="1"/>
  </si>
  <si>
    <t>related11</t>
    <phoneticPr fontId="1"/>
  </si>
  <si>
    <t>related12</t>
    <phoneticPr fontId="1"/>
  </si>
  <si>
    <t>related13</t>
    <phoneticPr fontId="1"/>
  </si>
  <si>
    <t>related14</t>
    <phoneticPr fontId="1"/>
  </si>
  <si>
    <t>per</t>
  </si>
  <si>
    <t>form</t>
  </si>
  <si>
    <t>de</t>
  </si>
  <si>
    <t>termine</t>
  </si>
  <si>
    <t>ap</t>
  </si>
  <si>
    <t>ply</t>
  </si>
  <si>
    <t>mention</t>
    <phoneticPr fontId="1"/>
  </si>
  <si>
    <t>tain</t>
  </si>
  <si>
    <t>tact</t>
  </si>
  <si>
    <t>gard</t>
  </si>
  <si>
    <t>nect</t>
  </si>
  <si>
    <t>cline</t>
  </si>
  <si>
    <t>communicate</t>
    <phoneticPr fontId="1"/>
  </si>
  <si>
    <t>pre</t>
  </si>
  <si>
    <t>vent</t>
  </si>
  <si>
    <t>suffer</t>
    <phoneticPr fontId="1"/>
  </si>
  <si>
    <t>sur</t>
  </si>
  <si>
    <t>vive</t>
  </si>
  <si>
    <t>op</t>
  </si>
  <si>
    <t>eco</t>
  </si>
  <si>
    <t>nomy</t>
  </si>
  <si>
    <t>ac</t>
  </si>
  <si>
    <t>count</t>
  </si>
  <si>
    <t>policy</t>
    <phoneticPr fontId="1"/>
  </si>
  <si>
    <t>image</t>
    <phoneticPr fontId="1"/>
  </si>
  <si>
    <t>emotion</t>
    <phoneticPr fontId="1"/>
  </si>
  <si>
    <t>motion</t>
    <phoneticPr fontId="1"/>
  </si>
  <si>
    <t>stress</t>
    <phoneticPr fontId="1"/>
  </si>
  <si>
    <t>adv</t>
  </si>
  <si>
    <t>damage</t>
  </si>
  <si>
    <t>pact</t>
  </si>
  <si>
    <t>tail</t>
  </si>
  <si>
    <t>cess</t>
  </si>
  <si>
    <t>damage</t>
    <phoneticPr fontId="1"/>
  </si>
  <si>
    <t>resource</t>
    <phoneticPr fontId="1"/>
  </si>
  <si>
    <t>region</t>
    <phoneticPr fontId="1"/>
  </si>
  <si>
    <t>medicine</t>
    <phoneticPr fontId="1"/>
  </si>
  <si>
    <t>come</t>
  </si>
  <si>
    <t>もとになったラテン語からイメージをつかむ。
attitudeは「対象への心の傾け方」というイメージ。</t>
  </si>
  <si>
    <t>site</t>
    <phoneticPr fontId="1"/>
  </si>
  <si>
    <t>aspect</t>
    <phoneticPr fontId="1"/>
  </si>
  <si>
    <t>structure</t>
    <phoneticPr fontId="1"/>
  </si>
  <si>
    <t>link</t>
    <phoneticPr fontId="1"/>
  </si>
  <si>
    <t>instance</t>
    <phoneticPr fontId="1"/>
  </si>
  <si>
    <t>positive</t>
    <phoneticPr fontId="1"/>
  </si>
  <si>
    <t>complex</t>
    <phoneticPr fontId="1"/>
  </si>
  <si>
    <t>current</t>
    <phoneticPr fontId="1"/>
  </si>
  <si>
    <t>mental</t>
    <phoneticPr fontId="1"/>
  </si>
  <si>
    <t>speci</t>
  </si>
  <si>
    <t>fic</t>
  </si>
  <si>
    <t>signi</t>
  </si>
  <si>
    <t>ficant</t>
  </si>
  <si>
    <t>essential</t>
    <phoneticPr fontId="1"/>
  </si>
  <si>
    <t>offic</t>
  </si>
  <si>
    <t>ial</t>
  </si>
  <si>
    <t>financ</t>
  </si>
  <si>
    <t>mobile</t>
    <phoneticPr fontId="1"/>
  </si>
  <si>
    <t>chemic</t>
  </si>
  <si>
    <t>necessary</t>
    <phoneticPr fontId="1"/>
  </si>
  <si>
    <t>eventually</t>
    <phoneticPr fontId="1"/>
  </si>
  <si>
    <t>represent</t>
    <phoneticPr fontId="1"/>
  </si>
  <si>
    <t>dicate</t>
  </si>
  <si>
    <t>attend</t>
    <phoneticPr fontId="1"/>
  </si>
  <si>
    <t>maintain</t>
    <phoneticPr fontId="1"/>
  </si>
  <si>
    <t>vey</t>
  </si>
  <si>
    <t>place</t>
  </si>
  <si>
    <t>duct</t>
  </si>
  <si>
    <t>as</t>
  </si>
  <si>
    <t>sociate</t>
  </si>
  <si>
    <t>attempt</t>
    <phoneticPr fontId="1"/>
  </si>
  <si>
    <t>at</t>
  </si>
  <si>
    <t>promote</t>
    <phoneticPr fontId="1"/>
  </si>
  <si>
    <t>ob</t>
  </si>
  <si>
    <t>serve</t>
  </si>
  <si>
    <t>decrease</t>
    <phoneticPr fontId="1"/>
  </si>
  <si>
    <t>produce</t>
    <phoneticPr fontId="1"/>
  </si>
  <si>
    <t>decide</t>
    <phoneticPr fontId="1"/>
  </si>
  <si>
    <t>offer</t>
    <phoneticPr fontId="1"/>
  </si>
  <si>
    <t>require</t>
    <phoneticPr fontId="1"/>
  </si>
  <si>
    <t>compare</t>
    <phoneticPr fontId="1"/>
  </si>
  <si>
    <t>evidence</t>
    <phoneticPr fontId="1"/>
  </si>
  <si>
    <t>veal</t>
  </si>
  <si>
    <t>flect</t>
  </si>
  <si>
    <t>tract</t>
  </si>
  <si>
    <t>ignore</t>
    <phoneticPr fontId="1"/>
  </si>
  <si>
    <t>fine</t>
  </si>
  <si>
    <t>adapt</t>
    <phoneticPr fontId="1"/>
  </si>
  <si>
    <t>tribute</t>
  </si>
  <si>
    <t>ex</t>
  </si>
  <si>
    <t>change</t>
  </si>
  <si>
    <t>display</t>
    <phoneticPr fontId="1"/>
  </si>
  <si>
    <t>spond</t>
  </si>
  <si>
    <t>doubt</t>
    <phoneticPr fontId="1"/>
  </si>
  <si>
    <t>remove</t>
    <phoneticPr fontId="1"/>
  </si>
  <si>
    <t>sume</t>
  </si>
  <si>
    <t>lax</t>
  </si>
  <si>
    <t>satis</t>
  </si>
  <si>
    <t>fy</t>
  </si>
  <si>
    <t>desire</t>
    <phoneticPr fontId="1"/>
  </si>
  <si>
    <t>succeed</t>
    <phoneticPr fontId="1"/>
  </si>
  <si>
    <t>cept</t>
  </si>
  <si>
    <t>contra</t>
  </si>
  <si>
    <t>st</t>
  </si>
  <si>
    <t>col</t>
  </si>
  <si>
    <t>tent</t>
  </si>
  <si>
    <t>face</t>
  </si>
  <si>
    <t>status</t>
    <phoneticPr fontId="1"/>
  </si>
  <si>
    <t>reward</t>
    <phoneticPr fontId="1"/>
  </si>
  <si>
    <t>flict</t>
  </si>
  <si>
    <t>text</t>
  </si>
  <si>
    <t>bate</t>
  </si>
  <si>
    <t>ba</t>
  </si>
  <si>
    <t>lance</t>
  </si>
  <si>
    <t>ancestor</t>
    <phoneticPr fontId="1"/>
  </si>
  <si>
    <t>gene</t>
    <phoneticPr fontId="1"/>
  </si>
  <si>
    <t>revolution</t>
    <phoneticPr fontId="1"/>
  </si>
  <si>
    <t>gress</t>
  </si>
  <si>
    <t>cognitive</t>
    <phoneticPr fontId="1"/>
  </si>
  <si>
    <t>ideal</t>
    <phoneticPr fontId="1"/>
  </si>
  <si>
    <t>ef</t>
  </si>
  <si>
    <t>ficient</t>
  </si>
  <si>
    <t>universal</t>
    <phoneticPr fontId="1"/>
  </si>
  <si>
    <t>en</t>
  </si>
  <si>
    <t>tire</t>
  </si>
  <si>
    <t>false</t>
  </si>
  <si>
    <t>independent</t>
    <phoneticPr fontId="1"/>
  </si>
  <si>
    <t>actual</t>
    <phoneticPr fontId="1"/>
  </si>
  <si>
    <t>where</t>
  </si>
  <si>
    <t>predict</t>
    <phoneticPr fontId="1"/>
  </si>
  <si>
    <t>e</t>
  </si>
  <si>
    <t>merge</t>
  </si>
  <si>
    <t>able</t>
  </si>
  <si>
    <t>ly</t>
  </si>
  <si>
    <t>gage</t>
  </si>
  <si>
    <t>ad</t>
  </si>
  <si>
    <t>opt</t>
  </si>
  <si>
    <t>pand</t>
  </si>
  <si>
    <t>fuse</t>
  </si>
  <si>
    <t>peat</t>
  </si>
  <si>
    <t>vince</t>
  </si>
  <si>
    <t>call</t>
  </si>
  <si>
    <t>round</t>
  </si>
  <si>
    <t>com</t>
  </si>
  <si>
    <t>bine</t>
  </si>
  <si>
    <t>preciate</t>
  </si>
  <si>
    <t>prin</t>
  </si>
  <si>
    <t>ciple</t>
  </si>
  <si>
    <t>atmo</t>
  </si>
  <si>
    <t>person</t>
  </si>
  <si>
    <t>ity</t>
  </si>
  <si>
    <t>capac</t>
  </si>
  <si>
    <t>fit</t>
  </si>
  <si>
    <t>sident</t>
  </si>
  <si>
    <t>vary</t>
    <phoneticPr fontId="1"/>
  </si>
  <si>
    <t>release</t>
    <phoneticPr fontId="1"/>
  </si>
  <si>
    <t>divide</t>
    <phoneticPr fontId="1"/>
  </si>
  <si>
    <t>judge</t>
    <phoneticPr fontId="1"/>
  </si>
  <si>
    <t>acquire</t>
    <phoneticPr fontId="1"/>
  </si>
  <si>
    <t>consume</t>
    <phoneticPr fontId="1"/>
  </si>
  <si>
    <t>confuse</t>
    <phoneticPr fontId="1"/>
  </si>
  <si>
    <t>select</t>
    <phoneticPr fontId="1"/>
  </si>
  <si>
    <t>evolve</t>
    <phoneticPr fontId="1"/>
  </si>
  <si>
    <t>destroy</t>
    <phoneticPr fontId="1"/>
  </si>
  <si>
    <t>preserve</t>
    <phoneticPr fontId="1"/>
  </si>
  <si>
    <t>organize</t>
    <phoneticPr fontId="1"/>
  </si>
  <si>
    <t>address</t>
    <phoneticPr fontId="1"/>
  </si>
  <si>
    <t>ress</t>
  </si>
  <si>
    <t>extend</t>
    <phoneticPr fontId="1"/>
  </si>
  <si>
    <t>circumstance</t>
    <phoneticPr fontId="1"/>
  </si>
  <si>
    <t>manner</t>
    <phoneticPr fontId="1"/>
  </si>
  <si>
    <t>weal</t>
  </si>
  <si>
    <t>th</t>
  </si>
  <si>
    <t>author</t>
  </si>
  <si>
    <t>sym</t>
  </si>
  <si>
    <t>bol</t>
  </si>
  <si>
    <t>ana</t>
  </si>
  <si>
    <t>lysis</t>
  </si>
  <si>
    <t>補足</t>
    <phoneticPr fontId="1"/>
  </si>
  <si>
    <t>語源</t>
    <phoneticPr fontId="1"/>
  </si>
  <si>
    <t>古フランス語</t>
    <phoneticPr fontId="1"/>
  </si>
  <si>
    <t>dis</t>
  </si>
  <si>
    <t>aster</t>
  </si>
  <si>
    <t>psycho</t>
  </si>
  <si>
    <t>logy</t>
  </si>
  <si>
    <t>cu</t>
  </si>
  <si>
    <t>stom</t>
  </si>
  <si>
    <t>sert</t>
  </si>
  <si>
    <t>curate</t>
  </si>
  <si>
    <t>fundamental</t>
  </si>
  <si>
    <t>arti</t>
  </si>
  <si>
    <t>fici</t>
  </si>
  <si>
    <t>encourage</t>
    <phoneticPr fontId="1"/>
  </si>
  <si>
    <t>ment</t>
  </si>
  <si>
    <t>recognize</t>
    <phoneticPr fontId="1"/>
  </si>
  <si>
    <t>ize</t>
  </si>
  <si>
    <t>blish</t>
  </si>
  <si>
    <t>determine</t>
    <phoneticPr fontId="1"/>
  </si>
  <si>
    <t>ty</t>
  </si>
  <si>
    <t>industry</t>
    <phoneticPr fontId="1"/>
  </si>
  <si>
    <t>feature</t>
    <phoneticPr fontId="1"/>
  </si>
  <si>
    <t>ure</t>
  </si>
  <si>
    <t>fund</t>
    <phoneticPr fontId="1"/>
  </si>
  <si>
    <t>perspective</t>
    <phoneticPr fontId="1"/>
  </si>
  <si>
    <t>ive</t>
  </si>
  <si>
    <t>lecture</t>
    <phoneticPr fontId="1"/>
  </si>
  <si>
    <t>gender</t>
    <phoneticPr fontId="1"/>
  </si>
  <si>
    <t>agriculture</t>
    <phoneticPr fontId="1"/>
  </si>
  <si>
    <t>agri</t>
  </si>
  <si>
    <t>intelligent</t>
    <phoneticPr fontId="1"/>
  </si>
  <si>
    <t>intel</t>
  </si>
  <si>
    <t>ligent</t>
  </si>
  <si>
    <t>capable</t>
    <phoneticPr fontId="1"/>
  </si>
  <si>
    <t>over</t>
  </si>
  <si>
    <t>all</t>
  </si>
  <si>
    <t>rural</t>
    <phoneticPr fontId="1"/>
  </si>
  <si>
    <t>milit</t>
  </si>
  <si>
    <t>ary</t>
  </si>
  <si>
    <t>ar</t>
  </si>
  <si>
    <t>bio</t>
  </si>
  <si>
    <t>ical</t>
  </si>
  <si>
    <t>constant</t>
    <phoneticPr fontId="1"/>
  </si>
  <si>
    <t>stant</t>
  </si>
  <si>
    <t>visual</t>
    <phoneticPr fontId="1"/>
  </si>
  <si>
    <t>ous</t>
  </si>
  <si>
    <t>convenient</t>
    <phoneticPr fontId="1"/>
  </si>
  <si>
    <t>domest</t>
  </si>
  <si>
    <t>ic</t>
  </si>
  <si>
    <t>typ</t>
  </si>
  <si>
    <t>seas</t>
  </si>
  <si>
    <t>never</t>
  </si>
  <si>
    <t>the</t>
  </si>
  <si>
    <t>less</t>
  </si>
  <si>
    <t>company</t>
    <phoneticPr fontId="1"/>
  </si>
  <si>
    <t>express</t>
    <phoneticPr fontId="1"/>
  </si>
  <si>
    <t>prefer</t>
    <phoneticPr fontId="1"/>
  </si>
  <si>
    <t>apply</t>
    <phoneticPr fontId="1"/>
  </si>
  <si>
    <t>contain</t>
    <phoneticPr fontId="1"/>
  </si>
  <si>
    <t>connect</t>
    <phoneticPr fontId="1"/>
  </si>
  <si>
    <t>decline</t>
    <phoneticPr fontId="1"/>
  </si>
  <si>
    <t>survive</t>
    <phoneticPr fontId="1"/>
  </si>
  <si>
    <t>medium</t>
    <phoneticPr fontId="1"/>
  </si>
  <si>
    <t>hod</t>
  </si>
  <si>
    <t>attitude</t>
    <phoneticPr fontId="1"/>
  </si>
  <si>
    <t>tude</t>
  </si>
  <si>
    <t>academic</t>
    <phoneticPr fontId="1"/>
  </si>
  <si>
    <t>potential</t>
    <phoneticPr fontId="1"/>
  </si>
  <si>
    <t>digital</t>
    <phoneticPr fontId="1"/>
  </si>
  <si>
    <t>novel</t>
    <phoneticPr fontId="1"/>
  </si>
  <si>
    <t>plastic</t>
    <phoneticPr fontId="1"/>
  </si>
  <si>
    <t>identify</t>
    <phoneticPr fontId="1"/>
  </si>
  <si>
    <t>sent</t>
  </si>
  <si>
    <t>associate</t>
    <phoneticPr fontId="1"/>
  </si>
  <si>
    <t>unite</t>
    <phoneticPr fontId="1"/>
  </si>
  <si>
    <t>fashion</t>
    <phoneticPr fontId="1"/>
  </si>
  <si>
    <t>section</t>
    <phoneticPr fontId="1"/>
  </si>
  <si>
    <t>tion</t>
  </si>
  <si>
    <t>audience</t>
    <phoneticPr fontId="1"/>
  </si>
  <si>
    <t>ence</t>
    <phoneticPr fontId="1"/>
  </si>
  <si>
    <t>option</t>
    <phoneticPr fontId="1"/>
  </si>
  <si>
    <t>ion</t>
  </si>
  <si>
    <t>pollution</t>
    <phoneticPr fontId="1"/>
  </si>
  <si>
    <t>traffic</t>
    <phoneticPr fontId="1"/>
  </si>
  <si>
    <t>familiar</t>
    <phoneticPr fontId="1"/>
  </si>
  <si>
    <t>moral</t>
    <phoneticPr fontId="1"/>
  </si>
  <si>
    <t>ordinary</t>
    <phoneticPr fontId="1"/>
  </si>
  <si>
    <t>equal</t>
    <phoneticPr fontId="1"/>
  </si>
  <si>
    <t>false</t>
    <phoneticPr fontId="1"/>
  </si>
  <si>
    <t>willing</t>
    <phoneticPr fontId="1"/>
  </si>
  <si>
    <t>ing</t>
  </si>
  <si>
    <t>urban</t>
    <phoneticPr fontId="1"/>
  </si>
  <si>
    <t>an</t>
  </si>
  <si>
    <t>dge</t>
  </si>
  <si>
    <t>phenomenon</t>
    <phoneticPr fontId="1"/>
  </si>
  <si>
    <t>menon</t>
  </si>
  <si>
    <t>resident</t>
    <phoneticPr fontId="1"/>
  </si>
  <si>
    <t>institution</t>
    <phoneticPr fontId="1"/>
  </si>
  <si>
    <t>campaign</t>
    <phoneticPr fontId="1"/>
  </si>
  <si>
    <t>ign</t>
  </si>
  <si>
    <t>analysis</t>
    <phoneticPr fontId="1"/>
  </si>
  <si>
    <t>version</t>
    <phoneticPr fontId="1"/>
  </si>
  <si>
    <t>custom</t>
    <phoneticPr fontId="1"/>
  </si>
  <si>
    <t>fossil</t>
    <phoneticPr fontId="1"/>
  </si>
  <si>
    <t>il</t>
  </si>
  <si>
    <t>document</t>
    <phoneticPr fontId="1"/>
  </si>
  <si>
    <t>vocabulary</t>
    <phoneticPr fontId="1"/>
  </si>
  <si>
    <t>typical</t>
    <phoneticPr fontId="1"/>
  </si>
  <si>
    <t>monstrate</t>
  </si>
  <si>
    <t>be</t>
  </si>
  <si>
    <t>have</t>
  </si>
  <si>
    <t>mit</t>
  </si>
  <si>
    <t>plore</t>
  </si>
  <si>
    <t>educate</t>
    <phoneticPr fontId="1"/>
  </si>
  <si>
    <t>purchase</t>
    <phoneticPr fontId="1"/>
  </si>
  <si>
    <t>recommend</t>
    <phoneticPr fontId="1"/>
  </si>
  <si>
    <t>generate</t>
    <phoneticPr fontId="1"/>
  </si>
  <si>
    <t>amaze</t>
    <phoneticPr fontId="1"/>
  </si>
  <si>
    <t>a</t>
  </si>
  <si>
    <t>af</t>
  </si>
  <si>
    <t>ford</t>
  </si>
  <si>
    <t>conclude</t>
    <phoneticPr fontId="1"/>
  </si>
  <si>
    <t>advertise</t>
    <phoneticPr fontId="1"/>
  </si>
  <si>
    <t>counter</t>
  </si>
  <si>
    <t>mind</t>
  </si>
  <si>
    <t>locate</t>
    <phoneticPr fontId="1"/>
  </si>
  <si>
    <t>liver</t>
  </si>
  <si>
    <t>perceive</t>
    <phoneticPr fontId="1"/>
  </si>
  <si>
    <t>di</t>
  </si>
  <si>
    <t>stinguish</t>
  </si>
  <si>
    <t>imply</t>
    <phoneticPr fontId="1"/>
  </si>
  <si>
    <t>hand</t>
  </si>
  <si>
    <t>le</t>
  </si>
  <si>
    <t>praise</t>
    <phoneticPr fontId="1"/>
  </si>
  <si>
    <t>peal</t>
  </si>
  <si>
    <t>insist</t>
    <phoneticPr fontId="1"/>
  </si>
  <si>
    <t>compete</t>
    <phoneticPr fontId="1"/>
  </si>
  <si>
    <t>ny</t>
  </si>
  <si>
    <t>reject</t>
    <phoneticPr fontId="1"/>
  </si>
  <si>
    <t>intend</t>
    <phoneticPr fontId="1"/>
  </si>
  <si>
    <t>expose</t>
    <phoneticPr fontId="1"/>
  </si>
  <si>
    <t>spire</t>
  </si>
  <si>
    <t>propose</t>
    <phoneticPr fontId="1"/>
  </si>
  <si>
    <t>日本語でも使われる英単語のスペル（綴り）と関連させておぼえる。</t>
  </si>
  <si>
    <t>repair</t>
    <phoneticPr fontId="1"/>
  </si>
  <si>
    <t>consist</t>
    <phoneticPr fontId="1"/>
  </si>
  <si>
    <t>instruction</t>
    <phoneticPr fontId="1"/>
  </si>
  <si>
    <t>religion</t>
    <phoneticPr fontId="1"/>
  </si>
  <si>
    <t>neigh</t>
  </si>
  <si>
    <t>bor</t>
  </si>
  <si>
    <t>hood</t>
  </si>
  <si>
    <t>presence</t>
    <phoneticPr fontId="1"/>
  </si>
  <si>
    <t>fidence</t>
  </si>
  <si>
    <t>instrument</t>
    <phoneticPr fontId="1"/>
  </si>
  <si>
    <t>cate</t>
  </si>
  <si>
    <t>gory</t>
  </si>
  <si>
    <t>capital</t>
    <phoneticPr fontId="1"/>
  </si>
  <si>
    <t>out</t>
  </si>
  <si>
    <t>notion</t>
    <phoneticPr fontId="1"/>
  </si>
  <si>
    <t>review</t>
    <phoneticPr fontId="1"/>
  </si>
  <si>
    <t>trait</t>
    <phoneticPr fontId="1"/>
  </si>
  <si>
    <t>diversity</t>
    <phoneticPr fontId="1"/>
  </si>
  <si>
    <t>oc</t>
  </si>
  <si>
    <t>conference</t>
    <phoneticPr fontId="1"/>
  </si>
  <si>
    <t>dia</t>
  </si>
  <si>
    <t>lect</t>
  </si>
  <si>
    <t>proportion</t>
    <phoneticPr fontId="1"/>
  </si>
  <si>
    <t>law</t>
  </si>
  <si>
    <t>yer</t>
  </si>
  <si>
    <t>fort</t>
  </si>
  <si>
    <t>philo</t>
  </si>
  <si>
    <t>sophy</t>
  </si>
  <si>
    <t>mamm</t>
  </si>
  <si>
    <t>quantity</t>
    <phoneticPr fontId="1"/>
  </si>
  <si>
    <t>quantity（量）はquality（質）とセットで覚える。</t>
    <rPh sb="9" eb="10">
      <t>リョウ</t>
    </rPh>
    <rPh sb="20" eb="21">
      <t>シツ</t>
    </rPh>
    <rPh sb="27" eb="28">
      <t>オボ</t>
    </rPh>
    <phoneticPr fontId="1"/>
  </si>
  <si>
    <t>land</t>
  </si>
  <si>
    <t>scape</t>
  </si>
  <si>
    <t>substance</t>
    <phoneticPr fontId="1"/>
  </si>
  <si>
    <t>multiple</t>
    <phoneticPr fontId="1"/>
  </si>
  <si>
    <t>numer</t>
  </si>
  <si>
    <t>wide</t>
  </si>
  <si>
    <t>suf</t>
  </si>
  <si>
    <t>proper</t>
    <phoneticPr fontId="1"/>
  </si>
  <si>
    <t>lingu</t>
  </si>
  <si>
    <t>ist</t>
  </si>
  <si>
    <t>annu</t>
  </si>
  <si>
    <t>tempor</t>
  </si>
  <si>
    <t>contrary</t>
    <phoneticPr fontId="1"/>
  </si>
  <si>
    <t>strict</t>
    <phoneticPr fontId="1"/>
  </si>
  <si>
    <t>civ</t>
  </si>
  <si>
    <t>unknown</t>
    <phoneticPr fontId="1"/>
  </si>
  <si>
    <t>superi</t>
  </si>
  <si>
    <t>or</t>
  </si>
  <si>
    <t>sensit</t>
  </si>
  <si>
    <t>viol</t>
  </si>
  <si>
    <t>ent</t>
  </si>
  <si>
    <t>virtual</t>
    <phoneticPr fontId="1"/>
  </si>
  <si>
    <t>regardless</t>
    <phoneticPr fontId="1"/>
  </si>
  <si>
    <t>cruc</t>
  </si>
  <si>
    <t>some</t>
  </si>
  <si>
    <t>what</t>
  </si>
  <si>
    <t>concentrate</t>
    <phoneticPr fontId="1"/>
  </si>
  <si>
    <t>centrate</t>
  </si>
  <si>
    <t>nounce</t>
  </si>
  <si>
    <t>rise</t>
  </si>
  <si>
    <t>interpret</t>
    <phoneticPr fontId="1"/>
  </si>
  <si>
    <t>criticize</t>
    <phoneticPr fontId="1"/>
  </si>
  <si>
    <t>obtain</t>
    <phoneticPr fontId="1"/>
  </si>
  <si>
    <t>ensure</t>
    <phoneticPr fontId="1"/>
  </si>
  <si>
    <t>oppose</t>
    <phoneticPr fontId="1"/>
  </si>
  <si>
    <t>differ</t>
    <phoneticPr fontId="1"/>
  </si>
  <si>
    <t>emphasize</t>
    <phoneticPr fontId="1"/>
  </si>
  <si>
    <t>employ</t>
    <phoneticPr fontId="1"/>
  </si>
  <si>
    <t>credit</t>
    <phoneticPr fontId="1"/>
  </si>
  <si>
    <t>transform</t>
    <phoneticPr fontId="1"/>
  </si>
  <si>
    <t>construct</t>
    <phoneticPr fontId="1"/>
  </si>
  <si>
    <t>gret</t>
  </si>
  <si>
    <t>ter</t>
  </si>
  <si>
    <t>ab</t>
  </si>
  <si>
    <t>sorb</t>
  </si>
  <si>
    <t>point</t>
  </si>
  <si>
    <t>cure</t>
    <phoneticPr fontId="1"/>
  </si>
  <si>
    <t>trans</t>
  </si>
  <si>
    <t>port</t>
  </si>
  <si>
    <t>日本語でも使われるアカウントをバンされる（アカウント使用を禁止する）と関連させて覚える。</t>
  </si>
  <si>
    <t>cover</t>
  </si>
  <si>
    <t>manufacture</t>
    <phoneticPr fontId="1"/>
  </si>
  <si>
    <t>inter</t>
  </si>
  <si>
    <t>act</t>
  </si>
  <si>
    <t>just</t>
  </si>
  <si>
    <t>confirm</t>
    <phoneticPr fontId="1"/>
  </si>
  <si>
    <t>insight</t>
    <phoneticPr fontId="1"/>
  </si>
  <si>
    <t>expense</t>
    <phoneticPr fontId="1"/>
  </si>
  <si>
    <t>pense</t>
  </si>
  <si>
    <t>debt</t>
    <phoneticPr fontId="1"/>
  </si>
  <si>
    <t>duty</t>
    <phoneticPr fontId="1"/>
  </si>
  <si>
    <t>arm</t>
  </si>
  <si>
    <t>emergency</t>
    <phoneticPr fontId="1"/>
  </si>
  <si>
    <t>demo</t>
  </si>
  <si>
    <t>cracy</t>
  </si>
  <si>
    <t>mini</t>
  </si>
  <si>
    <t>fe</t>
  </si>
  <si>
    <t>llow</t>
  </si>
  <si>
    <t>stereo</t>
  </si>
  <si>
    <t>type</t>
  </si>
  <si>
    <t>age</t>
  </si>
  <si>
    <t>order</t>
  </si>
  <si>
    <t>depression</t>
    <phoneticPr fontId="1"/>
  </si>
  <si>
    <t>press</t>
  </si>
  <si>
    <t>barr</t>
  </si>
  <si>
    <t>ier</t>
  </si>
  <si>
    <t>disadvantage</t>
    <phoneticPr fontId="1"/>
  </si>
  <si>
    <t>ion</t>
    <phoneticPr fontId="1"/>
  </si>
  <si>
    <t>motionはmoveの名詞と覚えればよい。</t>
    <rPh sb="12" eb="14">
      <t>メイシ</t>
    </rPh>
    <rPh sb="15" eb="16">
      <t>オボ</t>
    </rPh>
    <phoneticPr fontId="1"/>
  </si>
  <si>
    <t>routine</t>
    <phoneticPr fontId="1"/>
  </si>
  <si>
    <t>ine</t>
  </si>
  <si>
    <t>discipline</t>
    <phoneticPr fontId="1"/>
  </si>
  <si>
    <t>hypo</t>
  </si>
  <si>
    <t>physician</t>
    <phoneticPr fontId="1"/>
  </si>
  <si>
    <t>ian</t>
  </si>
  <si>
    <t>client</t>
    <phoneticPr fontId="1"/>
  </si>
  <si>
    <t>statistics</t>
    <phoneticPr fontId="1"/>
  </si>
  <si>
    <t>ics</t>
  </si>
  <si>
    <t>ingredient</t>
    <phoneticPr fontId="1"/>
  </si>
  <si>
    <t>ent</t>
    <phoneticPr fontId="1"/>
  </si>
  <si>
    <t>contract</t>
    <phoneticPr fontId="1"/>
  </si>
  <si>
    <t>wel</t>
  </si>
  <si>
    <t>prime</t>
    <phoneticPr fontId="1"/>
  </si>
  <si>
    <t>curi</t>
  </si>
  <si>
    <t>dramat</t>
  </si>
  <si>
    <t>tinct</t>
  </si>
  <si>
    <t>anx</t>
  </si>
  <si>
    <t>ious</t>
  </si>
  <si>
    <t>colony</t>
    <phoneticPr fontId="1"/>
  </si>
  <si>
    <t>vital</t>
    <phoneticPr fontId="1"/>
  </si>
  <si>
    <t>conventional</t>
    <phoneticPr fontId="1"/>
  </si>
  <si>
    <t>abstract</t>
    <phoneticPr fontId="1"/>
  </si>
  <si>
    <t>minor</t>
    <phoneticPr fontId="1"/>
  </si>
  <si>
    <t>extraordinary</t>
    <phoneticPr fontId="1"/>
  </si>
  <si>
    <t>visible</t>
    <phoneticPr fontId="1"/>
  </si>
  <si>
    <t>unexpected</t>
    <phoneticPr fontId="1"/>
  </si>
  <si>
    <t>ethn</t>
  </si>
  <si>
    <t>latt</t>
  </si>
  <si>
    <t>er</t>
  </si>
  <si>
    <t>hance</t>
  </si>
  <si>
    <t>agree</t>
  </si>
  <si>
    <t>transfer</t>
    <phoneticPr fontId="1"/>
  </si>
  <si>
    <t>suade</t>
  </si>
  <si>
    <t>日本語で使われるレンタル（お金を払って借りる）と関連させて覚える。</t>
  </si>
  <si>
    <t>日本語でも使われる動物のブリーダー（繁殖させて育てる人）と関連させて覚える。</t>
  </si>
  <si>
    <t>vest</t>
  </si>
  <si>
    <t>tach</t>
  </si>
  <si>
    <t>日本語でも使われるストレッチする（筋肉を伸ばす）やストレッチ素材（伸びる素材）などと関連させて覚える。</t>
  </si>
  <si>
    <t>turb</t>
  </si>
  <si>
    <t>up</t>
  </si>
  <si>
    <t>set</t>
  </si>
  <si>
    <t>moni</t>
  </si>
  <si>
    <t>tor</t>
  </si>
  <si>
    <t>日本語でも使われるモニター（監視映像を映すモニター、品質チェックする人）と関連させて覚える。</t>
  </si>
  <si>
    <t>wit</t>
  </si>
  <si>
    <t>ness</t>
  </si>
  <si>
    <t>burd</t>
  </si>
  <si>
    <t>related15</t>
    <phoneticPr fontId="1"/>
  </si>
  <si>
    <t>related16</t>
    <phoneticPr fontId="1"/>
  </si>
  <si>
    <t>related17</t>
    <phoneticPr fontId="1"/>
  </si>
  <si>
    <t>ward</t>
  </si>
  <si>
    <t>ance</t>
  </si>
  <si>
    <t>日本語でも使われるフレーム（枠）と関連させて覚える。</t>
  </si>
  <si>
    <t>shel</t>
  </si>
  <si>
    <t>terri</t>
  </si>
  <si>
    <t>tory</t>
  </si>
  <si>
    <t>bound</t>
  </si>
  <si>
    <t>dat</t>
  </si>
  <si>
    <t>verb</t>
  </si>
  <si>
    <t>sophist</t>
  </si>
  <si>
    <t>ate</t>
  </si>
  <si>
    <t>d</t>
  </si>
  <si>
    <t>permanent</t>
  </si>
  <si>
    <t>ful</t>
  </si>
  <si>
    <t>guarant</t>
  </si>
  <si>
    <t>ee</t>
  </si>
  <si>
    <t>原子炉の核燃料が溶けて落ちるメルトダウンと関連させて覚える。</t>
  </si>
  <si>
    <t>em</t>
  </si>
  <si>
    <t>tect</t>
  </si>
  <si>
    <t>isol</t>
  </si>
  <si>
    <t>haust</t>
  </si>
  <si>
    <t>ann</t>
  </si>
  <si>
    <t>oy</t>
  </si>
  <si>
    <t>mire</t>
  </si>
  <si>
    <t>clare</t>
  </si>
  <si>
    <t>se</t>
  </si>
  <si>
    <t>cure</t>
  </si>
  <si>
    <t>test</t>
  </si>
  <si>
    <t>wis</t>
  </si>
  <si>
    <t>dom</t>
  </si>
  <si>
    <t>literacy</t>
    <phoneticPr fontId="1"/>
  </si>
  <si>
    <t>litera</t>
  </si>
  <si>
    <t>cy</t>
  </si>
  <si>
    <t>heritage</t>
    <phoneticPr fontId="1"/>
  </si>
  <si>
    <t>miss</t>
  </si>
  <si>
    <t>licens</t>
  </si>
  <si>
    <t>lay</t>
  </si>
  <si>
    <t>prote</t>
  </si>
  <si>
    <t>profession</t>
    <phoneticPr fontId="1"/>
  </si>
  <si>
    <t>fess</t>
  </si>
  <si>
    <t>dit</t>
  </si>
  <si>
    <t>数学の行列の「行」もrowと言う（列はcolomn）。</t>
  </si>
  <si>
    <t>sacri</t>
  </si>
  <si>
    <t>fice</t>
  </si>
  <si>
    <t>liqu</t>
  </si>
  <si>
    <t>id</t>
  </si>
  <si>
    <t>tice</t>
  </si>
  <si>
    <t>guide</t>
  </si>
  <si>
    <t>line</t>
  </si>
  <si>
    <t>sect</t>
  </si>
  <si>
    <t>us</t>
  </si>
  <si>
    <t>cor</t>
  </si>
  <si>
    <t>現代英語</t>
    <rPh sb="0" eb="4">
      <t>ゲンダイエイゴ</t>
    </rPh>
    <phoneticPr fontId="1"/>
  </si>
  <si>
    <t>in（中に）+crescere（成長する）
increscere（膨らむ, 成長する, 増加する）</t>
    <rPh sb="33" eb="34">
      <t>フク</t>
    </rPh>
    <rPh sb="44" eb="46">
      <t>ゾウカ</t>
    </rPh>
    <phoneticPr fontId="1"/>
  </si>
  <si>
    <t>encreistre
&lt;span class="spacer"&gt;&lt;/span&gt;現在分詞語幹encreiss-</t>
    <phoneticPr fontId="1"/>
  </si>
  <si>
    <t>中英語</t>
    <rPh sb="0" eb="3">
      <t>チュウエイゴ</t>
    </rPh>
    <phoneticPr fontId="1"/>
  </si>
  <si>
    <t>encresen
&lt;span class="spacer"&gt;&lt;/span&gt;14世紀半ば
増える
&lt;span class="spacer"&gt;&lt;/span&gt;14世紀後期
増やす</t>
    <rPh sb="44" eb="45">
      <t>フ</t>
    </rPh>
    <rPh sb="80" eb="82">
      <t>コウキ</t>
    </rPh>
    <rPh sb="83" eb="84">
      <t>フ</t>
    </rPh>
    <phoneticPr fontId="1"/>
  </si>
  <si>
    <t>近代英語</t>
    <rPh sb="0" eb="4">
      <t>キンダイエイゴ</t>
    </rPh>
    <phoneticPr fontId="1"/>
  </si>
  <si>
    <t>increase</t>
    <phoneticPr fontId="1"/>
  </si>
  <si>
    <t>prode（利益）</t>
    <rPh sb="6" eb="8">
      <t>リエキ</t>
    </rPh>
    <phoneticPr fontId="1"/>
  </si>
  <si>
    <t>en（させる）+prou（利益）</t>
    <rPh sb="13" eb="15">
      <t>リエキ</t>
    </rPh>
    <phoneticPr fontId="1"/>
  </si>
  <si>
    <t>アングロ・フランス語</t>
    <rPh sb="9" eb="10">
      <t>ゴ</t>
    </rPh>
    <phoneticPr fontId="1"/>
  </si>
  <si>
    <t>emprouwer（利益にさせる）</t>
    <rPh sb="10" eb="12">
      <t>リエキ</t>
    </rPh>
    <phoneticPr fontId="1"/>
  </si>
  <si>
    <t>1610年代
より良くする</t>
    <rPh sb="4" eb="6">
      <t>ネンダイ</t>
    </rPh>
    <rPh sb="9" eb="10">
      <t>ヨ</t>
    </rPh>
    <phoneticPr fontId="1"/>
  </si>
  <si>
    <t>古英語</t>
  </si>
  <si>
    <t>mænan（何かを意図する, 言葉で特定の意味を伝える）</t>
    <rPh sb="6" eb="7">
      <t>ナニ</t>
    </rPh>
    <rPh sb="15" eb="17">
      <t>コトバ</t>
    </rPh>
    <rPh sb="18" eb="20">
      <t>トクテイ</t>
    </rPh>
    <rPh sb="21" eb="23">
      <t>イミ</t>
    </rPh>
    <rPh sb="24" eb="25">
      <t>ツタ</t>
    </rPh>
    <phoneticPr fontId="1"/>
  </si>
  <si>
    <t>agan（所有する）
geagnian（所有する）</t>
    <rPh sb="20" eb="22">
      <t>ショユウ</t>
    </rPh>
    <phoneticPr fontId="1"/>
  </si>
  <si>
    <t>中英語</t>
  </si>
  <si>
    <t>ounen
&lt;span class="spacer"&gt;&lt;/span&gt;1200年頃
所有する
&lt;span class="spacer"&gt;&lt;/span&gt;1300年頃
認める
&lt;span class="spacer"&gt;&lt;/span&gt;1300年以降
動詞としての使用は廃れる</t>
    <rPh sb="38" eb="40">
      <t>ネンコロ</t>
    </rPh>
    <rPh sb="41" eb="43">
      <t>ショユウ</t>
    </rPh>
    <rPh sb="78" eb="80">
      <t>ネンコロ</t>
    </rPh>
    <rPh sb="81" eb="82">
      <t>ミト</t>
    </rPh>
    <rPh sb="118" eb="120">
      <t>イコウ</t>
    </rPh>
    <rPh sb="121" eb="123">
      <t>ドウシ</t>
    </rPh>
    <rPh sb="127" eb="129">
      <t>シヨウ</t>
    </rPh>
    <rPh sb="130" eb="131">
      <t>スタ</t>
    </rPh>
    <phoneticPr fontId="1"/>
  </si>
  <si>
    <t>近代英語</t>
  </si>
  <si>
    <t>in（中に）+claudare（閉じる）
increscere（閉じ込める）
&lt;span class="spacer"&gt;&lt;/span&gt;claudareは英語close（閉める）の語源</t>
    <rPh sb="16" eb="17">
      <t>ト</t>
    </rPh>
    <rPh sb="32" eb="33">
      <t>ト</t>
    </rPh>
    <rPh sb="34" eb="35">
      <t>コ</t>
    </rPh>
    <rPh sb="76" eb="78">
      <t>エイゴ</t>
    </rPh>
    <rPh sb="84" eb="85">
      <t>シ</t>
    </rPh>
    <rPh sb="89" eb="91">
      <t>ゴゲン</t>
    </rPh>
    <phoneticPr fontId="1"/>
  </si>
  <si>
    <t>15世紀初頭
閉じ込める, 何かを含む</t>
    <rPh sb="7" eb="8">
      <t>ト</t>
    </rPh>
    <rPh sb="9" eb="10">
      <t>コ</t>
    </rPh>
    <rPh sb="14" eb="15">
      <t>ナニ</t>
    </rPh>
    <rPh sb="17" eb="18">
      <t>フク</t>
    </rPh>
    <phoneticPr fontId="1"/>
  </si>
  <si>
    <t>com（共に）+sidus（天体, 星）
considerare（星を観察する）</t>
    <rPh sb="4" eb="5">
      <t>トモ</t>
    </rPh>
    <rPh sb="14" eb="16">
      <t>テンタイ</t>
    </rPh>
    <rPh sb="18" eb="19">
      <t>ホシ</t>
    </rPh>
    <rPh sb="33" eb="34">
      <t>ホシ</t>
    </rPh>
    <rPh sb="35" eb="37">
      <t>カンサツ</t>
    </rPh>
    <phoneticPr fontId="1"/>
  </si>
  <si>
    <t>13世紀
considerer（よく考える）</t>
    <rPh sb="2" eb="4">
      <t>セイキ</t>
    </rPh>
    <rPh sb="18" eb="19">
      <t>カンガ</t>
    </rPh>
    <phoneticPr fontId="1"/>
  </si>
  <si>
    <t>14世紀後期
consideren（よく考える）</t>
    <rPh sb="4" eb="6">
      <t>コウキ</t>
    </rPh>
    <rPh sb="20" eb="21">
      <t>カンガ</t>
    </rPh>
    <phoneticPr fontId="1"/>
  </si>
  <si>
    <t>近代英語</t>
    <phoneticPr fontId="1"/>
  </si>
  <si>
    <t>1530年代
特定の観点から見る</t>
    <phoneticPr fontId="1"/>
  </si>
  <si>
    <t>①ad（～へ）+laudare（賞賛する）
allaudare（賞賛する）
&lt;span class="spacer"&gt;&lt;/span&gt;②ad（～へ）+locare（置く）
allocare（割り当てる, 与える）</t>
    <rPh sb="16" eb="18">
      <t>ショウサン</t>
    </rPh>
    <rPh sb="32" eb="34">
      <t>ショウサン</t>
    </rPh>
    <rPh sb="81" eb="82">
      <t>オ</t>
    </rPh>
    <rPh sb="94" eb="95">
      <t>ワ</t>
    </rPh>
    <rPh sb="96" eb="97">
      <t>ア</t>
    </rPh>
    <rPh sb="101" eb="102">
      <t>アタ</t>
    </rPh>
    <phoneticPr fontId="1"/>
  </si>
  <si>
    <t>①alloer（賞賛する, 認める）
&lt;span class="spacer"&gt;&lt;/span&gt;②alloiier（割り当てる, 与える）</t>
    <rPh sb="14" eb="15">
      <t>ミト</t>
    </rPh>
    <phoneticPr fontId="1"/>
  </si>
  <si>
    <t>alouer
①と②が合体して1単語になる</t>
    <rPh sb="11" eb="13">
      <t>ガッタイ</t>
    </rPh>
    <rPh sb="16" eb="18">
      <t>タンゴ</t>
    </rPh>
    <phoneticPr fontId="1"/>
  </si>
  <si>
    <t>allouen
&lt;span class="spacer"&gt;&lt;/span&gt;14世紀初頭
評価する, 称賛する, 認める, 考慮に入れる
&lt;span class="spacer"&gt;&lt;/span&gt;14世紀後期
許可する</t>
    <rPh sb="38" eb="40">
      <t>セイキ</t>
    </rPh>
    <rPh sb="40" eb="42">
      <t>ショトウ</t>
    </rPh>
    <rPh sb="43" eb="45">
      <t>ヒョウカ</t>
    </rPh>
    <rPh sb="49" eb="51">
      <t>ショウサン</t>
    </rPh>
    <rPh sb="55" eb="56">
      <t>ミト</t>
    </rPh>
    <rPh sb="60" eb="62">
      <t>コウリョ</t>
    </rPh>
    <rPh sb="63" eb="64">
      <t>イ</t>
    </rPh>
    <rPh sb="97" eb="99">
      <t>セイキ</t>
    </rPh>
    <rPh sb="99" eb="101">
      <t>コウキ</t>
    </rPh>
    <rPh sb="102" eb="104">
      <t>キョカ</t>
    </rPh>
    <phoneticPr fontId="1"/>
  </si>
  <si>
    <t>sub（下に, 下から）+gerere（運ぶ）
suggerere（下から差し出す）
&lt;span class="spacer"&gt;&lt;/span&gt;過去分詞suggestus</t>
    <rPh sb="4" eb="5">
      <t>シタ</t>
    </rPh>
    <rPh sb="8" eb="9">
      <t>シタ</t>
    </rPh>
    <rPh sb="20" eb="21">
      <t>ハコ</t>
    </rPh>
    <rPh sb="34" eb="35">
      <t>シタ</t>
    </rPh>
    <rPh sb="37" eb="38">
      <t>サ</t>
    </rPh>
    <rPh sb="39" eb="40">
      <t>ダ</t>
    </rPh>
    <rPh sb="71" eb="75">
      <t>カコブンシ</t>
    </rPh>
    <phoneticPr fontId="1"/>
  </si>
  <si>
    <t>pro（前に）+decere（導く）
producere（前に導き出す）</t>
    <rPh sb="4" eb="5">
      <t>マエ</t>
    </rPh>
    <rPh sb="15" eb="16">
      <t>ミチビ</t>
    </rPh>
    <phoneticPr fontId="1"/>
  </si>
  <si>
    <t>1520年代
産出する
&lt;span class="spacer"&gt;&lt;/span&gt;1580年代
芝居を上演する
&lt;span class="spacer"&gt;&lt;/span&gt;1630年代
何かを引き起こす
&lt;span class="spacer"&gt;&lt;/span&gt;1827年までに
価値を創出する</t>
    <rPh sb="4" eb="6">
      <t>ネンダイ</t>
    </rPh>
    <rPh sb="7" eb="9">
      <t>サンシュツ</t>
    </rPh>
    <rPh sb="44" eb="46">
      <t>ネンダイ</t>
    </rPh>
    <rPh sb="47" eb="49">
      <t>シバイ</t>
    </rPh>
    <rPh sb="50" eb="52">
      <t>ジョウエン</t>
    </rPh>
    <rPh sb="87" eb="89">
      <t>ネンダイ</t>
    </rPh>
    <rPh sb="90" eb="91">
      <t>ナニ</t>
    </rPh>
    <rPh sb="93" eb="94">
      <t>ヒ</t>
    </rPh>
    <rPh sb="95" eb="96">
      <t>オ</t>
    </rPh>
    <rPh sb="131" eb="132">
      <t>ネン</t>
    </rPh>
    <rPh sb="136" eb="138">
      <t>カチ</t>
    </rPh>
    <rPh sb="139" eb="141">
      <t>ソウシュツ</t>
    </rPh>
    <phoneticPr fontId="1"/>
  </si>
  <si>
    <t>situation</t>
    <phoneticPr fontId="1"/>
  </si>
  <si>
    <t>theory</t>
    <phoneticPr fontId="1"/>
  </si>
  <si>
    <t>vid</t>
  </si>
  <si>
    <t>ence</t>
  </si>
  <si>
    <t>publ</t>
  </si>
  <si>
    <t>sim</t>
  </si>
  <si>
    <t>ilar</t>
  </si>
  <si>
    <t>ma</t>
  </si>
  <si>
    <t>jor</t>
  </si>
  <si>
    <t>pati</t>
  </si>
  <si>
    <t>var</t>
  </si>
  <si>
    <t>vail</t>
  </si>
  <si>
    <t>nat</t>
  </si>
  <si>
    <t>polit</t>
  </si>
  <si>
    <t>anc</t>
  </si>
  <si>
    <t>ient</t>
  </si>
  <si>
    <t>no</t>
  </si>
  <si>
    <t>bud</t>
  </si>
  <si>
    <t>et</t>
  </si>
  <si>
    <t>merg</t>
  </si>
  <si>
    <t>ency</t>
  </si>
  <si>
    <t>minis</t>
  </si>
  <si>
    <t>candid</t>
  </si>
  <si>
    <t>discipl</t>
  </si>
  <si>
    <t>sis</t>
  </si>
  <si>
    <t>cli</t>
  </si>
  <si>
    <t>ordin</t>
  </si>
  <si>
    <t>pect</t>
  </si>
  <si>
    <t>ed</t>
  </si>
  <si>
    <t>stimul</t>
  </si>
  <si>
    <t>illustr</t>
  </si>
  <si>
    <t>vestig</t>
  </si>
  <si>
    <t>pto</t>
  </si>
  <si>
    <t>m</t>
  </si>
  <si>
    <t>ge</t>
  </si>
  <si>
    <t>ry</t>
  </si>
  <si>
    <t>pat</t>
  </si>
  <si>
    <t>ue</t>
  </si>
  <si>
    <t>lev</t>
  </si>
  <si>
    <t>ant</t>
  </si>
  <si>
    <t>man</t>
  </si>
  <si>
    <t>rand</t>
  </si>
  <si>
    <t>om</t>
  </si>
  <si>
    <t>cour</t>
  </si>
  <si>
    <t>lapse</t>
  </si>
  <si>
    <t>herit</t>
  </si>
  <si>
    <t>art</t>
  </si>
  <si>
    <t>class</t>
  </si>
  <si>
    <t>feder</t>
  </si>
  <si>
    <t>un</t>
  </si>
  <si>
    <t>famili</t>
  </si>
  <si>
    <t>mar</t>
  </si>
  <si>
    <t>par</t>
  </si>
  <si>
    <t>guilt</t>
  </si>
  <si>
    <t>y</t>
  </si>
  <si>
    <t>古典ラテン語</t>
  </si>
  <si>
    <t>15世紀後期
自分の利益のために使う</t>
    <rPh sb="2" eb="4">
      <t>セイキ</t>
    </rPh>
    <rPh sb="4" eb="6">
      <t>コウキ</t>
    </rPh>
    <rPh sb="7" eb="9">
      <t>ジブン</t>
    </rPh>
    <rPh sb="10" eb="12">
      <t>リエキ</t>
    </rPh>
    <rPh sb="16" eb="17">
      <t>ツカ</t>
    </rPh>
    <phoneticPr fontId="1"/>
  </si>
  <si>
    <t>17世紀初頭
owner（所有者）からerを取った動詞ownが再度使われるようになる</t>
    <rPh sb="2" eb="4">
      <t>セイキ</t>
    </rPh>
    <rPh sb="4" eb="6">
      <t>ショトウ</t>
    </rPh>
    <rPh sb="13" eb="16">
      <t>ショユウシャ</t>
    </rPh>
    <rPh sb="22" eb="23">
      <t>ト</t>
    </rPh>
    <rPh sb="25" eb="27">
      <t>ドウシ</t>
    </rPh>
    <rPh sb="31" eb="33">
      <t>サイド</t>
    </rPh>
    <rPh sb="33" eb="34">
      <t>ツカ</t>
    </rPh>
    <phoneticPr fontId="1"/>
  </si>
  <si>
    <t>producen
&lt;span class="spacer"&gt;&lt;/span&gt;15世紀初頭
進展させる
&lt;span class="spacer"&gt;&lt;/span&gt;15世紀後期
生み出す</t>
    <rPh sb="82" eb="84">
      <t>コウキ</t>
    </rPh>
    <rPh sb="85" eb="86">
      <t>ウ</t>
    </rPh>
    <rPh sb="87" eb="88">
      <t>ダ</t>
    </rPh>
    <phoneticPr fontId="1"/>
  </si>
  <si>
    <t>de（離れて）+caedere（切る）
decidere（切り離す, 断を下す, 決断する）</t>
    <rPh sb="3" eb="4">
      <t>ハナ</t>
    </rPh>
    <rPh sb="16" eb="17">
      <t>キ</t>
    </rPh>
    <rPh sb="31" eb="32">
      <t>ハナ</t>
    </rPh>
    <rPh sb="41" eb="43">
      <t>ケツダン</t>
    </rPh>
    <phoneticPr fontId="1"/>
  </si>
  <si>
    <t>decider（決定する）</t>
    <phoneticPr fontId="1"/>
  </si>
  <si>
    <t>producen
&lt;span class="spacer"&gt;&lt;/span&gt;14世紀後期
争いを解決する</t>
    <rPh sb="39" eb="41">
      <t>セイキ</t>
    </rPh>
    <rPh sb="41" eb="43">
      <t>コウキ</t>
    </rPh>
    <rPh sb="42" eb="43">
      <t>キ</t>
    </rPh>
    <rPh sb="44" eb="45">
      <t>アラソ</t>
    </rPh>
    <rPh sb="47" eb="49">
      <t>カイケツ</t>
    </rPh>
    <phoneticPr fontId="1"/>
  </si>
  <si>
    <t>1830年までに
決心する</t>
    <rPh sb="9" eb="11">
      <t>ケッシン</t>
    </rPh>
    <phoneticPr fontId="1"/>
  </si>
  <si>
    <t>ofrian（差し出す, 提示する）</t>
    <phoneticPr fontId="1"/>
  </si>
  <si>
    <t>offeren（差し出す, 提示する）</t>
    <phoneticPr fontId="1"/>
  </si>
  <si>
    <t>1630年代
販売のために提示する
（商業的な意味）</t>
    <phoneticPr fontId="1"/>
  </si>
  <si>
    <t>re（繰り返し）+quaerere（尋ねる, 求める, 探す）
requirere（問い求める, 必要なものを要求する）</t>
    <rPh sb="3" eb="4">
      <t>ク</t>
    </rPh>
    <rPh sb="5" eb="6">
      <t>カエ</t>
    </rPh>
    <rPh sb="18" eb="19">
      <t>タズ</t>
    </rPh>
    <rPh sb="23" eb="24">
      <t>モト</t>
    </rPh>
    <rPh sb="28" eb="29">
      <t>サガ</t>
    </rPh>
    <rPh sb="49" eb="51">
      <t>ヒツヨウ</t>
    </rPh>
    <phoneticPr fontId="1"/>
  </si>
  <si>
    <t>古フランス語</t>
  </si>
  <si>
    <t>requerir（探し求める, 要求する）</t>
    <phoneticPr fontId="1"/>
  </si>
  <si>
    <t>requeren
&lt;span class="spacer"&gt;&lt;/span&gt;14世紀後期
必要とする, ある目的のために要する
&lt;span class="spacer"&gt;&lt;/span&gt;15世紀初頭
不可欠であるものを要求する</t>
    <rPh sb="39" eb="41">
      <t>セイキ</t>
    </rPh>
    <rPh sb="41" eb="43">
      <t>コウキ</t>
    </rPh>
    <rPh sb="42" eb="43">
      <t>キ</t>
    </rPh>
    <rPh sb="95" eb="97">
      <t>ショトウ</t>
    </rPh>
    <phoneticPr fontId="1"/>
  </si>
  <si>
    <t>16〜17世紀
頼む, 依頼する
（この意味はrequestが担うようになる）
&lt;span class="spacer"&gt;&lt;/span&gt;1751年から
人に～することを要求する</t>
    <rPh sb="20" eb="22">
      <t>イミ</t>
    </rPh>
    <rPh sb="31" eb="32">
      <t>ニナ</t>
    </rPh>
    <phoneticPr fontId="1"/>
  </si>
  <si>
    <t>scearu（切ること, 分けられた部分）</t>
    <phoneticPr fontId="1"/>
  </si>
  <si>
    <t>share（複数人で共有されるもののうちの一定の取り分）</t>
    <phoneticPr fontId="1"/>
  </si>
  <si>
    <t>1580年代
他者に分配する
&lt;span class="spacer"&gt;&lt;/span&gt;1590年代
自分のものを分けてその一部を他者に与える
複数人で分ける</t>
    <rPh sb="71" eb="74">
      <t>フクスウニン</t>
    </rPh>
    <rPh sb="75" eb="76">
      <t>ワ</t>
    </rPh>
    <phoneticPr fontId="1"/>
  </si>
  <si>
    <t>in（中に）+staurare（立つ）
instaurare（設立する）</t>
    <rPh sb="3" eb="4">
      <t>ナカ</t>
    </rPh>
    <rPh sb="16" eb="17">
      <t>タ</t>
    </rPh>
    <phoneticPr fontId="1"/>
  </si>
  <si>
    <t>中世ラテン語</t>
  </si>
  <si>
    <t>instaurare（設立する, 備え付ける, 蓄える, 修復する）</t>
    <phoneticPr fontId="1"/>
  </si>
  <si>
    <t>estorer（建てる, 備え付ける, 食糧を備える, 修復する）</t>
    <phoneticPr fontId="1"/>
  </si>
  <si>
    <t xml:space="preserve">storen
&lt;span class="spacer"&gt;&lt;/span&gt;13世紀半ば
建てる, 町・城などに物資を供給する, 備蓄する, 修復する
</t>
    <rPh sb="37" eb="39">
      <t>セイキ</t>
    </rPh>
    <phoneticPr fontId="1"/>
  </si>
  <si>
    <t>1550年代
将来の使用のために保管する</t>
    <phoneticPr fontId="1"/>
  </si>
  <si>
    <t>tendere（伸ばす, 引っ張る）</t>
    <rPh sb="8" eb="9">
      <t>ノ</t>
    </rPh>
    <rPh sb="13" eb="14">
      <t>ヒ</t>
    </rPh>
    <rPh sb="15" eb="16">
      <t>パ</t>
    </rPh>
    <phoneticPr fontId="1"/>
  </si>
  <si>
    <t>tendre（伸ばす）</t>
    <phoneticPr fontId="1"/>
  </si>
  <si>
    <t>tenden
&lt;span class="spacer"&gt;&lt;/span&gt;14世紀初頭
心や注意を向ける, 意図する
&lt;span class="spacer"&gt;&lt;/span&gt;14世紀後期
広がる, 伸びる, ある方向へ向かう</t>
    <rPh sb="37" eb="39">
      <t>セイキ</t>
    </rPh>
    <rPh sb="89" eb="91">
      <t>コウキ</t>
    </rPh>
    <rPh sb="92" eb="93">
      <t>ヒロ</t>
    </rPh>
    <rPh sb="97" eb="98">
      <t>ノ</t>
    </rPh>
    <rPh sb="104" eb="106">
      <t>ホウコウ</t>
    </rPh>
    <rPh sb="107" eb="108">
      <t>ム</t>
    </rPh>
    <phoneticPr fontId="1"/>
  </si>
  <si>
    <t>特定の方向に作用する傾向がある</t>
    <phoneticPr fontId="1"/>
  </si>
  <si>
    <t>印欧祖語</t>
  </si>
  <si>
    <t>*krei-（ふるいにかける）</t>
    <phoneticPr fontId="1"/>
  </si>
  <si>
    <t>ラテン語</t>
  </si>
  <si>
    <t>com（共に）+cernere（ふるいにかける）
concernere（ふるいの中で混ぜる）</t>
    <rPh sb="4" eb="5">
      <t>トモ</t>
    </rPh>
    <phoneticPr fontId="1"/>
  </si>
  <si>
    <t>中世ラテン語</t>
    <phoneticPr fontId="1"/>
  </si>
  <si>
    <t>concernere（関係する）</t>
    <phoneticPr fontId="1"/>
  </si>
  <si>
    <t>concerner（関係する）</t>
    <phoneticPr fontId="1"/>
  </si>
  <si>
    <t>15世紀初頭
人について見分ける
物事について関係する
&lt;span class="spacer"&gt;&lt;/span&gt;15世紀後期
自分の利益に影響する</t>
    <rPh sb="7" eb="8">
      <t>ヒト</t>
    </rPh>
    <rPh sb="12" eb="14">
      <t>ミワ</t>
    </rPh>
    <rPh sb="17" eb="19">
      <t>モノゴト</t>
    </rPh>
    <rPh sb="23" eb="25">
      <t>カンケイ</t>
    </rPh>
    <rPh sb="58" eb="60">
      <t>セイキ</t>
    </rPh>
    <rPh sb="60" eb="62">
      <t>コウキ</t>
    </rPh>
    <rPh sb="63" eb="65">
      <t>ジブン</t>
    </rPh>
    <rPh sb="66" eb="68">
      <t>リエキ</t>
    </rPh>
    <rPh sb="69" eb="71">
      <t>エイキョウ</t>
    </rPh>
    <phoneticPr fontId="1"/>
  </si>
  <si>
    <t>17世紀
心配させる</t>
    <rPh sb="5" eb="7">
      <t>シンパイ</t>
    </rPh>
    <phoneticPr fontId="1"/>
  </si>
  <si>
    <t>de（下に）+scribere（書く）
describere（書き下す, 描写する）</t>
    <rPh sb="3" eb="4">
      <t>シタ</t>
    </rPh>
    <rPh sb="16" eb="17">
      <t>カ</t>
    </rPh>
    <rPh sb="37" eb="39">
      <t>ビョウシャ</t>
    </rPh>
    <phoneticPr fontId="1"/>
  </si>
  <si>
    <t>descrivre（記述する, 表現する）</t>
    <rPh sb="10" eb="12">
      <t>キジュツ</t>
    </rPh>
    <rPh sb="16" eb="18">
      <t>ヒョウゲン</t>
    </rPh>
    <phoneticPr fontId="1"/>
  </si>
  <si>
    <t>1300年頃
口頭もしくは書面で説明する
&lt;span class="spacer"&gt;&lt;/span&gt;14世紀後期
軌跡を描く
&lt;span class="spacer"&gt;&lt;/span&gt;1400年頃
形や輪郭を描く</t>
    <rPh sb="4" eb="6">
      <t>ネンゴロ</t>
    </rPh>
    <rPh sb="7" eb="9">
      <t>コウトウ</t>
    </rPh>
    <rPh sb="13" eb="15">
      <t>ショメン</t>
    </rPh>
    <rPh sb="16" eb="18">
      <t>セツメイ</t>
    </rPh>
    <rPh sb="50" eb="52">
      <t>コウキ</t>
    </rPh>
    <rPh sb="56" eb="58">
      <t>キセキ</t>
    </rPh>
    <rPh sb="59" eb="60">
      <t>エガ</t>
    </rPh>
    <rPh sb="94" eb="96">
      <t>ネンコロ</t>
    </rPh>
    <rPh sb="97" eb="98">
      <t>カタチ</t>
    </rPh>
    <rPh sb="99" eb="101">
      <t>リンカク</t>
    </rPh>
    <rPh sb="102" eb="103">
      <t>エガヒロ</t>
    </rPh>
    <phoneticPr fontId="1"/>
  </si>
  <si>
    <t>involver（包む）</t>
    <phoneticPr fontId="1"/>
  </si>
  <si>
    <t>14世紀後期
包む
&lt;span class="spacer"&gt;&lt;/span&gt;15世紀半ば
事柄に関与する</t>
    <rPh sb="1" eb="3">
      <t>コウキ</t>
    </rPh>
    <rPh sb="7" eb="8">
      <t>ツツ</t>
    </rPh>
    <rPh sb="40" eb="42">
      <t>セイキ</t>
    </rPh>
    <rPh sb="42" eb="43">
      <t>ナカ</t>
    </rPh>
    <rPh sb="45" eb="47">
      <t>コトガラ</t>
    </rPh>
    <rPh sb="48" eb="50">
      <t>カンヨ</t>
    </rPh>
    <phoneticPr fontId="1"/>
  </si>
  <si>
    <t>re（元へ, 後ろへ）+ducere（導く）
reducere（元に戻す）</t>
    <rPh sb="3" eb="4">
      <t>モトミチビ</t>
    </rPh>
    <phoneticPr fontId="1"/>
  </si>
  <si>
    <t>reducer（戻す）</t>
    <phoneticPr fontId="1"/>
  </si>
  <si>
    <t>1570年代
より劣った状態にする
&lt;span class="spacer"&gt;&lt;/span&gt;1610年代
武力で征服する
&lt;span class="spacer"&gt;&lt;/span&gt;1640年代
階級・地位を下げる
&lt;span class="spacer"&gt;&lt;/span&gt;1787年から
減少させる</t>
    <phoneticPr fontId="1"/>
  </si>
  <si>
    <t>signum（しるし）
&lt;span class="spacer"&gt;&lt;/span&gt;de（外へ）+signare（印をつける）
designare（印を付けて区別する）</t>
    <rPh sb="43" eb="44">
      <t>ソト</t>
    </rPh>
    <phoneticPr fontId="1"/>
  </si>
  <si>
    <t>イタリア語</t>
  </si>
  <si>
    <t>16世紀
disegnare（描く, 企てる）</t>
    <rPh sb="2" eb="4">
      <t>セイキ</t>
    </rPh>
    <phoneticPr fontId="1"/>
  </si>
  <si>
    <t>フランス語</t>
  </si>
  <si>
    <t>16世紀
disegnare（設計する, 計画する）</t>
    <rPh sb="2" eb="4">
      <t>セイキ</t>
    </rPh>
    <rPh sb="15" eb="17">
      <t>セッケイ</t>
    </rPh>
    <rPh sb="21" eb="23">
      <t>ケイカク</t>
    </rPh>
    <phoneticPr fontId="1"/>
  </si>
  <si>
    <t>14世紀後期
形作る</t>
    <rPh sb="1" eb="3">
      <t>コウキ</t>
    </rPh>
    <rPh sb="7" eb="9">
      <t>カタチヅク</t>
    </rPh>
    <phoneticPr fontId="1"/>
  </si>
  <si>
    <t>1540年代
計画する
&lt;span class="spacer"&gt;&lt;/span&gt;1630年代
計画中の作品の図案を描く
&lt;span class="spacer"&gt;&lt;/span&gt;1660年代
芸術的技能をもって計画して制作する
&lt;span class="spacer"&gt;&lt;/span&gt;1703年から
特定の目的のために計画する
&lt;span class="spacer"&gt;&lt;/span&gt;1854年
アートのデザインを行う</t>
    <rPh sb="149" eb="151">
      <t>トクテイ</t>
    </rPh>
    <rPh sb="152" eb="154">
      <t>モクテキ</t>
    </rPh>
    <rPh sb="158" eb="160">
      <t>ケイカク</t>
    </rPh>
    <rPh sb="206" eb="207">
      <t>オコナ</t>
    </rPh>
    <phoneticPr fontId="1"/>
  </si>
  <si>
    <t>fortis（力強い）
&lt;span class="spacer"&gt;&lt;/span&gt;fortia（力）</t>
    <rPh sb="47" eb="48">
      <t>チカラ</t>
    </rPh>
    <phoneticPr fontId="1"/>
  </si>
  <si>
    <t>force（力）
&lt;span class="spacer"&gt;&lt;/span&gt;forcer（無理に行う）</t>
    <rPh sb="6" eb="7">
      <t>チカラ</t>
    </rPh>
    <phoneticPr fontId="1"/>
  </si>
  <si>
    <t>forcen
&lt;span class="spacer"&gt;&lt;/span&gt;1300年頃
暴力を行使する
&lt;span class="spacer"&gt;&lt;/span&gt;1400年頃
力によって強いる</t>
    <rPh sb="40" eb="41">
      <t>コロ</t>
    </rPh>
    <rPh sb="82" eb="84">
      <t>ネンコロ</t>
    </rPh>
    <phoneticPr fontId="1"/>
  </si>
  <si>
    <t>limitem（境界, 限界）</t>
    <rPh sb="8" eb="10">
      <t>キョウカイ</t>
    </rPh>
    <rPh sb="12" eb="14">
      <t>ゲンカイ</t>
    </rPh>
    <phoneticPr fontId="1"/>
  </si>
  <si>
    <t>limiter（限界を設定する）</t>
    <rPh sb="8" eb="10">
      <t>ゲンカイ</t>
    </rPh>
    <rPh sb="11" eb="13">
      <t>セッテイ</t>
    </rPh>
    <phoneticPr fontId="1"/>
  </si>
  <si>
    <t>14世紀後期
限界を設ける
&lt;span class="spacer"&gt;&lt;/span&gt;15世紀初頭
限界を指定する</t>
    <rPh sb="2" eb="4">
      <t>セイキ</t>
    </rPh>
    <rPh sb="4" eb="6">
      <t>コウキ</t>
    </rPh>
    <rPh sb="7" eb="9">
      <t>ゲンカイ</t>
    </rPh>
    <rPh sb="10" eb="11">
      <t>モウ</t>
    </rPh>
    <rPh sb="44" eb="46">
      <t>セイキ</t>
    </rPh>
    <rPh sb="46" eb="48">
      <t>ショトウ</t>
    </rPh>
    <rPh sb="49" eb="51">
      <t>ゲンカイ</t>
    </rPh>
    <rPh sb="52" eb="54">
      <t>シテイ</t>
    </rPh>
    <phoneticPr fontId="1"/>
  </si>
  <si>
    <t>beran（運ぶ, 持ってくる, 耐える, 産む）</t>
    <phoneticPr fontId="1"/>
  </si>
  <si>
    <t>1530年代
心に留める
&lt;span class="spacer"&gt;&lt;/span&gt;18世紀後期
過去分詞born（生まれる）</t>
    <rPh sb="4" eb="6">
      <t>ネンダイ</t>
    </rPh>
    <rPh sb="7" eb="8">
      <t>ココロ</t>
    </rPh>
    <rPh sb="9" eb="10">
      <t>ト</t>
    </rPh>
    <rPh sb="43" eb="47">
      <t>セイキコウキ</t>
    </rPh>
    <rPh sb="48" eb="52">
      <t>カコブンシ</t>
    </rPh>
    <rPh sb="57" eb="58">
      <t>ウ</t>
    </rPh>
    <phoneticPr fontId="1"/>
  </si>
  <si>
    <t>ad（～へ）+facere（する, 作る）
afficere（〜に対して何かを行う, 作用する）
&lt;span class="spacer"&gt;&lt;/span&gt;過去分詞affectus（影響を受けた）</t>
    <rPh sb="18" eb="19">
      <t>ツク</t>
    </rPh>
    <rPh sb="77" eb="81">
      <t>カコブンシ</t>
    </rPh>
    <phoneticPr fontId="1"/>
  </si>
  <si>
    <t>affect（作用する）</t>
    <rPh sb="7" eb="9">
      <t>サヨウ</t>
    </rPh>
    <phoneticPr fontId="1"/>
  </si>
  <si>
    <t>1630年代
心に印象を与える</t>
    <rPh sb="7" eb="8">
      <t>ココロ</t>
    </rPh>
    <rPh sb="9" eb="11">
      <t>インショウ</t>
    </rPh>
    <rPh sb="12" eb="13">
      <t>アタ</t>
    </rPh>
    <phoneticPr fontId="1"/>
  </si>
  <si>
    <t>dælan（分配する）</t>
    <phoneticPr fontId="1"/>
  </si>
  <si>
    <t>1300年頃
人に取り分として与える
&lt;span class="spacer"&gt;&lt;/span&gt;15世紀半ば
deal with（処理する）</t>
    <rPh sb="4" eb="6">
      <t>ネンコロ</t>
    </rPh>
    <rPh sb="49" eb="51">
      <t>セイキ</t>
    </rPh>
    <rPh sb="51" eb="52">
      <t>ナカ</t>
    </rPh>
    <rPh sb="64" eb="66">
      <t>ショリ</t>
    </rPh>
    <phoneticPr fontId="1"/>
  </si>
  <si>
    <t>vacare（空である）
&lt;span class="spacer"&gt;&lt;/span&gt;形容詞を作る-ivusが付いて
vocivus（空いている）</t>
    <rPh sb="41" eb="44">
      <t>ケイヨウシ</t>
    </rPh>
    <rPh sb="45" eb="46">
      <t>ツク</t>
    </rPh>
    <rPh sb="53" eb="54">
      <t>ツ</t>
    </rPh>
    <phoneticPr fontId="1"/>
  </si>
  <si>
    <t xml:space="preserve">voide（空っぽの）
&lt;span class="spacer"&gt;&lt;/span&gt;es（外に）+vuidier（空にする）
esvuidier（取り除く, 空にする）
</t>
    <rPh sb="6" eb="7">
      <t>カラ</t>
    </rPh>
    <rPh sb="43" eb="44">
      <t>ソト</t>
    </rPh>
    <rPh sb="55" eb="56">
      <t>カラ</t>
    </rPh>
    <rPh sb="71" eb="72">
      <t>ト</t>
    </rPh>
    <rPh sb="73" eb="74">
      <t>ノゾ</t>
    </rPh>
    <rPh sb="77" eb="78">
      <t>カラ</t>
    </rPh>
    <phoneticPr fontId="1"/>
  </si>
  <si>
    <t>avoider（立ち去る, 退く）</t>
    <rPh sb="14" eb="15">
      <t>シリゾ</t>
    </rPh>
    <phoneticPr fontId="1"/>
  </si>
  <si>
    <t>re（再び）+ferre（運ぶ）
referre（持ち帰る, 報告する）
&lt;span class="spacer"&gt;&lt;/span&gt;過去分詞relatus（持ち戻された, 報告された）</t>
    <rPh sb="3" eb="4">
      <t>フタタ</t>
    </rPh>
    <rPh sb="65" eb="69">
      <t>カコブンシ</t>
    </rPh>
    <phoneticPr fontId="1"/>
  </si>
  <si>
    <t>フランス語</t>
    <phoneticPr fontId="1"/>
  </si>
  <si>
    <t>relater（言及する, 報告する）</t>
    <rPh sb="8" eb="10">
      <t>ゲンキュウ</t>
    </rPh>
    <rPh sb="14" eb="16">
      <t>ホウコク</t>
    </rPh>
    <phoneticPr fontId="1"/>
  </si>
  <si>
    <t>relate
&lt;span class="spacer"&gt;&lt;/span&gt;1520年代
語り直す
&lt;span class="spacer"&gt;&lt;/span&gt;1640年代
関連している
&lt;span class="spacer"&gt;&lt;/span&gt;1690年代
ある事柄を別の事柄と関連付ける</t>
    <rPh sb="82" eb="84">
      <t>カンレン</t>
    </rPh>
    <rPh sb="126" eb="128">
      <t>コトガラ</t>
    </rPh>
    <rPh sb="129" eb="130">
      <t>ベツ</t>
    </rPh>
    <rPh sb="131" eb="133">
      <t>コトガラ</t>
    </rPh>
    <rPh sb="134" eb="137">
      <t>カンレンヅ</t>
    </rPh>
    <phoneticPr fontId="1"/>
  </si>
  <si>
    <t>res（事実）
&lt;span class="spacer"&gt;&lt;/span&gt;形容詞を作る-alisが付いて
realis（現実の）</t>
    <rPh sb="4" eb="6">
      <t>ジジツ</t>
    </rPh>
    <rPh sb="36" eb="39">
      <t>ケイヨウシ</t>
    </rPh>
    <rPh sb="40" eb="41">
      <t>ツク</t>
    </rPh>
    <rPh sb="48" eb="49">
      <t>ツ</t>
    </rPh>
    <rPh sb="59" eb="61">
      <t>ゲンジツ</t>
    </rPh>
    <phoneticPr fontId="1"/>
  </si>
  <si>
    <t>古フランス語～フランス語</t>
    <rPh sb="0" eb="1">
      <t>コ</t>
    </rPh>
    <rPh sb="11" eb="12">
      <t>ゴ</t>
    </rPh>
    <phoneticPr fontId="1"/>
  </si>
  <si>
    <t>réel（現実の）
&lt;span class="spacer"&gt;&lt;/span&gt;réal（現実の）
&lt;span class="spacer"&gt;&lt;/span&gt;16世紀
動詞を作る-iserが付いて
réaliser（現実にする）</t>
    <rPh sb="5" eb="7">
      <t>ゲンジツ</t>
    </rPh>
    <rPh sb="43" eb="45">
      <t>ゲンジツ</t>
    </rPh>
    <rPh sb="78" eb="80">
      <t>セイキ</t>
    </rPh>
    <rPh sb="81" eb="83">
      <t>ドウシ</t>
    </rPh>
    <rPh sb="84" eb="85">
      <t>ツク</t>
    </rPh>
    <rPh sb="92" eb="93">
      <t>ツ</t>
    </rPh>
    <rPh sb="105" eb="107">
      <t>ゲンジツ</t>
    </rPh>
    <phoneticPr fontId="1"/>
  </si>
  <si>
    <t>realize
&lt;span class="spacer"&gt;&lt;/span&gt;1610年代
現実のものにする
&lt;span class="spacer"&gt;&lt;/span&gt;1775年代
現実として認識する, 気づく</t>
    <rPh sb="40" eb="42">
      <t>ネンダイ</t>
    </rPh>
    <rPh sb="43" eb="45">
      <t>ゲンジツ</t>
    </rPh>
    <rPh sb="87" eb="89">
      <t>ゲンジツ</t>
    </rPh>
    <rPh sb="92" eb="94">
      <t>ニンシキ</t>
    </rPh>
    <rPh sb="98" eb="99">
      <t>キ</t>
    </rPh>
    <phoneticPr fontId="1"/>
  </si>
  <si>
    <t>*kerd-（心・心臓）</t>
    <phoneticPr fontId="1"/>
  </si>
  <si>
    <t>cor（心・心臓）</t>
    <phoneticPr fontId="1"/>
  </si>
  <si>
    <t>俗ラテン語</t>
  </si>
  <si>
    <t>形容詞を作る-āticumが付いて
*coraticum</t>
    <rPh sb="0" eb="3">
      <t>ケイヨウシ</t>
    </rPh>
    <rPh sb="4" eb="5">
      <t>ツク</t>
    </rPh>
    <rPh sb="14" eb="15">
      <t>ツ</t>
    </rPh>
    <phoneticPr fontId="1"/>
  </si>
  <si>
    <t>俗ラテン語の-āticum部分が名詞を作る-ageに変化
corage（心, 勇気）
&lt;span class="spacer"&gt;&lt;/span&gt;en（させる）+corage（勇気）
encoragier（勇気づける）</t>
    <rPh sb="0" eb="1">
      <t>ゾク</t>
    </rPh>
    <rPh sb="4" eb="5">
      <t>ゴ</t>
    </rPh>
    <rPh sb="13" eb="15">
      <t>ブブン</t>
    </rPh>
    <rPh sb="16" eb="18">
      <t>メイシ</t>
    </rPh>
    <rPh sb="19" eb="20">
      <t>ツク</t>
    </rPh>
    <rPh sb="26" eb="28">
      <t>ヘンカ</t>
    </rPh>
    <rPh sb="36" eb="37">
      <t>ココロ</t>
    </rPh>
    <rPh sb="39" eb="41">
      <t>ユウキ</t>
    </rPh>
    <rPh sb="101" eb="103">
      <t>ユウキ</t>
    </rPh>
    <phoneticPr fontId="1"/>
  </si>
  <si>
    <t>encourage
&lt;span class="spacer"&gt;&lt;/span&gt;15世紀初頭
勇気づける</t>
    <phoneticPr fontId="1"/>
  </si>
  <si>
    <t>com（共に）+par（等しい）
comparare（比較する, 似ているものとして扱う）</t>
    <rPh sb="4" eb="5">
      <t>トモ</t>
    </rPh>
    <rPh sb="12" eb="13">
      <t>ヒト</t>
    </rPh>
    <rPh sb="27" eb="29">
      <t>ヒカク</t>
    </rPh>
    <rPh sb="33" eb="34">
      <t>ニ</t>
    </rPh>
    <rPh sb="42" eb="43">
      <t>アツカ</t>
    </rPh>
    <phoneticPr fontId="1"/>
  </si>
  <si>
    <t>古フランス語</t>
    <rPh sb="0" eb="1">
      <t>コ</t>
    </rPh>
    <phoneticPr fontId="1"/>
  </si>
  <si>
    <t>comparer（比較する, 似ているものとして扱う）</t>
    <phoneticPr fontId="1"/>
  </si>
  <si>
    <t>compare
&lt;span class="spacer"&gt;&lt;/span&gt;1400年頃
比較する, たとえる</t>
    <rPh sb="40" eb="42">
      <t>ネンコロ</t>
    </rPh>
    <rPh sb="43" eb="45">
      <t>ヒカク</t>
    </rPh>
    <phoneticPr fontId="1"/>
  </si>
  <si>
    <t>古典ラテン語</t>
    <phoneticPr fontId="1"/>
  </si>
  <si>
    <t>metiri（測る）
&lt;span class="spacer"&gt;&lt;/span&gt;過去分詞mensus（測られた）
&lt;span class="spacer"&gt;&lt;/span&gt;名詞を作る-uraが付いて
mensura（測定, 寸法）</t>
    <rPh sb="7" eb="8">
      <t>ハカ</t>
    </rPh>
    <rPh sb="39" eb="43">
      <t>カコブンシ</t>
    </rPh>
    <rPh sb="50" eb="51">
      <t>ハカ</t>
    </rPh>
    <rPh sb="84" eb="86">
      <t>メイシ</t>
    </rPh>
    <rPh sb="87" eb="88">
      <t>ツク</t>
    </rPh>
    <rPh sb="94" eb="95">
      <t>ツ</t>
    </rPh>
    <rPh sb="106" eb="108">
      <t>ソクテイ</t>
    </rPh>
    <rPh sb="110" eb="112">
      <t>スンポウ</t>
    </rPh>
    <phoneticPr fontId="1"/>
  </si>
  <si>
    <t>後期ラテン語</t>
  </si>
  <si>
    <t>mensurare（測る）</t>
    <rPh sb="10" eb="11">
      <t>ハカ</t>
    </rPh>
    <phoneticPr fontId="1"/>
  </si>
  <si>
    <t>mesurer（測る）</t>
    <rPh sb="8" eb="9">
      <t>ハカ</t>
    </rPh>
    <phoneticPr fontId="1"/>
  </si>
  <si>
    <t>mesuren
&lt;span class="spacer"&gt;&lt;/span&gt;14世紀初期
節度を保つ
&lt;span class="spacer"&gt;&lt;/span&gt;14世紀半ば
分量によって配分する, 比較によって寸法などを確定する</t>
    <rPh sb="38" eb="40">
      <t>セイキ</t>
    </rPh>
    <rPh sb="40" eb="42">
      <t>ショキ</t>
    </rPh>
    <rPh sb="43" eb="45">
      <t>セツド</t>
    </rPh>
    <rPh sb="46" eb="47">
      <t>タモツ</t>
    </rPh>
    <rPh sb="81" eb="82">
      <t>ナカ</t>
    </rPh>
    <rPh sb="84" eb="86">
      <t>ブンリョウ</t>
    </rPh>
    <rPh sb="90" eb="92">
      <t>ハイブン</t>
    </rPh>
    <rPh sb="96" eb="98">
      <t>ヒカク</t>
    </rPh>
    <rPh sb="102" eb="104">
      <t>スンポウ</t>
    </rPh>
    <rPh sb="107" eb="109">
      <t>カクテイ</t>
    </rPh>
    <phoneticPr fontId="1"/>
  </si>
  <si>
    <t>stare（立つ）
&lt;span class="spacer"&gt;&lt;/span&gt;使役形sistere（立たせる）
&lt;span class="spacer"&gt;&lt;/span&gt;ex（外に）+sistere（立たせる）
existere（前に立ち現れる, 存在する）</t>
    <rPh sb="86" eb="87">
      <t>ソト</t>
    </rPh>
    <rPh sb="98" eb="99">
      <t>タ</t>
    </rPh>
    <rPh sb="113" eb="114">
      <t>マエ</t>
    </rPh>
    <rPh sb="115" eb="116">
      <t>タ</t>
    </rPh>
    <rPh sb="117" eb="118">
      <t>アラワ</t>
    </rPh>
    <rPh sb="122" eb="124">
      <t>ソンザイ</t>
    </rPh>
    <phoneticPr fontId="1"/>
  </si>
  <si>
    <t>exister（存在する）</t>
    <rPh sb="8" eb="10">
      <t>ソンザイ</t>
    </rPh>
    <phoneticPr fontId="1"/>
  </si>
  <si>
    <t>1600年頃
存在する</t>
    <rPh sb="4" eb="6">
      <t>ネンコロ</t>
    </rPh>
    <rPh sb="7" eb="9">
      <t>ソンザイ</t>
    </rPh>
    <phoneticPr fontId="1"/>
  </si>
  <si>
    <t>mearcian / merciga（境界を描き出す）
&lt;span class="spacer"&gt;&lt;/span&gt;古英語後期
印を付ける</t>
    <rPh sb="56" eb="59">
      <t>コエイゴ</t>
    </rPh>
    <rPh sb="59" eb="61">
      <t>コウキ</t>
    </rPh>
    <rPh sb="62" eb="63">
      <t>シルシ</t>
    </rPh>
    <rPh sb="64" eb="65">
      <t>ツ</t>
    </rPh>
    <phoneticPr fontId="1"/>
  </si>
  <si>
    <t>中英語</t>
    <phoneticPr fontId="1"/>
  </si>
  <si>
    <t>14世紀後期
観察する
&lt;span class="spacer"&gt;&lt;/span&gt;1400年頃
印が付いている状態である</t>
    <rPh sb="2" eb="4">
      <t>セイキ</t>
    </rPh>
    <rPh sb="4" eb="6">
      <t>コウキ</t>
    </rPh>
    <rPh sb="7" eb="9">
      <t>カンサツ</t>
    </rPh>
    <rPh sb="44" eb="46">
      <t>ネンゴロ</t>
    </rPh>
    <phoneticPr fontId="1"/>
  </si>
  <si>
    <t>1660年代
注目すべき特徴である</t>
    <rPh sb="4" eb="6">
      <t>ネンダイ</t>
    </rPh>
    <rPh sb="7" eb="9">
      <t>チュウモク</t>
    </rPh>
    <rPh sb="12" eb="14">
      <t>トクチョウ</t>
    </rPh>
    <phoneticPr fontId="1"/>
  </si>
  <si>
    <t>calumniari（虚偽の告発をする）</t>
    <phoneticPr fontId="1"/>
  </si>
  <si>
    <t>俗ラテン語</t>
    <phoneticPr fontId="1"/>
  </si>
  <si>
    <t>*calumniare（虚偽の告発をする）</t>
    <phoneticPr fontId="1"/>
  </si>
  <si>
    <t>chalongier（抗議する）</t>
    <phoneticPr fontId="1"/>
  </si>
  <si>
    <t>1200年頃
叱責する
&lt;span class="spacer"&gt;&lt;/span&gt;
13世紀後期
異議を唱える
&lt;span class="spacer"&gt;&lt;/span&gt;
1300年頃
告発する
&lt;span class="spacer"&gt;&lt;/span&gt;
14世紀後期
戦いを挑む</t>
    <rPh sb="4" eb="6">
      <t>ネンコロ</t>
    </rPh>
    <rPh sb="43" eb="45">
      <t>セイキ</t>
    </rPh>
    <rPh sb="45" eb="47">
      <t>コウキ</t>
    </rPh>
    <rPh sb="88" eb="90">
      <t>ネンコロ</t>
    </rPh>
    <rPh sb="91" eb="93">
      <t>コクハツ</t>
    </rPh>
    <rPh sb="132" eb="133">
      <t>タタカ</t>
    </rPh>
    <rPh sb="135" eb="136">
      <t>イド</t>
    </rPh>
    <phoneticPr fontId="1"/>
  </si>
  <si>
    <t>de（下に）+pendere（ぶら下がる）
dependere（垂れ下がる, 〜に依存する）</t>
    <rPh sb="3" eb="4">
      <t>シタ</t>
    </rPh>
    <rPh sb="17" eb="18">
      <t>サ</t>
    </rPh>
    <rPh sb="32" eb="33">
      <t>タ</t>
    </rPh>
    <rPh sb="34" eb="35">
      <t>サ</t>
    </rPh>
    <rPh sb="41" eb="43">
      <t>イゾン</t>
    </rPh>
    <phoneticPr fontId="1"/>
  </si>
  <si>
    <t>dependre（吊り下がる）</t>
    <phoneticPr fontId="1"/>
  </si>
  <si>
    <t>ob（～に対して）+iacere（投げる）
obicere（相手に投げつける）
&lt;span class="spacer"&gt;&lt;/span&gt;反復形obiectare（何度も投げつける, 反対する）
&lt;span class="spacer"&gt;&lt;/span&gt;過去分詞obiectus</t>
    <rPh sb="5" eb="6">
      <t>タイ</t>
    </rPh>
    <rPh sb="17" eb="18">
      <t>ナ</t>
    </rPh>
    <rPh sb="30" eb="32">
      <t>アイテ</t>
    </rPh>
    <rPh sb="33" eb="34">
      <t>ナ</t>
    </rPh>
    <rPh sb="68" eb="70">
      <t>ハンプク</t>
    </rPh>
    <rPh sb="70" eb="71">
      <t>カタチ</t>
    </rPh>
    <rPh sb="81" eb="83">
      <t>ナンド</t>
    </rPh>
    <rPh sb="84" eb="85">
      <t>ナ</t>
    </rPh>
    <rPh sb="91" eb="93">
      <t>ハンタイ</t>
    </rPh>
    <rPh sb="125" eb="129">
      <t>カコブンシ</t>
    </rPh>
    <phoneticPr fontId="1"/>
  </si>
  <si>
    <t>objecter</t>
  </si>
  <si>
    <t>de（完全に）+mandare（命じる, 委ねる）
demandare（委託する）</t>
    <rPh sb="3" eb="5">
      <t>カンゼン</t>
    </rPh>
    <rPh sb="16" eb="17">
      <t>メイ</t>
    </rPh>
    <rPh sb="21" eb="22">
      <t>ユダ</t>
    </rPh>
    <rPh sb="36" eb="38">
      <t>イタク</t>
    </rPh>
    <phoneticPr fontId="1"/>
  </si>
  <si>
    <t>demandare（依頼する, 要求する）</t>
    <rPh sb="10" eb="12">
      <t>イライ</t>
    </rPh>
    <rPh sb="16" eb="18">
      <t>ヨウキュウ</t>
    </rPh>
    <phoneticPr fontId="1"/>
  </si>
  <si>
    <t>demander（依頼する, 要求する）</t>
    <phoneticPr fontId="1"/>
  </si>
  <si>
    <t xml:space="preserve">demaunden
&lt;span class="spacer"&gt;&lt;/span&gt;14世紀後期
問い合わせる
&lt;span class="spacer"&gt;&lt;/span&gt;15世紀初頭
強く要求する
権利として請求する
</t>
    <rPh sb="40" eb="44">
      <t>セイキコウキ</t>
    </rPh>
    <rPh sb="45" eb="46">
      <t>ト</t>
    </rPh>
    <rPh sb="47" eb="48">
      <t>ア</t>
    </rPh>
    <rPh sb="84" eb="86">
      <t>ショトウ</t>
    </rPh>
    <rPh sb="87" eb="88">
      <t>ツヨ</t>
    </rPh>
    <rPh sb="89" eb="91">
      <t>ヨウキュウ</t>
    </rPh>
    <rPh sb="94" eb="96">
      <t>ケンリ</t>
    </rPh>
    <rPh sb="99" eb="101">
      <t>セイキュウ</t>
    </rPh>
    <phoneticPr fontId="1"/>
  </si>
  <si>
    <t>1748年までに
必要または有用なものとして要求する</t>
    <rPh sb="4" eb="5">
      <t>ネン</t>
    </rPh>
    <rPh sb="9" eb="11">
      <t>ヒツヨウ</t>
    </rPh>
    <rPh sb="14" eb="16">
      <t>ユウヨウ</t>
    </rPh>
    <rPh sb="22" eb="24">
      <t>ヨウキュウ</t>
    </rPh>
    <phoneticPr fontId="1"/>
  </si>
  <si>
    <t>fundus（底, 基礎）
fundare（底や基礎を築く）</t>
    <rPh sb="7" eb="8">
      <t>ソコ</t>
    </rPh>
    <rPh sb="10" eb="12">
      <t>キソ</t>
    </rPh>
    <rPh sb="27" eb="28">
      <t>キズ</t>
    </rPh>
    <phoneticPr fontId="1"/>
  </si>
  <si>
    <t>fonder（設立する, 創設する）</t>
    <rPh sb="13" eb="15">
      <t>ソウセツ</t>
    </rPh>
    <phoneticPr fontId="1"/>
  </si>
  <si>
    <t>13世紀後期
基礎を築く
設立する</t>
    <rPh sb="2" eb="4">
      <t>セイキ</t>
    </rPh>
    <rPh sb="4" eb="6">
      <t>コウキ</t>
    </rPh>
    <rPh sb="13" eb="15">
      <t>セツリツ</t>
    </rPh>
    <phoneticPr fontId="1"/>
  </si>
  <si>
    <t>com（強意）+plere（満たす）
complere（満たし尽くす）
&lt;span class="spacer"&gt;&lt;/span&gt;過去分詞completus（満たされた, 完全な）</t>
    <rPh sb="4" eb="6">
      <t>キョウイ</t>
    </rPh>
    <rPh sb="14" eb="15">
      <t>ミ</t>
    </rPh>
    <rPh sb="28" eb="29">
      <t>ミ</t>
    </rPh>
    <rPh sb="31" eb="32">
      <t>ツ</t>
    </rPh>
    <rPh sb="64" eb="68">
      <t>カコブンシ</t>
    </rPh>
    <rPh sb="78" eb="79">
      <t>ミ</t>
    </rPh>
    <rPh sb="85" eb="87">
      <t>カンゼン</t>
    </rPh>
    <phoneticPr fontId="1"/>
  </si>
  <si>
    <t>complet（満ちた, 完全な）</t>
    <rPh sb="8" eb="9">
      <t>ミ</t>
    </rPh>
    <rPh sb="13" eb="15">
      <t>カンゼン</t>
    </rPh>
    <phoneticPr fontId="1"/>
  </si>
  <si>
    <t>14世紀後期
完全な（形容詞）
&lt;span class="spacer"&gt;&lt;/span&gt;動詞になって
完全にする
完成させる</t>
    <rPh sb="2" eb="4">
      <t>セイキ</t>
    </rPh>
    <rPh sb="4" eb="6">
      <t>コウキ</t>
    </rPh>
    <rPh sb="7" eb="9">
      <t>カンゼン</t>
    </rPh>
    <rPh sb="11" eb="14">
      <t>ケイヨウシ</t>
    </rPh>
    <rPh sb="44" eb="46">
      <t>ドウシ</t>
    </rPh>
    <rPh sb="51" eb="53">
      <t>カンゼン</t>
    </rPh>
    <rPh sb="57" eb="59">
      <t>カンセイ</t>
    </rPh>
    <phoneticPr fontId="1"/>
  </si>
  <si>
    <t>ideaの根本的な部分を理解しておくと便利。</t>
    <rPh sb="5" eb="8">
      <t>コンポンテキ</t>
    </rPh>
    <rPh sb="9" eb="11">
      <t>ブブン</t>
    </rPh>
    <rPh sb="12" eb="14">
      <t>リカイ</t>
    </rPh>
    <rPh sb="19" eb="21">
      <t>ベンリ</t>
    </rPh>
    <phoneticPr fontId="1"/>
  </si>
  <si>
    <t>古代ギリシャ語</t>
    <rPh sb="0" eb="2">
      <t>コダイ</t>
    </rPh>
    <rPh sb="6" eb="7">
      <t>ゴ</t>
    </rPh>
    <phoneticPr fontId="1"/>
  </si>
  <si>
    <t>idein（見る）
&lt;span class="spacer"&gt;&lt;/span&gt;名詞になって
idea（物の見え方, 形）</t>
    <rPh sb="6" eb="7">
      <t>ミ</t>
    </rPh>
    <rPh sb="38" eb="40">
      <t>メイシ</t>
    </rPh>
    <rPh sb="50" eb="51">
      <t>モノ</t>
    </rPh>
    <rPh sb="52" eb="53">
      <t>ミ</t>
    </rPh>
    <rPh sb="54" eb="55">
      <t>カタ</t>
    </rPh>
    <rPh sb="57" eb="58">
      <t>カタチ</t>
    </rPh>
    <phoneticPr fontId="1"/>
  </si>
  <si>
    <t>プラトン哲学</t>
  </si>
  <si>
    <t>存在するあらゆるものの原型</t>
    <rPh sb="0" eb="2">
      <t>ソンザイ</t>
    </rPh>
    <rPh sb="11" eb="13">
      <t>ゲンケイ</t>
    </rPh>
    <phoneticPr fontId="1"/>
  </si>
  <si>
    <t>哲学用語
idea（プラトン的イデア, 原型）</t>
    <rPh sb="0" eb="4">
      <t>テツガクヨウゴ</t>
    </rPh>
    <rPh sb="14" eb="15">
      <t>テキ</t>
    </rPh>
    <rPh sb="20" eb="22">
      <t>ゲンケイ</t>
    </rPh>
    <phoneticPr fontId="1"/>
  </si>
  <si>
    <t>14世紀後期
原型
神の内にある物事の概念</t>
    <rPh sb="2" eb="4">
      <t>セイキ</t>
    </rPh>
    <rPh sb="4" eb="6">
      <t>コウキ</t>
    </rPh>
    <rPh sb="7" eb="9">
      <t>ゲンケイ</t>
    </rPh>
    <rPh sb="10" eb="11">
      <t>カミ</t>
    </rPh>
    <rPh sb="12" eb="13">
      <t>ウチ</t>
    </rPh>
    <rPh sb="16" eb="18">
      <t>モノゴト</t>
    </rPh>
    <rPh sb="19" eb="21">
      <t>ガイネン</t>
    </rPh>
    <phoneticPr fontId="1"/>
  </si>
  <si>
    <t>1610年代
心の中のイメージ
&lt;span class="spacer"&gt;&lt;/span&gt;1640年代
考え</t>
    <rPh sb="4" eb="6">
      <t>ネンダイ</t>
    </rPh>
    <rPh sb="7" eb="8">
      <t>ココロ</t>
    </rPh>
    <rPh sb="9" eb="10">
      <t>ナカ</t>
    </rPh>
    <rPh sb="48" eb="50">
      <t>ネンダイ</t>
    </rPh>
    <rPh sb="51" eb="52">
      <t>カンガ</t>
    </rPh>
    <phoneticPr fontId="1"/>
  </si>
  <si>
    <t>ad（～へ）+cor（心）</t>
    <rPh sb="11" eb="12">
      <t>ココロ</t>
    </rPh>
    <phoneticPr fontId="1"/>
  </si>
  <si>
    <t>*accordare（心と心を結ぶ, 心をひとつにする）</t>
    <rPh sb="11" eb="12">
      <t>ココロ</t>
    </rPh>
    <rPh sb="13" eb="14">
      <t>ココロ</t>
    </rPh>
    <rPh sb="15" eb="16">
      <t>ムス</t>
    </rPh>
    <rPh sb="19" eb="20">
      <t>ココロ</t>
    </rPh>
    <phoneticPr fontId="1"/>
  </si>
  <si>
    <t>acorder（同意する）
&lt;span class="spacer"&gt;&lt;/span&gt;名詞になって
acorde（合意）</t>
    <rPh sb="8" eb="10">
      <t>ドウイ</t>
    </rPh>
    <rPh sb="42" eb="44">
      <t>メイシ</t>
    </rPh>
    <rPh sb="56" eb="58">
      <t>ゴウイ</t>
    </rPh>
    <phoneticPr fontId="1"/>
  </si>
  <si>
    <t>13世紀後期
合意, 一致
&lt;span class="spacer"&gt;&lt;/span&gt;15世紀半ば
意思
of one’s own accord（自分の意思で）</t>
    <rPh sb="2" eb="4">
      <t>セイキ</t>
    </rPh>
    <rPh sb="4" eb="6">
      <t>コウキ</t>
    </rPh>
    <rPh sb="7" eb="9">
      <t>ゴウイ</t>
    </rPh>
    <rPh sb="11" eb="13">
      <t>イッチ</t>
    </rPh>
    <rPh sb="44" eb="46">
      <t>セイキ</t>
    </rPh>
    <rPh sb="46" eb="47">
      <t>ナカ</t>
    </rPh>
    <rPh sb="49" eb="51">
      <t>イシ</t>
    </rPh>
    <rPh sb="72" eb="74">
      <t>ジブン</t>
    </rPh>
    <rPh sb="75" eb="77">
      <t>イシ</t>
    </rPh>
    <phoneticPr fontId="1"/>
  </si>
  <si>
    <t>com（共に）+panis（パン）</t>
    <rPh sb="4" eb="5">
      <t>トモ</t>
    </rPh>
    <phoneticPr fontId="1"/>
  </si>
  <si>
    <t>companio（同じパンを分け合う仲間, 食事を共にする仲間）</t>
    <rPh sb="9" eb="10">
      <t>オナ</t>
    </rPh>
    <rPh sb="14" eb="15">
      <t>ワ</t>
    </rPh>
    <rPh sb="16" eb="17">
      <t>ア</t>
    </rPh>
    <rPh sb="18" eb="20">
      <t>ナカマ</t>
    </rPh>
    <rPh sb="22" eb="24">
      <t>ショクジ</t>
    </rPh>
    <rPh sb="25" eb="26">
      <t>トモ</t>
    </rPh>
    <rPh sb="29" eb="31">
      <t>ナカマ</t>
    </rPh>
    <phoneticPr fontId="1"/>
  </si>
  <si>
    <t>compagnie（仲間, 社会, 兵の一団）</t>
    <rPh sb="10" eb="12">
      <t>ナカマ</t>
    </rPh>
    <rPh sb="14" eb="16">
      <t>シャカイ</t>
    </rPh>
    <rPh sb="18" eb="19">
      <t>ヘイ</t>
    </rPh>
    <rPh sb="20" eb="22">
      <t>イチダン</t>
    </rPh>
    <phoneticPr fontId="1"/>
  </si>
  <si>
    <t xml:space="preserve">12世紀
大人数の集団
&lt;span class="spacer"&gt;&lt;/span&gt;13世紀後期
仲間関係, 親密な結びつき
&lt;span class="spacer"&gt;&lt;/span&gt;1300年頃
何らかの形で結びついている人々
&lt;span class="spacer"&gt;&lt;/span&gt;14世紀後期
共同で何かをするために結束した人々
</t>
    <rPh sb="2" eb="4">
      <t>セイキ</t>
    </rPh>
    <rPh sb="5" eb="8">
      <t>オオニンズウ</t>
    </rPh>
    <rPh sb="9" eb="11">
      <t>シュウダン</t>
    </rPh>
    <rPh sb="44" eb="46">
      <t>コウキ</t>
    </rPh>
    <rPh sb="47" eb="49">
      <t>ナカマ</t>
    </rPh>
    <rPh sb="49" eb="51">
      <t>カンケイ</t>
    </rPh>
    <rPh sb="53" eb="55">
      <t>シンミツ</t>
    </rPh>
    <rPh sb="56" eb="57">
      <t>ムス</t>
    </rPh>
    <rPh sb="93" eb="94">
      <t>ネン</t>
    </rPh>
    <rPh sb="94" eb="95">
      <t>コロ</t>
    </rPh>
    <rPh sb="96" eb="97">
      <t>ナン</t>
    </rPh>
    <rPh sb="100" eb="101">
      <t>カタチ</t>
    </rPh>
    <rPh sb="102" eb="103">
      <t>ムス</t>
    </rPh>
    <rPh sb="109" eb="111">
      <t>ヒトビト</t>
    </rPh>
    <rPh sb="142" eb="144">
      <t>セイキ</t>
    </rPh>
    <rPh sb="144" eb="146">
      <t>コウキ</t>
    </rPh>
    <rPh sb="147" eb="149">
      <t>キョウドウ</t>
    </rPh>
    <rPh sb="150" eb="151">
      <t>ナニ</t>
    </rPh>
    <rPh sb="158" eb="160">
      <t>ケッソク</t>
    </rPh>
    <rPh sb="162" eb="164">
      <t>ヒトビト</t>
    </rPh>
    <phoneticPr fontId="1"/>
  </si>
  <si>
    <t>1550年代
会社</t>
    <rPh sb="7" eb="9">
      <t>カイシャ</t>
    </rPh>
    <phoneticPr fontId="1"/>
  </si>
  <si>
    <t>inter（～の間に）+esse（存在する）
interesse
&lt;span class="spacer"&gt;&lt;/span&gt;三人称単数現在形
interest（間にある, 違いを生じさせる, 重要である）</t>
    <rPh sb="8" eb="9">
      <t>アイダ</t>
    </rPh>
    <rPh sb="17" eb="19">
      <t>ソンザイ</t>
    </rPh>
    <rPh sb="61" eb="64">
      <t>サンニンショウ</t>
    </rPh>
    <rPh sb="64" eb="66">
      <t>タンスウ</t>
    </rPh>
    <rPh sb="66" eb="69">
      <t>ゲンザイケイ</t>
    </rPh>
    <rPh sb="79" eb="80">
      <t>アイダ</t>
    </rPh>
    <rPh sb="85" eb="86">
      <t>チガ</t>
    </rPh>
    <rPh sb="88" eb="89">
      <t>ショウ</t>
    </rPh>
    <rPh sb="95" eb="97">
      <t>ジュウヨウ</t>
    </rPh>
    <phoneticPr fontId="1"/>
  </si>
  <si>
    <t>interest（損害, 損失）</t>
    <rPh sb="9" eb="11">
      <t>ソンガイ</t>
    </rPh>
    <rPh sb="13" eb="15">
      <t>ソンシツ</t>
    </rPh>
    <phoneticPr fontId="1"/>
  </si>
  <si>
    <t>15世紀半ば
利益, 関心</t>
    <rPh sb="7" eb="9">
      <t>リエキ</t>
    </rPh>
    <rPh sb="11" eb="13">
      <t>カンシン</t>
    </rPh>
    <phoneticPr fontId="1"/>
  </si>
  <si>
    <t>1520年代
利子
&lt;span class="spacer"&gt;&lt;/span&gt;1620年代
個人的な考慮
&lt;span class="spacer"&gt;&lt;/span&gt;1771年
好奇心, 関心</t>
    <rPh sb="4" eb="6">
      <t>ネンダイ</t>
    </rPh>
    <rPh sb="7" eb="9">
      <t>リシ</t>
    </rPh>
    <rPh sb="42" eb="44">
      <t>ネンダイ</t>
    </rPh>
    <rPh sb="45" eb="48">
      <t>コジンテキ</t>
    </rPh>
    <rPh sb="49" eb="51">
      <t>コウリョ</t>
    </rPh>
    <rPh sb="84" eb="85">
      <t>ネン</t>
    </rPh>
    <rPh sb="86" eb="89">
      <t>コウキシン</t>
    </rPh>
    <rPh sb="91" eb="93">
      <t>カンシン</t>
    </rPh>
    <phoneticPr fontId="1"/>
  </si>
  <si>
    <t>circus（円）
&lt;span class="spacer"&gt;&lt;/span&gt;動詞になって
circare（歩き回る）</t>
    <rPh sb="7" eb="8">
      <t>エン</t>
    </rPh>
    <rPh sb="38" eb="40">
      <t>ドウシ</t>
    </rPh>
    <rPh sb="53" eb="54">
      <t>アル</t>
    </rPh>
    <rPh sb="55" eb="56">
      <t>マワ</t>
    </rPh>
    <phoneticPr fontId="1"/>
  </si>
  <si>
    <t>circare（あちこちさまよう）</t>
    <phoneticPr fontId="1"/>
  </si>
  <si>
    <t>re（強意）+cercher（探し求める）
recercher（探し出す）</t>
    <rPh sb="3" eb="5">
      <t>キョウイ</t>
    </rPh>
    <phoneticPr fontId="1"/>
  </si>
  <si>
    <t>causa（原因, 理由）</t>
    <rPh sb="6" eb="8">
      <t>ゲンイン</t>
    </rPh>
    <rPh sb="10" eb="12">
      <t>リユウ</t>
    </rPh>
    <phoneticPr fontId="1"/>
  </si>
  <si>
    <t>cause（原因, 理由）</t>
    <rPh sb="6" eb="8">
      <t>ゲンイン</t>
    </rPh>
    <rPh sb="10" eb="12">
      <t>リユウ</t>
    </rPh>
    <phoneticPr fontId="1"/>
  </si>
  <si>
    <t>reri（考える, 計算する）
&lt;span class="spacer"&gt;&lt;/span&gt;過去分詞ratus（考えられた, 計算された）
&lt;span class="spacer"&gt;&lt;/span&gt;名詞を作る-ioが付いて
ratio（理解, 計算）</t>
    <rPh sb="5" eb="6">
      <t>カンガ</t>
    </rPh>
    <rPh sb="10" eb="12">
      <t>ケイサン</t>
    </rPh>
    <rPh sb="44" eb="48">
      <t>カコブンシ</t>
    </rPh>
    <rPh sb="54" eb="55">
      <t>カンガ</t>
    </rPh>
    <rPh sb="61" eb="63">
      <t>ケイサン</t>
    </rPh>
    <rPh sb="96" eb="98">
      <t>メイシ</t>
    </rPh>
    <rPh sb="99" eb="100">
      <t>ツク</t>
    </rPh>
    <rPh sb="105" eb="106">
      <t>ツ</t>
    </rPh>
    <rPh sb="115" eb="117">
      <t>リカイ</t>
    </rPh>
    <rPh sb="119" eb="121">
      <t>ケイサン</t>
    </rPh>
    <phoneticPr fontId="1"/>
  </si>
  <si>
    <t>アングロ＝フランス語</t>
  </si>
  <si>
    <t>resoun</t>
    <phoneticPr fontId="1"/>
  </si>
  <si>
    <t xml:space="preserve">resoun
&lt;span class="spacer"&gt;&lt;/span&gt;1200年頃
議論における主張
&lt;span class="spacer"&gt;&lt;/span&gt;13世紀後期
人と動物を区別する理性
&lt;span class="spacer"&gt;&lt;/span&gt;1300年頃
行為の根拠, 理由
</t>
    <rPh sb="39" eb="41">
      <t>ネンコロ</t>
    </rPh>
    <rPh sb="42" eb="44">
      <t>ギロン</t>
    </rPh>
    <rPh sb="48" eb="50">
      <t>シュチョウ</t>
    </rPh>
    <rPh sb="81" eb="83">
      <t>セイキ</t>
    </rPh>
    <rPh sb="83" eb="85">
      <t>コウキ</t>
    </rPh>
    <rPh sb="86" eb="87">
      <t>ヒト</t>
    </rPh>
    <rPh sb="88" eb="90">
      <t>ドウブツ</t>
    </rPh>
    <rPh sb="91" eb="93">
      <t>クベツ</t>
    </rPh>
    <rPh sb="95" eb="97">
      <t>リセイ</t>
    </rPh>
    <phoneticPr fontId="1"/>
  </si>
  <si>
    <t>ex（外へ）+facere（行う）
efficere（成し遂げる）
&lt;span class="spacer"&gt;&lt;/span&gt;過去分詞effectus（遂行）</t>
    <rPh sb="3" eb="4">
      <t>ソト</t>
    </rPh>
    <rPh sb="14" eb="15">
      <t>オコナ</t>
    </rPh>
    <rPh sb="27" eb="28">
      <t>ナ</t>
    </rPh>
    <rPh sb="29" eb="30">
      <t>ト</t>
    </rPh>
    <rPh sb="62" eb="66">
      <t>カコブンシ</t>
    </rPh>
    <rPh sb="75" eb="77">
      <t>スイコウ</t>
    </rPh>
    <phoneticPr fontId="1"/>
  </si>
  <si>
    <t>efet（遂行, 結果）</t>
    <rPh sb="5" eb="7">
      <t>スイコウ</t>
    </rPh>
    <rPh sb="9" eb="11">
      <t>ケッカ</t>
    </rPh>
    <phoneticPr fontId="1"/>
  </si>
  <si>
    <t>1881年
舞台効果, 音響効果</t>
    <rPh sb="4" eb="5">
      <t>ネン</t>
    </rPh>
    <rPh sb="6" eb="8">
      <t>ブタイ</t>
    </rPh>
    <rPh sb="8" eb="10">
      <t>コウカ</t>
    </rPh>
    <rPh sb="12" eb="16">
      <t>オンキョウコウカ</t>
    </rPh>
    <phoneticPr fontId="1"/>
  </si>
  <si>
    <t>in（中へ）+fluere（流れる）
influere（流れ込む）
&lt;span class="spacer"&gt;&lt;/span&gt;現在分詞influens</t>
    <rPh sb="3" eb="4">
      <t>ナカ</t>
    </rPh>
    <rPh sb="14" eb="15">
      <t>ナガ</t>
    </rPh>
    <rPh sb="28" eb="29">
      <t>ナガ</t>
    </rPh>
    <rPh sb="30" eb="31">
      <t>コ</t>
    </rPh>
    <rPh sb="62" eb="66">
      <t>ゲンザイブンシ</t>
    </rPh>
    <phoneticPr fontId="1"/>
  </si>
  <si>
    <t>名詞を作る-iaが付いて
influentia（流れ込み, 占星術における星々から流れ込まれる作用, 影響）</t>
    <rPh sb="24" eb="25">
      <t>ナガ</t>
    </rPh>
    <rPh sb="26" eb="27">
      <t>コ</t>
    </rPh>
    <rPh sb="30" eb="33">
      <t>センセイジュツ</t>
    </rPh>
    <rPh sb="37" eb="39">
      <t>ホシボシ</t>
    </rPh>
    <rPh sb="41" eb="42">
      <t>ナガ</t>
    </rPh>
    <rPh sb="43" eb="44">
      <t>コ</t>
    </rPh>
    <rPh sb="47" eb="49">
      <t>サヨウ</t>
    </rPh>
    <rPh sb="51" eb="53">
      <t>エイキョウ</t>
    </rPh>
    <phoneticPr fontId="1"/>
  </si>
  <si>
    <t>influence（人の性格や運命に作用する星からの影響）</t>
    <rPh sb="10" eb="11">
      <t>ヒト</t>
    </rPh>
    <rPh sb="12" eb="14">
      <t>セイカク</t>
    </rPh>
    <rPh sb="15" eb="17">
      <t>ウンメイ</t>
    </rPh>
    <rPh sb="18" eb="20">
      <t>サヨウ</t>
    </rPh>
    <rPh sb="22" eb="23">
      <t>ホシ</t>
    </rPh>
    <rPh sb="26" eb="28">
      <t>エイキョウ</t>
    </rPh>
    <phoneticPr fontId="1"/>
  </si>
  <si>
    <t>1580年代
人による目に見えない影響力の行使
&lt;span class="spacer"&gt;&lt;/span&gt;1650年代
感知できない手段によって効果を生み出す力, 影響力</t>
    <rPh sb="4" eb="6">
      <t>ネンダイ</t>
    </rPh>
    <rPh sb="7" eb="8">
      <t>ニン</t>
    </rPh>
    <rPh sb="11" eb="12">
      <t>メ</t>
    </rPh>
    <rPh sb="13" eb="14">
      <t>ミ</t>
    </rPh>
    <rPh sb="17" eb="20">
      <t>エイキョウリョク</t>
    </rPh>
    <rPh sb="21" eb="23">
      <t>コウシ</t>
    </rPh>
    <rPh sb="56" eb="58">
      <t>ネンダイ</t>
    </rPh>
    <rPh sb="81" eb="84">
      <t>エイキョウリョク</t>
    </rPh>
    <phoneticPr fontId="1"/>
  </si>
  <si>
    <t>situs（場所, 位置）
&lt;span class="spacer"&gt;&lt;/span&gt;動詞になって
situare（置く, 配置する）</t>
    <rPh sb="6" eb="8">
      <t>バショ</t>
    </rPh>
    <rPh sb="10" eb="12">
      <t>イチ</t>
    </rPh>
    <rPh sb="42" eb="44">
      <t>ドウシ</t>
    </rPh>
    <rPh sb="57" eb="58">
      <t>オ</t>
    </rPh>
    <rPh sb="61" eb="63">
      <t>ハイチ</t>
    </rPh>
    <phoneticPr fontId="1"/>
  </si>
  <si>
    <t>名詞を作る-ioが付いて
situatio（位置, 状態）</t>
    <rPh sb="22" eb="24">
      <t>イチ</t>
    </rPh>
    <rPh sb="26" eb="28">
      <t>ジョウタイ</t>
    </rPh>
    <phoneticPr fontId="1"/>
  </si>
  <si>
    <t>situacion（位置, 状況）</t>
    <rPh sb="10" eb="12">
      <t>イチ</t>
    </rPh>
    <rPh sb="14" eb="16">
      <t>ジョウキョウ</t>
    </rPh>
    <phoneticPr fontId="1"/>
  </si>
  <si>
    <t>1710年から
立場, 状況</t>
    <rPh sb="4" eb="5">
      <t>ネン</t>
    </rPh>
    <rPh sb="8" eb="10">
      <t>タチバ</t>
    </rPh>
    <rPh sb="12" eb="14">
      <t>ジョウキョウ</t>
    </rPh>
    <phoneticPr fontId="1"/>
  </si>
  <si>
    <t>en（中へ）+viron（円）
environ（円の中に, 周囲に）
&lt;span class="spacer"&gt;&lt;/span&gt;動詞になって
environer（取り囲む）</t>
    <rPh sb="3" eb="4">
      <t>ナカ</t>
    </rPh>
    <rPh sb="13" eb="14">
      <t>エン</t>
    </rPh>
    <rPh sb="24" eb="25">
      <t>エン</t>
    </rPh>
    <rPh sb="26" eb="27">
      <t>ナカ</t>
    </rPh>
    <rPh sb="30" eb="32">
      <t>シュウイ</t>
    </rPh>
    <rPh sb="63" eb="65">
      <t>ドウシ</t>
    </rPh>
    <rPh sb="80" eb="81">
      <t>ト</t>
    </rPh>
    <rPh sb="82" eb="83">
      <t>カコ</t>
    </rPh>
    <phoneticPr fontId="1"/>
  </si>
  <si>
    <t>14世紀後期
取り囲む</t>
    <rPh sb="2" eb="4">
      <t>セイキ</t>
    </rPh>
    <rPh sb="4" eb="6">
      <t>コウキ</t>
    </rPh>
    <rPh sb="7" eb="8">
      <t>ト</t>
    </rPh>
    <rPh sb="9" eb="10">
      <t>カコ</t>
    </rPh>
    <phoneticPr fontId="1"/>
  </si>
  <si>
    <t>古ノルド語</t>
  </si>
  <si>
    <t>skil（区別, 識別する能力）</t>
    <rPh sb="5" eb="7">
      <t>クベツ</t>
    </rPh>
    <rPh sb="9" eb="11">
      <t>シキベツ</t>
    </rPh>
    <rPh sb="13" eb="15">
      <t>ノウリョク</t>
    </rPh>
    <phoneticPr fontId="1"/>
  </si>
  <si>
    <t>mater（起源, 母, 源）
&lt;span class="spacer"&gt;&lt;/span&gt;名詞を作る-iaが付いて
materia（木の芯, 何かが作られるもととなる物質）</t>
    <rPh sb="6" eb="8">
      <t>キゲン</t>
    </rPh>
    <rPh sb="10" eb="11">
      <t>ハハ</t>
    </rPh>
    <rPh sb="13" eb="14">
      <t>ミナモト</t>
    </rPh>
    <rPh sb="44" eb="46">
      <t>メイシ</t>
    </rPh>
    <rPh sb="47" eb="48">
      <t>ツク</t>
    </rPh>
    <rPh sb="53" eb="54">
      <t>ツ</t>
    </rPh>
    <rPh sb="65" eb="66">
      <t>キ</t>
    </rPh>
    <rPh sb="67" eb="68">
      <t>シン</t>
    </rPh>
    <phoneticPr fontId="1"/>
  </si>
  <si>
    <t>matere（テーマ, 物質, 内容）</t>
    <rPh sb="12" eb="14">
      <t>ブッシツ</t>
    </rPh>
    <rPh sb="16" eb="18">
      <t>ナイヨウ</t>
    </rPh>
    <phoneticPr fontId="1"/>
  </si>
  <si>
    <t>アングロ・フランス語</t>
  </si>
  <si>
    <t>matere</t>
    <phoneticPr fontId="1"/>
  </si>
  <si>
    <t>*weid-（見る）</t>
    <rPh sb="7" eb="8">
      <t>ミ</t>
    </rPh>
    <phoneticPr fontId="1"/>
  </si>
  <si>
    <t>videre（見る）</t>
    <rPh sb="7" eb="8">
      <t>ミ</t>
    </rPh>
    <phoneticPr fontId="1"/>
  </si>
  <si>
    <t>veoir（見る）
&lt;span class="spacer"&gt;&lt;/span&gt;過去分詞veue（外観, 視覚）</t>
    <rPh sb="6" eb="7">
      <t>ミ</t>
    </rPh>
    <rPh sb="38" eb="42">
      <t>カコブンシ</t>
    </rPh>
    <rPh sb="47" eb="49">
      <t>ガイカン</t>
    </rPh>
    <rPh sb="51" eb="53">
      <t>シカク</t>
    </rPh>
    <phoneticPr fontId="1"/>
  </si>
  <si>
    <t>vewe</t>
  </si>
  <si>
    <t>veue
&lt;span class="spacer"&gt;&lt;/span&gt;14世紀半ば
視覚的知覚</t>
    <rPh sb="35" eb="37">
      <t>セイキ</t>
    </rPh>
    <rPh sb="37" eb="38">
      <t>ナカ</t>
    </rPh>
    <phoneticPr fontId="1"/>
  </si>
  <si>
    <t>1570年代
物事の捉え方, 見方
&lt;span class="spacer"&gt;&lt;/span&gt;1600年頃
風景などの眺め</t>
    <rPh sb="50" eb="51">
      <t>ネン</t>
    </rPh>
    <rPh sb="51" eb="52">
      <t>コロ</t>
    </rPh>
    <rPh sb="53" eb="55">
      <t>フウケイ</t>
    </rPh>
    <rPh sb="58" eb="59">
      <t>ナガ</t>
    </rPh>
    <phoneticPr fontId="1"/>
  </si>
  <si>
    <t>valere（価値がある, 強い）</t>
    <phoneticPr fontId="1"/>
  </si>
  <si>
    <t>valoir（価値がある）
&lt;span class="spacer"&gt;&lt;/span&gt;過去分詞value（価値, 価格, 評判）</t>
    <rPh sb="7" eb="9">
      <t>カチ</t>
    </rPh>
    <rPh sb="42" eb="46">
      <t>カコブンシ</t>
    </rPh>
    <phoneticPr fontId="1"/>
  </si>
  <si>
    <t>1300年頃
物の価値に等しい価格
&lt;span class="spacer"&gt;&lt;/span&gt;14世紀後期
価値, 評価</t>
    <rPh sb="4" eb="6">
      <t>ネンコロ</t>
    </rPh>
    <rPh sb="48" eb="50">
      <t>セイキ</t>
    </rPh>
    <rPh sb="50" eb="52">
      <t>コウキ</t>
    </rPh>
    <rPh sb="57" eb="59">
      <t>ヒョウカ</t>
    </rPh>
    <phoneticPr fontId="1"/>
  </si>
  <si>
    <t>specere（注視する）
&lt;span class="spacer"&gt;&lt;/span&gt;species（視覚, 外見, 特定の種類）</t>
    <rPh sb="8" eb="10">
      <t>チュウシ</t>
    </rPh>
    <rPh sb="50" eb="52">
      <t>シカク</t>
    </rPh>
    <rPh sb="54" eb="56">
      <t>ガイケン</t>
    </rPh>
    <rPh sb="58" eb="60">
      <t>トクテイ</t>
    </rPh>
    <rPh sb="61" eb="63">
      <t>シュルイ</t>
    </rPh>
    <phoneticPr fontId="1"/>
  </si>
  <si>
    <t>論理学・法学用語で特別な事例</t>
    <rPh sb="0" eb="2">
      <t>ロンリ</t>
    </rPh>
    <rPh sb="4" eb="6">
      <t>ホウガク</t>
    </rPh>
    <rPh sb="6" eb="8">
      <t>ヨウゴ</t>
    </rPh>
    <rPh sb="9" eb="11">
      <t>トクベツ</t>
    </rPh>
    <rPh sb="12" eb="14">
      <t>ジレイ</t>
    </rPh>
    <phoneticPr fontId="1"/>
  </si>
  <si>
    <t>14世紀後期
論理学において個体や集合
&lt;span class="spacer"&gt;&lt;/span&gt;14世紀後期
価値, 評価</t>
    <rPh sb="2" eb="4">
      <t>セイキ</t>
    </rPh>
    <rPh sb="4" eb="6">
      <t>コウキ</t>
    </rPh>
    <rPh sb="7" eb="10">
      <t>ロンリガク</t>
    </rPh>
    <rPh sb="17" eb="19">
      <t>シュウゴウ</t>
    </rPh>
    <rPh sb="50" eb="52">
      <t>セイキ</t>
    </rPh>
    <rPh sb="52" eb="54">
      <t>コウキ</t>
    </rPh>
    <rPh sb="59" eb="61">
      <t>ヒョウカ</t>
    </rPh>
    <phoneticPr fontId="1"/>
  </si>
  <si>
    <t>1560年代
共通の特性に基づく、明確に区別される階級
&lt;span class="spacer"&gt;&lt;/span&gt;1600年頃
生物学における生物の種</t>
    <rPh sb="4" eb="6">
      <t>ネンダイ</t>
    </rPh>
    <rPh sb="60" eb="62">
      <t>ネンゴロ</t>
    </rPh>
    <rPh sb="63" eb="66">
      <t>セイブツガク</t>
    </rPh>
    <rPh sb="70" eb="72">
      <t>セイブツ</t>
    </rPh>
    <rPh sb="73" eb="74">
      <t>タネ</t>
    </rPh>
    <phoneticPr fontId="1"/>
  </si>
  <si>
    <t>古英語</t>
    <phoneticPr fontId="1"/>
  </si>
  <si>
    <t>*gno-（知る）</t>
    <phoneticPr fontId="1"/>
  </si>
  <si>
    <t>cnawan（知る）+lece（語源不明）</t>
    <rPh sb="7" eb="8">
      <t>シ</t>
    </rPh>
    <rPh sb="16" eb="20">
      <t>ゴゲンフメイ</t>
    </rPh>
    <phoneticPr fontId="1"/>
  </si>
  <si>
    <t>12世紀初頭
上位者を認めること, 崇拝
&lt;span class="spacer"&gt;&lt;/span&gt;14世紀後期
知識, 認識</t>
    <rPh sb="2" eb="4">
      <t>セイキ</t>
    </rPh>
    <rPh sb="4" eb="6">
      <t>ショトウ</t>
    </rPh>
    <rPh sb="7" eb="10">
      <t>ジョウイシャ</t>
    </rPh>
    <rPh sb="11" eb="12">
      <t>ミト</t>
    </rPh>
    <rPh sb="18" eb="20">
      <t>スウハイ</t>
    </rPh>
    <rPh sb="51" eb="53">
      <t>セイキ</t>
    </rPh>
    <rPh sb="53" eb="55">
      <t>コウキ</t>
    </rPh>
    <rPh sb="56" eb="58">
      <t>チシキ</t>
    </rPh>
    <rPh sb="60" eb="62">
      <t>ニンシキ</t>
    </rPh>
    <phoneticPr fontId="1"/>
  </si>
  <si>
    <t>memor（心に留める, 覚えている）
&lt;span class="spacer"&gt;&lt;/span&gt;名詞を作る-iaが付いて
memoria（記憶）</t>
    <rPh sb="48" eb="50">
      <t>メイシ</t>
    </rPh>
    <rPh sb="51" eb="52">
      <t>ツク</t>
    </rPh>
    <rPh sb="57" eb="58">
      <t>ツ</t>
    </rPh>
    <rPh sb="69" eb="71">
      <t>キオク</t>
    </rPh>
    <phoneticPr fontId="1"/>
  </si>
  <si>
    <t>memoire（記憶, 記念, 記録）</t>
    <rPh sb="8" eb="10">
      <t>キオク</t>
    </rPh>
    <rPh sb="12" eb="14">
      <t>キネン</t>
    </rPh>
    <rPh sb="16" eb="18">
      <t>キロク</t>
    </rPh>
    <phoneticPr fontId="1"/>
  </si>
  <si>
    <t>memorie</t>
    <phoneticPr fontId="1"/>
  </si>
  <si>
    <t>13世紀後期
記憶, 意識, 名誉
&lt;span class="spacer"&gt;&lt;/span&gt;1300年頃
人や物の記念
&lt;span class="spacer"&gt;&lt;/span&gt;14世紀後期
記憶力</t>
    <rPh sb="2" eb="4">
      <t>セイキ</t>
    </rPh>
    <rPh sb="4" eb="6">
      <t>コウキ</t>
    </rPh>
    <rPh sb="7" eb="9">
      <t>キオク</t>
    </rPh>
    <rPh sb="11" eb="13">
      <t>イシキ</t>
    </rPh>
    <rPh sb="15" eb="17">
      <t>メイヨ</t>
    </rPh>
    <rPh sb="50" eb="52">
      <t>ネンゴロ</t>
    </rPh>
    <rPh sb="53" eb="54">
      <t>ヒト</t>
    </rPh>
    <rPh sb="55" eb="56">
      <t>モノ</t>
    </rPh>
    <rPh sb="57" eb="59">
      <t>キネン</t>
    </rPh>
    <rPh sb="90" eb="92">
      <t>セイキ</t>
    </rPh>
    <rPh sb="92" eb="94">
      <t>コウキ</t>
    </rPh>
    <rPh sb="95" eb="98">
      <t>キオクリョク</t>
    </rPh>
    <phoneticPr fontId="1"/>
  </si>
  <si>
    <t>practicare（実際に行う）</t>
    <phoneticPr fontId="1"/>
  </si>
  <si>
    <t>pratiser</t>
    <phoneticPr fontId="1"/>
  </si>
  <si>
    <t>practise
&lt;span class="spacer"&gt;&lt;/span&gt;15世紀初頭
実際的側面, 応用
スペルが-iceに変化
&lt;span class="spacer"&gt;&lt;/span&gt;1500年頃
習慣</t>
    <rPh sb="39" eb="43">
      <t>セイキショトウ</t>
    </rPh>
    <rPh sb="44" eb="47">
      <t>ジッサイテキ</t>
    </rPh>
    <rPh sb="47" eb="49">
      <t>ソクメン</t>
    </rPh>
    <rPh sb="51" eb="53">
      <t>オウヨウ</t>
    </rPh>
    <rPh sb="63" eb="65">
      <t>ヘンカ</t>
    </rPh>
    <rPh sb="101" eb="103">
      <t>シュウカン</t>
    </rPh>
    <phoneticPr fontId="1"/>
  </si>
  <si>
    <t>1520年代
訓練のための練習
&lt;span class="spacer"&gt;&lt;/span&gt;1530年代
実践（理論の反対）</t>
    <rPh sb="7" eb="9">
      <t>クンレン</t>
    </rPh>
    <rPh sb="13" eb="15">
      <t>レンシュウ</t>
    </rPh>
    <rPh sb="48" eb="50">
      <t>ネンダイ</t>
    </rPh>
    <rPh sb="51" eb="53">
      <t>ジッセン</t>
    </rPh>
    <rPh sb="54" eb="56">
      <t>リロン</t>
    </rPh>
    <rPh sb="57" eb="59">
      <t>ハンタイ</t>
    </rPh>
    <phoneticPr fontId="1"/>
  </si>
  <si>
    <t>bene（良く） facere（行う, 作る）
&lt;span class="spacer"&gt;&lt;/span&gt;名詞を作る-umが付いて
benefactum（良い行い, 善行）</t>
    <rPh sb="5" eb="6">
      <t>ヨ</t>
    </rPh>
    <rPh sb="16" eb="17">
      <t>オコナ</t>
    </rPh>
    <rPh sb="20" eb="21">
      <t>ツク</t>
    </rPh>
    <rPh sb="52" eb="54">
      <t>メイシ</t>
    </rPh>
    <rPh sb="55" eb="56">
      <t>ツク</t>
    </rPh>
    <rPh sb="61" eb="62">
      <t>ツ</t>
    </rPh>
    <rPh sb="76" eb="77">
      <t>ヨ</t>
    </rPh>
    <rPh sb="78" eb="79">
      <t>オコナ</t>
    </rPh>
    <rPh sb="82" eb="84">
      <t>ゼンコウ</t>
    </rPh>
    <phoneticPr fontId="1"/>
  </si>
  <si>
    <t>bienfait（善行, 恩恵）</t>
    <rPh sb="9" eb="11">
      <t>ゼンコウ</t>
    </rPh>
    <rPh sb="13" eb="15">
      <t>オンケイ</t>
    </rPh>
    <phoneticPr fontId="1"/>
  </si>
  <si>
    <t>benfet</t>
    <phoneticPr fontId="1"/>
  </si>
  <si>
    <t>benefet
&lt;span class="spacer"&gt;&lt;/span&gt;14世紀後期
良い行為, 親切な行為, 有益なもの
&lt;span class="spacer"&gt;&lt;/span&gt;1500年頃
習慣</t>
    <rPh sb="97" eb="99">
      <t>シュウカン</t>
    </rPh>
    <phoneticPr fontId="1"/>
  </si>
  <si>
    <t>古代ギリシア語</t>
  </si>
  <si>
    <t>thea（光景）+horan（見る）
&lt;span class="spacer"&gt;&lt;/span&gt;theōros（観察者）
&lt;span class="spacer"&gt;&lt;/span&gt;theōrein（考察する, 眺める）
&lt;span class="spacer"&gt;&lt;/span&gt;theōria（思索, 見ること）</t>
    <rPh sb="5" eb="7">
      <t>コウケイ</t>
    </rPh>
    <rPh sb="15" eb="16">
      <t>ミ</t>
    </rPh>
    <rPh sb="55" eb="58">
      <t>カンサツシャ</t>
    </rPh>
    <rPh sb="97" eb="99">
      <t>コウサツ</t>
    </rPh>
    <rPh sb="103" eb="104">
      <t>ナガ</t>
    </rPh>
    <rPh sb="144" eb="146">
      <t>シサク</t>
    </rPh>
    <rPh sb="148" eb="149">
      <t>ミ</t>
    </rPh>
    <phoneticPr fontId="1"/>
  </si>
  <si>
    <t>後期ラテン語</t>
    <phoneticPr fontId="1"/>
  </si>
  <si>
    <t>theoria</t>
    <phoneticPr fontId="1"/>
  </si>
  <si>
    <t>1590年代
構想
&lt;span class="spacer"&gt;&lt;/span&gt;1610年代
科学の原理や方法
科学理論
&lt;span class="spacer"&gt;&lt;/span&gt;1630年代
観察と推論に基づく理解可能な説明
科学に限らず一般的な理論</t>
    <rPh sb="7" eb="9">
      <t>コウソウ</t>
    </rPh>
    <phoneticPr fontId="1"/>
  </si>
  <si>
    <t>ex（外へ）+ire（行く）
exire（外へ行く）</t>
    <rPh sb="3" eb="4">
      <t>ソト</t>
    </rPh>
    <rPh sb="11" eb="12">
      <t>イ</t>
    </rPh>
    <rPh sb="21" eb="22">
      <t>ソト</t>
    </rPh>
    <rPh sb="23" eb="24">
      <t>イ</t>
    </rPh>
    <phoneticPr fontId="1"/>
  </si>
  <si>
    <t>issir（外へ出る）
&lt;span class="spacer"&gt;&lt;/span&gt;issue（出ること, 出口, 最終結果）</t>
    <rPh sb="6" eb="7">
      <t>ソト</t>
    </rPh>
    <rPh sb="8" eb="9">
      <t>デ</t>
    </rPh>
    <rPh sb="46" eb="47">
      <t>デ</t>
    </rPh>
    <rPh sb="52" eb="54">
      <t>デグチ</t>
    </rPh>
    <rPh sb="56" eb="60">
      <t>サイシュウケッカ</t>
    </rPh>
    <phoneticPr fontId="1"/>
  </si>
  <si>
    <t>1300年頃
出口
&lt;span class="spacer"&gt;&lt;/span&gt;14世紀初頭
訴訟における終結点, 争点
&lt;span class="spacer"&gt;&lt;/span&gt;15世紀初頭
二者間の争っている問題</t>
    <rPh sb="4" eb="5">
      <t>ネン</t>
    </rPh>
    <rPh sb="5" eb="6">
      <t>コロ</t>
    </rPh>
    <rPh sb="42" eb="44">
      <t>ショトウ</t>
    </rPh>
    <rPh sb="45" eb="47">
      <t>ソショウ</t>
    </rPh>
    <rPh sb="51" eb="53">
      <t>シュウケツ</t>
    </rPh>
    <rPh sb="53" eb="54">
      <t>テン</t>
    </rPh>
    <rPh sb="56" eb="58">
      <t>ソウテン</t>
    </rPh>
    <phoneticPr fontId="1"/>
  </si>
  <si>
    <t>1833年から
出版物の発行
&lt;span class="spacer"&gt;&lt;/span&gt;1836年
決定されるべき重要な問題</t>
    <rPh sb="4" eb="5">
      <t>ネン</t>
    </rPh>
    <rPh sb="8" eb="11">
      <t>シュッパンブツ</t>
    </rPh>
    <rPh sb="12" eb="14">
      <t>ハッコウ</t>
    </rPh>
    <rPh sb="47" eb="48">
      <t>ネン</t>
    </rPh>
    <rPh sb="49" eb="51">
      <t>ケッテイ</t>
    </rPh>
    <rPh sb="56" eb="58">
      <t>ジュウヨウ</t>
    </rPh>
    <rPh sb="59" eb="61">
      <t>モンダイ</t>
    </rPh>
    <phoneticPr fontId="1"/>
  </si>
  <si>
    <t>ex（外へ）+peritus（試された）
experiri（試験する）
&lt;span class="spacer"&gt;&lt;/span&gt;名詞を作る-mentumが付いて
experimentum（実験, 試み）</t>
    <rPh sb="3" eb="4">
      <t>ソト</t>
    </rPh>
    <rPh sb="15" eb="16">
      <t>タメ</t>
    </rPh>
    <rPh sb="64" eb="66">
      <t>メイシ</t>
    </rPh>
    <rPh sb="67" eb="68">
      <t>ツク</t>
    </rPh>
    <rPh sb="77" eb="78">
      <t>ツ</t>
    </rPh>
    <rPh sb="94" eb="96">
      <t>ジッケン</t>
    </rPh>
    <rPh sb="98" eb="99">
      <t>ココロ</t>
    </rPh>
    <phoneticPr fontId="1"/>
  </si>
  <si>
    <t>esperment（試み）</t>
    <rPh sb="10" eb="11">
      <t>ココロ</t>
    </rPh>
    <phoneticPr fontId="1"/>
  </si>
  <si>
    <t>14世紀半ば
試験, 証拠</t>
    <rPh sb="4" eb="5">
      <t>ナカ</t>
    </rPh>
    <phoneticPr fontId="1"/>
  </si>
  <si>
    <t>article（法律の条項, 部分）</t>
    <rPh sb="8" eb="10">
      <t>ホウリツ</t>
    </rPh>
    <rPh sb="15" eb="17">
      <t>ブブン</t>
    </rPh>
    <phoneticPr fontId="1"/>
  </si>
  <si>
    <t xml:space="preserve">1200年頃
書かれたものの中の個々の部分
</t>
    <rPh sb="4" eb="5">
      <t>ネン</t>
    </rPh>
    <rPh sb="5" eb="6">
      <t>コロ</t>
    </rPh>
    <rPh sb="7" eb="8">
      <t>カ</t>
    </rPh>
    <rPh sb="14" eb="15">
      <t>ナカ</t>
    </rPh>
    <rPh sb="16" eb="18">
      <t>ココ</t>
    </rPh>
    <rPh sb="19" eb="21">
      <t>ブブン</t>
    </rPh>
    <phoneticPr fontId="1"/>
  </si>
  <si>
    <t>1530年代
文法の冠詞
&lt;span class="spacer"&gt;&lt;/span&gt;1712年までに
新聞や雑誌の記事
&lt;span class="spacer"&gt;&lt;/span&gt;1796年までに
品物（もとは盗賊の隠語で、盗んだ物全体のひとつひとつという感じ）</t>
    <rPh sb="4" eb="6">
      <t>ネンダイ</t>
    </rPh>
    <rPh sb="7" eb="9">
      <t>ブンポウ</t>
    </rPh>
    <rPh sb="10" eb="12">
      <t>カンシ</t>
    </rPh>
    <rPh sb="45" eb="46">
      <t>ネン</t>
    </rPh>
    <rPh sb="50" eb="52">
      <t>シンブン</t>
    </rPh>
    <rPh sb="53" eb="55">
      <t>ザッシ</t>
    </rPh>
    <rPh sb="56" eb="58">
      <t>キジ</t>
    </rPh>
    <rPh sb="96" eb="98">
      <t>シナモノ</t>
    </rPh>
    <rPh sb="102" eb="104">
      <t>トウゾク</t>
    </rPh>
    <rPh sb="105" eb="107">
      <t>インゴ</t>
    </rPh>
    <rPh sb="109" eb="110">
      <t>ヌス</t>
    </rPh>
    <rPh sb="112" eb="113">
      <t>モノ</t>
    </rPh>
    <rPh sb="113" eb="115">
      <t>ゼンタイ</t>
    </rPh>
    <rPh sb="125" eb="126">
      <t>カン</t>
    </rPh>
    <phoneticPr fontId="1"/>
  </si>
  <si>
    <t>focus（暖炉）</t>
    <rPh sb="6" eb="8">
      <t>ダンロ</t>
    </rPh>
    <phoneticPr fontId="1"/>
  </si>
  <si>
    <t>focus（火）</t>
    <rPh sb="6" eb="7">
      <t>ヒ</t>
    </rPh>
    <phoneticPr fontId="1"/>
  </si>
  <si>
    <t>近代ラテン語</t>
    <rPh sb="0" eb="2">
      <t>キンダイ</t>
    </rPh>
    <rPh sb="5" eb="6">
      <t>ゴ</t>
    </rPh>
    <phoneticPr fontId="1"/>
  </si>
  <si>
    <t>1604年
ケプラーが数学の収束点という意味で使用
これはレンズの燃焼点との類推による可能性がある</t>
    <rPh sb="4" eb="5">
      <t>ネン</t>
    </rPh>
    <rPh sb="11" eb="13">
      <t>スウガク</t>
    </rPh>
    <rPh sb="14" eb="17">
      <t>シュウソクテン</t>
    </rPh>
    <rPh sb="20" eb="22">
      <t>イミ</t>
    </rPh>
    <rPh sb="23" eb="25">
      <t>シヨウ</t>
    </rPh>
    <rPh sb="33" eb="36">
      <t>ネンショウテン</t>
    </rPh>
    <rPh sb="38" eb="40">
      <t>ルイスイ</t>
    </rPh>
    <rPh sb="43" eb="46">
      <t>カノウセイ</t>
    </rPh>
    <phoneticPr fontId="1"/>
  </si>
  <si>
    <t>1640年代
収束点</t>
    <rPh sb="4" eb="6">
      <t>ネンダイ</t>
    </rPh>
    <rPh sb="7" eb="10">
      <t>シュウソクテン</t>
    </rPh>
    <phoneticPr fontId="1"/>
  </si>
  <si>
    <t>sub（下に）+iacere（投げる）
&lt;span class="spacer"&gt;&lt;/span&gt;subicere（下に投げる, 下に置く）
&lt;span class="spacer"&gt;&lt;/span&gt;過去分詞subiectus（下に置かれた）
&lt;span class="spacer"&gt;&lt;/span&gt;名詞を作る-umが付いて
subjectum（基礎, 命題の主語）</t>
    <rPh sb="4" eb="5">
      <t>シタ</t>
    </rPh>
    <rPh sb="15" eb="16">
      <t>ナ</t>
    </rPh>
    <rPh sb="64" eb="65">
      <t>シタ</t>
    </rPh>
    <rPh sb="66" eb="67">
      <t>オ</t>
    </rPh>
    <rPh sb="98" eb="102">
      <t>カコブンシ</t>
    </rPh>
    <rPh sb="112" eb="113">
      <t>シタ</t>
    </rPh>
    <rPh sb="114" eb="115">
      <t>オ</t>
    </rPh>
    <rPh sb="148" eb="150">
      <t>メイシ</t>
    </rPh>
    <rPh sb="151" eb="152">
      <t>ツク</t>
    </rPh>
    <rPh sb="157" eb="158">
      <t>ツ</t>
    </rPh>
    <rPh sb="171" eb="173">
      <t>キソ</t>
    </rPh>
    <rPh sb="175" eb="177">
      <t>メイダイ</t>
    </rPh>
    <rPh sb="178" eb="180">
      <t>シュゴ</t>
    </rPh>
    <phoneticPr fontId="1"/>
  </si>
  <si>
    <t>1540年代
学芸や学問の主題
&lt;span class="spacer"&gt;&lt;/span&gt;1580年代
文学作品の主題
&lt;span class="spacer"&gt;&lt;/span&gt;1590年代
作用を受ける人または物
&lt;span class="spacer"&gt;&lt;/span&gt;1630年代
文法用語としての主語
&lt;span class="spacer"&gt;&lt;/span&gt;1833年までに
外科治療を受ける人</t>
    <rPh sb="94" eb="96">
      <t>サヨウ</t>
    </rPh>
    <rPh sb="97" eb="98">
      <t>ウ</t>
    </rPh>
    <rPh sb="100" eb="101">
      <t>ヒト</t>
    </rPh>
    <rPh sb="104" eb="105">
      <t>モノ</t>
    </rPh>
    <rPh sb="141" eb="145">
      <t>ブンポウヨウゴ</t>
    </rPh>
    <rPh sb="149" eb="151">
      <t>シュゴ</t>
    </rPh>
    <rPh sb="184" eb="185">
      <t>ネン</t>
    </rPh>
    <phoneticPr fontId="1"/>
  </si>
  <si>
    <t>pro（前へ）+iacere（投げる）
&lt;span class="spacer"&gt;&lt;/span&gt;proicere（前に投げる）
&lt;span class="spacer"&gt;&lt;/span&gt;過去分詞proiectus（投げ出された）
&lt;span class="spacer"&gt;&lt;/span&gt;名詞を作る-umが付いて
proiectum（投げ出されたもの）</t>
    <rPh sb="4" eb="5">
      <t>マエ</t>
    </rPh>
    <rPh sb="15" eb="16">
      <t>ナ</t>
    </rPh>
    <rPh sb="57" eb="58">
      <t>マエ</t>
    </rPh>
    <rPh sb="92" eb="96">
      <t>カコブンシ</t>
    </rPh>
    <rPh sb="142" eb="144">
      <t>メイシ</t>
    </rPh>
    <rPh sb="145" eb="146">
      <t>ツク</t>
    </rPh>
    <rPh sb="151" eb="152">
      <t>ツ</t>
    </rPh>
    <phoneticPr fontId="1"/>
  </si>
  <si>
    <t>projecte
&lt;span class="spacer"&gt;&lt;/span&gt;
1400年頃
計画, 構想</t>
    <rPh sb="42" eb="44">
      <t>ネンゴロ</t>
    </rPh>
    <rPh sb="45" eb="47">
      <t>ケイカク</t>
    </rPh>
    <rPh sb="49" eb="51">
      <t>コウソウ</t>
    </rPh>
    <phoneticPr fontId="1"/>
  </si>
  <si>
    <t>1600年頃
計画, 構想</t>
    <rPh sb="4" eb="6">
      <t>ネンゴロ</t>
    </rPh>
    <rPh sb="7" eb="9">
      <t>ケイカク</t>
    </rPh>
    <rPh sb="11" eb="13">
      <t>コウソウ</t>
    </rPh>
    <phoneticPr fontId="1"/>
  </si>
  <si>
    <t>qualis（どんな種類の）
&lt;span class="spacer"&gt;&lt;/span&gt;名詞を作る-tasが付いて
qualitas（質, 特性）</t>
    <rPh sb="10" eb="12">
      <t>シュルイ</t>
    </rPh>
    <rPh sb="66" eb="67">
      <t>シツ</t>
    </rPh>
    <rPh sb="69" eb="71">
      <t>トクセイ</t>
    </rPh>
    <phoneticPr fontId="1"/>
  </si>
  <si>
    <t>qualite（性質, 本質）</t>
    <rPh sb="8" eb="10">
      <t>セイシツ</t>
    </rPh>
    <rPh sb="12" eb="14">
      <t>ホンシツ</t>
    </rPh>
    <phoneticPr fontId="1"/>
  </si>
  <si>
    <t>qualite
&lt;span class="spacer"&gt;&lt;/span&gt;1300年頃
気質, 性格
&lt;span class="spacer"&gt;&lt;/span&gt;14世紀後期
内在的属性
&lt;span class="spacer"&gt;&lt;/span&gt;1400年頃
社会的地位, 貴族階級</t>
    <rPh sb="40" eb="42">
      <t>ネンコロ</t>
    </rPh>
    <rPh sb="80" eb="82">
      <t>セイキ</t>
    </rPh>
    <rPh sb="82" eb="84">
      <t>コウキ</t>
    </rPh>
    <rPh sb="85" eb="88">
      <t>ナイザイテキ</t>
    </rPh>
    <rPh sb="88" eb="90">
      <t>ゾクセイ</t>
    </rPh>
    <rPh sb="123" eb="124">
      <t>ネン</t>
    </rPh>
    <rPh sb="124" eb="125">
      <t>コロ</t>
    </rPh>
    <rPh sb="126" eb="129">
      <t>シャカイテキ</t>
    </rPh>
    <rPh sb="129" eb="131">
      <t>チイ</t>
    </rPh>
    <rPh sb="133" eb="137">
      <t>キゾクカイキュウ</t>
    </rPh>
    <phoneticPr fontId="1"/>
  </si>
  <si>
    <t>1943年から
quality of life（生活の質）</t>
    <rPh sb="4" eb="5">
      <t>ネン</t>
    </rPh>
    <rPh sb="24" eb="26">
      <t>セイカツ</t>
    </rPh>
    <rPh sb="27" eb="28">
      <t>シツ</t>
    </rPh>
    <phoneticPr fontId="1"/>
  </si>
  <si>
    <t>rotulus（紙や羊皮紙の巻物）</t>
    <phoneticPr fontId="1"/>
  </si>
  <si>
    <t>rolle（巻物, 俳優のセリフが書かれた巻物）</t>
    <rPh sb="6" eb="8">
      <t>マキモノ</t>
    </rPh>
    <rPh sb="10" eb="12">
      <t>ハイユウ</t>
    </rPh>
    <rPh sb="17" eb="18">
      <t>カ</t>
    </rPh>
    <rPh sb="21" eb="23">
      <t>マキモノ</t>
    </rPh>
    <phoneticPr fontId="1"/>
  </si>
  <si>
    <t>rôle（俳優のセリフが書かれた巻物, 人生において人が演じる役割）</t>
    <rPh sb="5" eb="7">
      <t>ハイユウ</t>
    </rPh>
    <rPh sb="12" eb="13">
      <t>カ</t>
    </rPh>
    <rPh sb="16" eb="18">
      <t>マキモノ</t>
    </rPh>
    <rPh sb="20" eb="22">
      <t>ジンセイ</t>
    </rPh>
    <rPh sb="26" eb="27">
      <t>ヒト</t>
    </rPh>
    <rPh sb="28" eb="29">
      <t>エン</t>
    </rPh>
    <rPh sb="31" eb="33">
      <t>ヤクワリ</t>
    </rPh>
    <phoneticPr fontId="1"/>
  </si>
  <si>
    <t>1600年頃
人が引き受ける役割
&lt;span class="spacer"&gt;&lt;/span&gt;1875年までに
ある人物が果たす役割</t>
    <rPh sb="4" eb="6">
      <t>ネンコロ</t>
    </rPh>
    <rPh sb="7" eb="8">
      <t>ヒト</t>
    </rPh>
    <rPh sb="9" eb="10">
      <t>ヒ</t>
    </rPh>
    <rPh sb="11" eb="12">
      <t>ウ</t>
    </rPh>
    <rPh sb="14" eb="16">
      <t>ヤクワリ</t>
    </rPh>
    <rPh sb="49" eb="50">
      <t>ネン</t>
    </rPh>
    <rPh sb="56" eb="58">
      <t>ジンブツ</t>
    </rPh>
    <rPh sb="59" eb="60">
      <t>ハ</t>
    </rPh>
    <rPh sb="62" eb="64">
      <t>ヤクワリ</t>
    </rPh>
    <phoneticPr fontId="1"/>
  </si>
  <si>
    <t>terminus（終わり, 境界線）</t>
    <rPh sb="9" eb="10">
      <t>オ</t>
    </rPh>
    <rPh sb="14" eb="17">
      <t>キョウカイセン</t>
    </rPh>
    <phoneticPr fontId="1"/>
  </si>
  <si>
    <t>terminus（定義）</t>
    <rPh sb="9" eb="11">
      <t>テイギ</t>
    </rPh>
    <phoneticPr fontId="1"/>
  </si>
  <si>
    <t>terme（期間, 定められた時）</t>
    <rPh sb="6" eb="8">
      <t>キカン</t>
    </rPh>
    <rPh sb="10" eb="11">
      <t>サダ</t>
    </rPh>
    <rPh sb="15" eb="16">
      <t>トキ</t>
    </rPh>
    <phoneticPr fontId="1"/>
  </si>
  <si>
    <t>terme
&lt;span class="spacer"&gt;&lt;/span&gt;1200年頃
定められた期間
&lt;span class="spacer"&gt;&lt;/span&gt;1300年頃
ある事柄が行われる一定期間
&lt;span class="spacer"&gt;&lt;/span&gt;14世紀後期
専門用語
&lt;span class="spacer"&gt;&lt;/span&gt;15世紀半ば
学期</t>
    <rPh sb="38" eb="39">
      <t>ネン</t>
    </rPh>
    <rPh sb="39" eb="40">
      <t>コロ</t>
    </rPh>
    <rPh sb="128" eb="130">
      <t>セイキ</t>
    </rPh>
    <rPh sb="130" eb="132">
      <t>コウキ</t>
    </rPh>
    <rPh sb="133" eb="137">
      <t>センモンヨウゴ</t>
    </rPh>
    <rPh sb="170" eb="171">
      <t>ナカ</t>
    </rPh>
    <rPh sb="173" eb="175">
      <t>ガッキ</t>
    </rPh>
    <phoneticPr fontId="1"/>
  </si>
  <si>
    <t>1743年
in terms of（～の観点で）
もとは数学用語</t>
    <rPh sb="4" eb="5">
      <t>ネン</t>
    </rPh>
    <rPh sb="20" eb="22">
      <t>カンテン</t>
    </rPh>
    <rPh sb="28" eb="32">
      <t>スウガクヨウゴ</t>
    </rPh>
    <phoneticPr fontId="1"/>
  </si>
  <si>
    <t>stare（立つ）
&lt;span class="spacer"&gt;&lt;/span&gt;status（立っていること, 位置, 場所）</t>
    <rPh sb="6" eb="7">
      <t>タ</t>
    </rPh>
    <rPh sb="45" eb="46">
      <t>タ</t>
    </rPh>
    <rPh sb="54" eb="56">
      <t>イチ</t>
    </rPh>
    <rPh sb="58" eb="60">
      <t>バショ</t>
    </rPh>
    <phoneticPr fontId="1"/>
  </si>
  <si>
    <t>estat（位置, 身分）</t>
    <rPh sb="10" eb="12">
      <t>ミブン</t>
    </rPh>
    <phoneticPr fontId="1"/>
  </si>
  <si>
    <t>stat
&lt;span class="spacer"&gt;&lt;/span&gt;1200年頃
状況, 社会的地位</t>
    <rPh sb="37" eb="38">
      <t>ネン</t>
    </rPh>
    <rPh sb="38" eb="39">
      <t>コロ</t>
    </rPh>
    <phoneticPr fontId="1"/>
  </si>
  <si>
    <t>1590年代
state（動詞）
位置を定める
&lt;span class="spacer"&gt;&lt;/span&gt;1640年代
言葉を記録上に置く
宣言する, 言葉で書き記す
&lt;span class="spacer"&gt;&lt;/span&gt;1767年から
名詞を作る-mentが付いて
&lt;span class="spacer"&gt;&lt;/span&gt;statement
述べられた事柄
事実や意見の正式な表現
&lt;span class="spacer"&gt;&lt;/span&gt;1885年までに
明細書</t>
    <rPh sb="4" eb="6">
      <t>ネンダイ</t>
    </rPh>
    <rPh sb="13" eb="15">
      <t>ドウシ</t>
    </rPh>
    <rPh sb="17" eb="19">
      <t>イチ</t>
    </rPh>
    <rPh sb="20" eb="21">
      <t>サダ</t>
    </rPh>
    <rPh sb="59" eb="61">
      <t>コトバ</t>
    </rPh>
    <rPh sb="62" eb="65">
      <t>キロクジョウ</t>
    </rPh>
    <rPh sb="66" eb="67">
      <t>オ</t>
    </rPh>
    <rPh sb="69" eb="71">
      <t>センゲン</t>
    </rPh>
    <rPh sb="75" eb="77">
      <t>コトバ</t>
    </rPh>
    <rPh sb="78" eb="79">
      <t>カ</t>
    </rPh>
    <rPh sb="80" eb="81">
      <t>シル</t>
    </rPh>
    <rPh sb="115" eb="116">
      <t>ネン</t>
    </rPh>
    <rPh sb="119" eb="121">
      <t>メイシ</t>
    </rPh>
    <rPh sb="122" eb="123">
      <t>ツク</t>
    </rPh>
    <rPh sb="130" eb="131">
      <t>ツ</t>
    </rPh>
    <rPh sb="224" eb="225">
      <t>ネン</t>
    </rPh>
    <rPh sb="229" eb="232">
      <t>メイサイショ</t>
    </rPh>
    <phoneticPr fontId="1"/>
  </si>
  <si>
    <t>形容詞を作る-alisが付いて
materialis（物質に関する）</t>
    <rPh sb="0" eb="3">
      <t>ケイヨウシ</t>
    </rPh>
    <rPh sb="4" eb="5">
      <t>ツク</t>
    </rPh>
    <rPh sb="12" eb="13">
      <t>ツ</t>
    </rPh>
    <rPh sb="27" eb="29">
      <t>ブッシツ</t>
    </rPh>
    <rPh sb="30" eb="31">
      <t>カン</t>
    </rPh>
    <phoneticPr fontId="1"/>
  </si>
  <si>
    <t>material（物質の）</t>
    <rPh sb="9" eb="11">
      <t>ブッシツ</t>
    </rPh>
    <phoneticPr fontId="1"/>
  </si>
  <si>
    <t>14世紀半ば
物質的な, 現実の
&lt;span class="spacer"&gt;&lt;/span&gt;14世紀後期
物質でできている, 物理的に存在する
&lt;span class="spacer"&gt;&lt;/span&gt;名詞として使われて
物が作られるための構成物質, 素材</t>
    <rPh sb="2" eb="4">
      <t>セイキ</t>
    </rPh>
    <rPh sb="4" eb="5">
      <t>ナカ</t>
    </rPh>
    <rPh sb="7" eb="10">
      <t>ブッシツテキ</t>
    </rPh>
    <rPh sb="13" eb="15">
      <t>ゲンジツ</t>
    </rPh>
    <rPh sb="47" eb="51">
      <t>セイキコウキ</t>
    </rPh>
    <rPh sb="52" eb="54">
      <t>ブッシツ</t>
    </rPh>
    <rPh sb="62" eb="65">
      <t>ブツリテキ</t>
    </rPh>
    <rPh sb="66" eb="68">
      <t>ソンザイ</t>
    </rPh>
    <rPh sb="99" eb="101">
      <t>メイシ</t>
    </rPh>
    <rPh sb="104" eb="105">
      <t>ツカ</t>
    </rPh>
    <rPh sb="109" eb="110">
      <t>モノ</t>
    </rPh>
    <rPh sb="111" eb="112">
      <t>ツク</t>
    </rPh>
    <rPh sb="118" eb="120">
      <t>コウセイ</t>
    </rPh>
    <rPh sb="120" eb="122">
      <t>ブッシツ</t>
    </rPh>
    <rPh sb="124" eb="126">
      <t>ソザイ</t>
    </rPh>
    <phoneticPr fontId="1"/>
  </si>
  <si>
    <t>videre（見る）
&lt;span class="spacer"&gt;&lt;/span&gt;現在分詞videns（見ている, 見ることができる）
&lt;span class="spacer"&gt;&lt;/span&gt;ex（外へ）+videns（見ることができる）
evidens（明白な）</t>
    <rPh sb="7" eb="8">
      <t>ミ</t>
    </rPh>
    <rPh sb="39" eb="43">
      <t>ゲンザイブンシ</t>
    </rPh>
    <rPh sb="50" eb="51">
      <t>ミ</t>
    </rPh>
    <rPh sb="56" eb="57">
      <t>ミ</t>
    </rPh>
    <rPh sb="97" eb="98">
      <t>ソト</t>
    </rPh>
    <rPh sb="108" eb="109">
      <t>ミ</t>
    </rPh>
    <rPh sb="126" eb="128">
      <t>メイハク</t>
    </rPh>
    <phoneticPr fontId="1"/>
  </si>
  <si>
    <t>evidentia（明らかであること, 証拠）</t>
    <rPh sb="10" eb="11">
      <t>アキ</t>
    </rPh>
    <rPh sb="20" eb="22">
      <t>ショウコ</t>
    </rPh>
    <phoneticPr fontId="1"/>
  </si>
  <si>
    <t>1300年頃
何かを示す外見的な兆候
&lt;span class="spacer"&gt;&lt;/span&gt;14世紀後期
信念の根拠
&lt;span class="spacer"&gt;&lt;/span&gt;1500年頃
法律用語で証拠</t>
    <rPh sb="4" eb="6">
      <t>ネンコロ</t>
    </rPh>
    <rPh sb="7" eb="8">
      <t>ナニ</t>
    </rPh>
    <rPh sb="10" eb="11">
      <t>シメ</t>
    </rPh>
    <rPh sb="12" eb="14">
      <t>ガイケン</t>
    </rPh>
    <rPh sb="14" eb="15">
      <t>テキ</t>
    </rPh>
    <rPh sb="16" eb="18">
      <t>チョウコウ</t>
    </rPh>
    <phoneticPr fontId="1"/>
  </si>
  <si>
    <t>regere（まっすぐ導く）
&lt;span class="spacer"&gt;&lt;/span&gt;sub（下から上に）+regere（まっすぐ導く）
surgere（立ち上がる）</t>
    <rPh sb="47" eb="48">
      <t>シタ</t>
    </rPh>
    <rPh sb="50" eb="51">
      <t>ウエ</t>
    </rPh>
    <rPh sb="65" eb="66">
      <t>ミチビ</t>
    </rPh>
    <rPh sb="77" eb="78">
      <t>タ</t>
    </rPh>
    <rPh sb="79" eb="80">
      <t>ア</t>
    </rPh>
    <phoneticPr fontId="1"/>
  </si>
  <si>
    <t>動詞sourdre（立ち上がる）
&lt;span class="spacer"&gt;&lt;/span&gt;12世紀
名詞sourse（湧き出るもの, 川の源）</t>
    <rPh sb="0" eb="2">
      <t>ドウシ</t>
    </rPh>
    <rPh sb="47" eb="49">
      <t>セイキ</t>
    </rPh>
    <rPh sb="50" eb="52">
      <t>メイシ</t>
    </rPh>
    <rPh sb="67" eb="68">
      <t>カワ</t>
    </rPh>
    <rPh sb="69" eb="70">
      <t>ミナモト</t>
    </rPh>
    <phoneticPr fontId="1"/>
  </si>
  <si>
    <t>14世紀半ば
川の源, 起点
&lt;span class="spacer"&gt;&lt;/span&gt;14世紀後期
起源
&lt;span class="spacer"&gt;&lt;/span&gt;1777年
情報源</t>
    <rPh sb="7" eb="8">
      <t>ガワ</t>
    </rPh>
    <rPh sb="9" eb="10">
      <t>ミナモト</t>
    </rPh>
    <rPh sb="12" eb="14">
      <t>キテン</t>
    </rPh>
    <rPh sb="85" eb="86">
      <t>ネン</t>
    </rPh>
    <rPh sb="87" eb="90">
      <t>ジョウホウゲン</t>
    </rPh>
    <phoneticPr fontId="1"/>
  </si>
  <si>
    <t>communitas（具体的に人々の社会, 地域の集団, 分けられた人々の集まり）</t>
    <phoneticPr fontId="1"/>
  </si>
  <si>
    <t>comunité（共同体）</t>
    <phoneticPr fontId="1"/>
  </si>
  <si>
    <t>14世紀後期
同じ地域に住む人々による集団
&lt;span class="spacer"&gt;&lt;/span&gt;1400年頃
共通の関心や職業を持つ人々の社会</t>
    <rPh sb="4" eb="6">
      <t>コウキ</t>
    </rPh>
    <rPh sb="7" eb="8">
      <t>オナ</t>
    </rPh>
    <rPh sb="9" eb="11">
      <t>チイキ</t>
    </rPh>
    <rPh sb="12" eb="13">
      <t>ス</t>
    </rPh>
    <rPh sb="14" eb="16">
      <t>ヒトビト</t>
    </rPh>
    <rPh sb="19" eb="21">
      <t>シュウダン</t>
    </rPh>
    <rPh sb="54" eb="55">
      <t>ネン</t>
    </rPh>
    <rPh sb="55" eb="56">
      <t>コロ</t>
    </rPh>
    <phoneticPr fontId="1"/>
  </si>
  <si>
    <t>ギリシャ語</t>
    <rPh sb="4" eb="5">
      <t>ゴ</t>
    </rPh>
    <phoneticPr fontId="1"/>
  </si>
  <si>
    <t>tekhnē（技能, 技術）+logia（学問, 論）
tekhnologia（芸術や技術に関する体系的論述）</t>
    <rPh sb="46" eb="47">
      <t>カン</t>
    </rPh>
    <phoneticPr fontId="1"/>
  </si>
  <si>
    <t>1610年代
芸術や技術に関する論述
&lt;span class="spacer"&gt;&lt;/span&gt;1859年
機械的, 工業的技術の学問分野</t>
    <rPh sb="4" eb="6">
      <t>ネンダイ</t>
    </rPh>
    <rPh sb="51" eb="52">
      <t>ネン</t>
    </rPh>
    <rPh sb="53" eb="56">
      <t>キカイテキ</t>
    </rPh>
    <rPh sb="58" eb="61">
      <t>コウギョウテキ</t>
    </rPh>
    <rPh sb="61" eb="63">
      <t>ギジュツ</t>
    </rPh>
    <rPh sb="64" eb="66">
      <t>ガクモン</t>
    </rPh>
    <rPh sb="66" eb="68">
      <t>ブンヤ</t>
    </rPh>
    <phoneticPr fontId="1"/>
  </si>
  <si>
    <t>colere（耕す）
&lt;span class="spacer"&gt;&lt;/span&gt;名詞を作る-uraが付いて
cultura（耕作, 農業）</t>
    <rPh sb="7" eb="8">
      <t>タガヤ</t>
    </rPh>
    <rPh sb="39" eb="41">
      <t>メイシ</t>
    </rPh>
    <rPh sb="42" eb="43">
      <t>ツク</t>
    </rPh>
    <rPh sb="49" eb="50">
      <t>ツ</t>
    </rPh>
    <rPh sb="65" eb="67">
      <t>ノウギョウ</t>
    </rPh>
    <phoneticPr fontId="1"/>
  </si>
  <si>
    <t>15世紀半ば
土地の耕作</t>
    <rPh sb="4" eb="5">
      <t>ナカ</t>
    </rPh>
    <rPh sb="7" eb="9">
      <t>トチ</t>
    </rPh>
    <rPh sb="10" eb="12">
      <t>コウサク</t>
    </rPh>
    <phoneticPr fontId="1"/>
  </si>
  <si>
    <t>1620年代
作物の栽培や育成
&lt;span class="spacer"&gt;&lt;/span&gt;1805年までに
文明の知的側面, 教養
&lt;span class="spacer"&gt;&lt;/span&gt;1867年までに
特定の集団の文化</t>
    <rPh sb="4" eb="6">
      <t>ネンダイ</t>
    </rPh>
    <rPh sb="7" eb="9">
      <t>サクモツ</t>
    </rPh>
    <rPh sb="10" eb="12">
      <t>サイバイ</t>
    </rPh>
    <rPh sb="13" eb="15">
      <t>イクセイ</t>
    </rPh>
    <rPh sb="48" eb="49">
      <t>ネン</t>
    </rPh>
    <rPh sb="53" eb="55">
      <t>ブンメイ</t>
    </rPh>
    <rPh sb="56" eb="60">
      <t>チテキソクメン</t>
    </rPh>
    <rPh sb="62" eb="64">
      <t>キョウヨウ</t>
    </rPh>
    <rPh sb="102" eb="104">
      <t>トクテイ</t>
    </rPh>
    <rPh sb="105" eb="107">
      <t>シュウダン</t>
    </rPh>
    <rPh sb="108" eb="110">
      <t>ブンカ</t>
    </rPh>
    <phoneticPr fontId="1"/>
  </si>
  <si>
    <t>pro（～のために）+privus（自分の）
proprius（自分自身のための）</t>
    <rPh sb="18" eb="20">
      <t>ジブン</t>
    </rPh>
    <phoneticPr fontId="1"/>
  </si>
  <si>
    <t>propriare（自分のものとする）
&lt;span class="spacer"&gt;&lt;/span&gt;ad（～へ）+propriare（自分のものとする）
appropriare（自分のものとする）
&lt;span class="spacer"&gt;&lt;/span&gt;過去分詞appropriatus（自分のものとされた）</t>
    <rPh sb="10" eb="12">
      <t>ジブン</t>
    </rPh>
    <phoneticPr fontId="1"/>
  </si>
  <si>
    <t>appropriat
&lt;span class="spacer"&gt;&lt;/span&gt;15世紀初頭
特に適した, ふさわしい</t>
    <rPh sb="43" eb="45">
      <t>ショトウ</t>
    </rPh>
    <rPh sb="46" eb="47">
      <t>トク</t>
    </rPh>
    <rPh sb="48" eb="49">
      <t>テキ</t>
    </rPh>
    <phoneticPr fontId="1"/>
  </si>
  <si>
    <t>1300年頃
真実または事実のような
ありそうな
&lt;span class="spacer"&gt;&lt;/span&gt;14世紀後期
ありそうな, 可能性がある</t>
    <rPh sb="4" eb="6">
      <t>ネンコロ</t>
    </rPh>
    <rPh sb="7" eb="9">
      <t>シンジツ</t>
    </rPh>
    <rPh sb="12" eb="14">
      <t>ジジツ</t>
    </rPh>
    <rPh sb="55" eb="57">
      <t>セイキ</t>
    </rPh>
    <rPh sb="57" eb="59">
      <t>コウキ</t>
    </rPh>
    <phoneticPr fontId="1"/>
  </si>
  <si>
    <t>possible（可能な）</t>
    <rPh sb="9" eb="11">
      <t>カノウ</t>
    </rPh>
    <phoneticPr fontId="1"/>
  </si>
  <si>
    <t>14世紀半ば
起こりうる
実行可能な</t>
    <rPh sb="2" eb="4">
      <t>セイキ</t>
    </rPh>
    <rPh sb="4" eb="5">
      <t>ナカ</t>
    </rPh>
    <rPh sb="7" eb="8">
      <t>オ</t>
    </rPh>
    <rPh sb="13" eb="15">
      <t>ジッコウ</t>
    </rPh>
    <rPh sb="15" eb="17">
      <t>カノウ</t>
    </rPh>
    <phoneticPr fontId="1"/>
  </si>
  <si>
    <t>dis（離れて）+videre（分ける）
dividere（引き離す）
&lt;span class="spacer"&gt;&lt;/span&gt;形容詞を作る-uusが付いて
dividuus（分けられる）
&lt;span class="spacer"&gt;&lt;/span&gt;否定のinが付いて
individuus（分割できない）</t>
    <rPh sb="4" eb="5">
      <t>ハナ</t>
    </rPh>
    <rPh sb="16" eb="17">
      <t>ワ</t>
    </rPh>
    <rPh sb="30" eb="31">
      <t>ヒ</t>
    </rPh>
    <rPh sb="32" eb="33">
      <t>ハナ</t>
    </rPh>
    <rPh sb="88" eb="89">
      <t>ワ</t>
    </rPh>
    <rPh sb="123" eb="125">
      <t>ヒテイ</t>
    </rPh>
    <rPh sb="144" eb="146">
      <t>ブンカツ</t>
    </rPh>
    <phoneticPr fontId="1"/>
  </si>
  <si>
    <t>形容詞を作る-alisが付いて
individualis（不可分の, 個として存在する）</t>
    <phoneticPr fontId="1"/>
  </si>
  <si>
    <t>15世紀初頭
キリスト教的な意味で使用</t>
    <rPh sb="2" eb="4">
      <t>セイキ</t>
    </rPh>
    <rPh sb="4" eb="6">
      <t>ショトウ</t>
    </rPh>
    <rPh sb="11" eb="12">
      <t>キョウ</t>
    </rPh>
    <rPh sb="12" eb="13">
      <t>テキ</t>
    </rPh>
    <rPh sb="14" eb="16">
      <t>イミ</t>
    </rPh>
    <rPh sb="17" eb="19">
      <t>シヨウ</t>
    </rPh>
    <phoneticPr fontId="1"/>
  </si>
  <si>
    <t>1610年代
個別の
&lt;span class="spacer"&gt;&lt;/span&gt;1889年から
個人向けの</t>
    <rPh sb="4" eb="6">
      <t>ネンダイ</t>
    </rPh>
    <rPh sb="7" eb="9">
      <t>コベツ</t>
    </rPh>
    <rPh sb="43" eb="44">
      <t>ネン</t>
    </rPh>
    <rPh sb="47" eb="50">
      <t>コジンム</t>
    </rPh>
    <phoneticPr fontId="1"/>
  </si>
  <si>
    <t>public（公の）</t>
    <rPh sb="7" eb="8">
      <t>オオヤケ</t>
    </rPh>
    <phoneticPr fontId="1"/>
  </si>
  <si>
    <t>publike
&lt;span class="spacer"&gt;&lt;/span&gt;14世紀後半
一般に開かれた
&lt;span class="spacer"&gt;&lt;/span&gt;15世紀初頭
民衆全体の</t>
    <rPh sb="38" eb="40">
      <t>セイキ</t>
    </rPh>
    <rPh sb="40" eb="42">
      <t>コウハン</t>
    </rPh>
    <rPh sb="43" eb="45">
      <t>イッパン</t>
    </rPh>
    <rPh sb="46" eb="47">
      <t>ヒラ</t>
    </rPh>
    <rPh sb="83" eb="85">
      <t>ショトウ</t>
    </rPh>
    <rPh sb="86" eb="88">
      <t>ミンシュウ</t>
    </rPh>
    <rPh sb="88" eb="90">
      <t>ゼンタイ</t>
    </rPh>
    <phoneticPr fontId="1"/>
  </si>
  <si>
    <t>1540年代
公の, 公衆の, 公開の</t>
    <rPh sb="4" eb="6">
      <t>ネンダイ</t>
    </rPh>
    <rPh sb="7" eb="8">
      <t>オオヤケ</t>
    </rPh>
    <rPh sb="11" eb="13">
      <t>コウシュウ</t>
    </rPh>
    <rPh sb="16" eb="18">
      <t>コウカイ</t>
    </rPh>
    <phoneticPr fontId="1"/>
  </si>
  <si>
    <t>com（共に）+munis（義務）
communis（義務を共有する, 共通の）</t>
    <rPh sb="4" eb="5">
      <t>トモ</t>
    </rPh>
    <rPh sb="14" eb="16">
      <t>ギム</t>
    </rPh>
    <rPh sb="27" eb="29">
      <t>ギム</t>
    </rPh>
    <rPh sb="30" eb="32">
      <t>キョウユウ</t>
    </rPh>
    <phoneticPr fontId="1"/>
  </si>
  <si>
    <t>comun（公の, 共通の, 一般の）</t>
    <rPh sb="6" eb="7">
      <t>オオヤケ</t>
    </rPh>
    <phoneticPr fontId="1"/>
  </si>
  <si>
    <t>14世紀後期
普通の, ありふれた, 公の</t>
    <rPh sb="2" eb="4">
      <t>セイキ</t>
    </rPh>
    <rPh sb="4" eb="6">
      <t>コウキ</t>
    </rPh>
    <rPh sb="7" eb="9">
      <t>フツウ</t>
    </rPh>
    <rPh sb="19" eb="20">
      <t>オオヤケ</t>
    </rPh>
    <phoneticPr fontId="1"/>
  </si>
  <si>
    <t>*certanus</t>
    <phoneticPr fontId="1"/>
  </si>
  <si>
    <t>certain（確かな）</t>
    <rPh sb="8" eb="9">
      <t>タシ</t>
    </rPh>
    <phoneticPr fontId="1"/>
  </si>
  <si>
    <t>1300年頃
決定された, 固定された
&lt;span class="spacer"&gt;&lt;/span&gt;14世紀初頭
for certain（確かに）
&lt;span class="spacer"&gt;&lt;/span&gt;14世紀半ば
自分の知識や判断に自信がある
ある事柄について確信している
&lt;span class="spacer"&gt;&lt;/span&gt;14世紀後半
事実は確定しているが相手は知らない
ある～</t>
    <rPh sb="4" eb="6">
      <t>ネンゴロ</t>
    </rPh>
    <rPh sb="7" eb="9">
      <t>ケッテイ</t>
    </rPh>
    <rPh sb="50" eb="52">
      <t>セイキ</t>
    </rPh>
    <rPh sb="52" eb="54">
      <t>ショトウ</t>
    </rPh>
    <rPh sb="67" eb="68">
      <t>タシ</t>
    </rPh>
    <rPh sb="102" eb="104">
      <t>セイキ</t>
    </rPh>
    <rPh sb="104" eb="105">
      <t>ナカ</t>
    </rPh>
    <rPh sb="169" eb="171">
      <t>コウハン</t>
    </rPh>
    <rPh sb="172" eb="174">
      <t>ジジツ</t>
    </rPh>
    <rPh sb="175" eb="177">
      <t>カクテイ</t>
    </rPh>
    <rPh sb="182" eb="184">
      <t>アイテ</t>
    </rPh>
    <rPh sb="185" eb="186">
      <t>シ</t>
    </rPh>
    <phoneticPr fontId="1"/>
  </si>
  <si>
    <t>古ラテン語</t>
    <phoneticPr fontId="1"/>
  </si>
  <si>
    <t>semol（共に, 一緒に）</t>
    <rPh sb="6" eb="7">
      <t>トモ</t>
    </rPh>
    <rPh sb="10" eb="12">
      <t>イッショ</t>
    </rPh>
    <phoneticPr fontId="1"/>
  </si>
  <si>
    <t>形容詞を作る-ilisが付いて
similis（似ている）</t>
    <rPh sb="24" eb="25">
      <t>ニ</t>
    </rPh>
    <phoneticPr fontId="1"/>
  </si>
  <si>
    <t>similis の拡張形</t>
    <phoneticPr fontId="1"/>
  </si>
  <si>
    <t>similaire</t>
    <phoneticPr fontId="1"/>
  </si>
  <si>
    <t>1560年代
similary
&lt;span class="spacer"&gt;&lt;/span&gt;1610年代
similar（共通の特徴を持つ）</t>
    <rPh sb="4" eb="6">
      <t>ネンダイ</t>
    </rPh>
    <rPh sb="48" eb="50">
      <t>ネンダイ</t>
    </rPh>
    <rPh sb="59" eb="61">
      <t>キョウツウ</t>
    </rPh>
    <rPh sb="62" eb="64">
      <t>トクチョウ</t>
    </rPh>
    <rPh sb="65" eb="66">
      <t>モ</t>
    </rPh>
    <phoneticPr fontId="1"/>
  </si>
  <si>
    <t>recentem（最近行われた, 起源が新しい）</t>
    <rPh sb="9" eb="11">
      <t>サイキン</t>
    </rPh>
    <rPh sb="11" eb="12">
      <t>オコナ</t>
    </rPh>
    <rPh sb="17" eb="19">
      <t>キゲン</t>
    </rPh>
    <rPh sb="20" eb="21">
      <t>アタラ</t>
    </rPh>
    <phoneticPr fontId="1"/>
  </si>
  <si>
    <t>15世紀初頭
最近作られた
食物などが新鮮な</t>
    <rPh sb="7" eb="9">
      <t>サイキン</t>
    </rPh>
    <rPh sb="9" eb="10">
      <t>ツク</t>
    </rPh>
    <rPh sb="14" eb="16">
      <t>ショクモツ</t>
    </rPh>
    <rPh sb="19" eb="21">
      <t>シンセン</t>
    </rPh>
    <phoneticPr fontId="1"/>
  </si>
  <si>
    <t>1620年代
最近の</t>
    <rPh sb="4" eb="6">
      <t>ネンダイ</t>
    </rPh>
    <rPh sb="7" eb="9">
      <t>サイキン</t>
    </rPh>
    <phoneticPr fontId="1"/>
  </si>
  <si>
    <t>*meg-（大きい, 偉大な）</t>
    <rPh sb="6" eb="7">
      <t>オオ</t>
    </rPh>
    <rPh sb="11" eb="13">
      <t>イダイ</t>
    </rPh>
    <phoneticPr fontId="1"/>
  </si>
  <si>
    <t>magnus（大きい, 偉大な）
&lt;span class="spacer"&gt;&lt;/span&gt;比較級の-iorが付いて
maior（より大きい, より重要な）</t>
    <rPh sb="7" eb="8">
      <t>オオ</t>
    </rPh>
    <rPh sb="12" eb="14">
      <t>イダイ</t>
    </rPh>
    <rPh sb="45" eb="48">
      <t>ヒカクキュウ</t>
    </rPh>
    <rPh sb="54" eb="55">
      <t>ツ</t>
    </rPh>
    <rPh sb="66" eb="67">
      <t>オオ</t>
    </rPh>
    <rPh sb="73" eb="75">
      <t>ジュウヨウ</t>
    </rPh>
    <phoneticPr fontId="1"/>
  </si>
  <si>
    <t>majour
&lt;span class="spacer"&gt;&lt;/span&gt;1300年頃
より大きい, より重要な, 主要な</t>
    <rPh sb="39" eb="41">
      <t>ネンコロ</t>
    </rPh>
    <rPh sb="44" eb="45">
      <t>オオ</t>
    </rPh>
    <rPh sb="51" eb="53">
      <t>ジュウヨウ</t>
    </rPh>
    <rPh sb="56" eb="58">
      <t>シュヨウ</t>
    </rPh>
    <phoneticPr fontId="1"/>
  </si>
  <si>
    <t>pati（受ける, 耐える）
&lt;span class="spacer"&gt;&lt;/span&gt;現在分詞patientem（耐えている）</t>
    <rPh sb="43" eb="47">
      <t>ゲンザイブンシ</t>
    </rPh>
    <rPh sb="57" eb="58">
      <t>タ</t>
    </rPh>
    <phoneticPr fontId="1"/>
  </si>
  <si>
    <t>pacient</t>
    <phoneticPr fontId="1"/>
  </si>
  <si>
    <t>paciente
&lt;span class="spacer"&gt;&lt;/span&gt;14世紀半ば
苦難・苦痛などを不平なく耐えることができる</t>
    <rPh sb="39" eb="41">
      <t>セイキ</t>
    </rPh>
    <rPh sb="41" eb="42">
      <t>ナカ</t>
    </rPh>
    <phoneticPr fontId="1"/>
  </si>
  <si>
    <t>pars（部分）
&lt;span class="spacer"&gt;&lt;/span&gt;小さいこと表す-culaが付いて
particula（小さな部分）</t>
    <rPh sb="5" eb="7">
      <t>ブブン</t>
    </rPh>
    <rPh sb="37" eb="38">
      <t>チイ</t>
    </rPh>
    <rPh sb="42" eb="43">
      <t>アラワ</t>
    </rPh>
    <rPh sb="50" eb="51">
      <t>ツ</t>
    </rPh>
    <rPh sb="64" eb="65">
      <t>チイ</t>
    </rPh>
    <rPh sb="67" eb="69">
      <t>ブブン</t>
    </rPh>
    <phoneticPr fontId="1"/>
  </si>
  <si>
    <t>形容詞を作る-arisが付いて
particularis（小さな部分に関する）</t>
    <rPh sb="0" eb="3">
      <t>ケイヨウシ</t>
    </rPh>
    <rPh sb="4" eb="5">
      <t>ツク</t>
    </rPh>
    <rPh sb="12" eb="13">
      <t>ツ</t>
    </rPh>
    <rPh sb="29" eb="30">
      <t>チイ</t>
    </rPh>
    <rPh sb="35" eb="36">
      <t>カン</t>
    </rPh>
    <phoneticPr fontId="1"/>
  </si>
  <si>
    <t>particuler</t>
    <phoneticPr fontId="1"/>
  </si>
  <si>
    <t>particular
&lt;span class="spacer"&gt;&lt;/span&gt;14世紀後期
全体ではなく、あるものに関する
&lt;span class="spacer"&gt;&lt;/span&gt;15世紀後期
特有の</t>
    <rPh sb="41" eb="43">
      <t>セイキ</t>
    </rPh>
    <rPh sb="43" eb="45">
      <t>コウキ</t>
    </rPh>
    <rPh sb="46" eb="48">
      <t>ゼンタイ</t>
    </rPh>
    <rPh sb="97" eb="99">
      <t>トクユウ</t>
    </rPh>
    <phoneticPr fontId="1"/>
  </si>
  <si>
    <t>1814年
細部にこだわる</t>
    <rPh sb="4" eb="5">
      <t>ネン</t>
    </rPh>
    <rPh sb="6" eb="8">
      <t>サイブ</t>
    </rPh>
    <phoneticPr fontId="1"/>
  </si>
  <si>
    <t>physikē（知としての自然）</t>
    <rPh sb="8" eb="9">
      <t>チ</t>
    </rPh>
    <phoneticPr fontId="1"/>
  </si>
  <si>
    <t>physica（自然の研究）
&lt;span class="spacer"&gt;&lt;/span&gt;ここで言われる自然は、森や川などではなく、けがをしたときに「自然に」治る、生物は「自然に」成長するという意味での自然。存在するもの自体に備わっている自然の力。</t>
    <rPh sb="8" eb="10">
      <t>シゼン</t>
    </rPh>
    <rPh sb="11" eb="13">
      <t>ケンキュウ</t>
    </rPh>
    <rPh sb="46" eb="47">
      <t>イ</t>
    </rPh>
    <rPh sb="50" eb="52">
      <t>シゼン</t>
    </rPh>
    <rPh sb="54" eb="55">
      <t>モリ</t>
    </rPh>
    <rPh sb="56" eb="57">
      <t>カワ</t>
    </rPh>
    <rPh sb="73" eb="75">
      <t>シゼン</t>
    </rPh>
    <rPh sb="77" eb="78">
      <t>ナオ</t>
    </rPh>
    <rPh sb="80" eb="82">
      <t>セイブツ</t>
    </rPh>
    <rPh sb="84" eb="86">
      <t>シゼン</t>
    </rPh>
    <rPh sb="88" eb="90">
      <t>セイチョウ</t>
    </rPh>
    <rPh sb="95" eb="97">
      <t>イミ</t>
    </rPh>
    <rPh sb="99" eb="101">
      <t>シゼン</t>
    </rPh>
    <rPh sb="102" eb="104">
      <t>ソンザイ</t>
    </rPh>
    <rPh sb="108" eb="110">
      <t>ジタイ</t>
    </rPh>
    <rPh sb="111" eb="112">
      <t>ソナ</t>
    </rPh>
    <rPh sb="117" eb="119">
      <t>シゼン</t>
    </rPh>
    <rPh sb="120" eb="121">
      <t>チカラ</t>
    </rPh>
    <phoneticPr fontId="1"/>
  </si>
  <si>
    <t>形容詞を作る-alisが付いて
physicalis（自然に関する）</t>
    <rPh sb="27" eb="29">
      <t>シゼン</t>
    </rPh>
    <rPh sb="30" eb="31">
      <t>カン</t>
    </rPh>
    <phoneticPr fontId="1"/>
  </si>
  <si>
    <t>phisical
&lt;span class="spacer"&gt;&lt;/span&gt;15世紀初頭
外科的に対し、内科的, 薬学的な治療に関する</t>
    <rPh sb="39" eb="41">
      <t>セイキ</t>
    </rPh>
    <rPh sb="41" eb="43">
      <t>ショトウ</t>
    </rPh>
    <rPh sb="44" eb="47">
      <t>ゲカテキ</t>
    </rPh>
    <rPh sb="48" eb="49">
      <t>タイ</t>
    </rPh>
    <rPh sb="51" eb="53">
      <t>ナイカ</t>
    </rPh>
    <rPh sb="53" eb="54">
      <t>テキ</t>
    </rPh>
    <rPh sb="56" eb="59">
      <t>ヤクガクテキ</t>
    </rPh>
    <rPh sb="60" eb="62">
      <t>チリョウ</t>
    </rPh>
    <rPh sb="63" eb="64">
      <t>カン</t>
    </rPh>
    <phoneticPr fontId="1"/>
  </si>
  <si>
    <t>1590年代
感覚によって知覚されるものに関する
物質の
&lt;span class="spacer"&gt;&lt;/span&gt;1780年代
身体の</t>
    <rPh sb="4" eb="6">
      <t>ネンダイ</t>
    </rPh>
    <rPh sb="61" eb="63">
      <t>ネンダイ</t>
    </rPh>
    <rPh sb="64" eb="66">
      <t>シンタイ</t>
    </rPh>
    <phoneticPr fontId="1"/>
  </si>
  <si>
    <t>varius（変化する, 多様な）</t>
    <rPh sb="7" eb="9">
      <t>ヘンカ</t>
    </rPh>
    <rPh sb="13" eb="15">
      <t>タヨウ</t>
    </rPh>
    <phoneticPr fontId="1"/>
  </si>
  <si>
    <t>various
&lt;span class="spacer"&gt;&lt;/span&gt;15世紀初頭
さまざまな種類の</t>
    <rPh sb="38" eb="40">
      <t>セイキ</t>
    </rPh>
    <rPh sb="40" eb="42">
      <t>ショトウ</t>
    </rPh>
    <rPh sb="48" eb="50">
      <t>シュルイ</t>
    </rPh>
    <phoneticPr fontId="1"/>
  </si>
  <si>
    <t>1630年代
特徴に多様性がある</t>
    <rPh sb="4" eb="6">
      <t>ネンダイ</t>
    </rPh>
    <phoneticPr fontId="1"/>
  </si>
  <si>
    <t>avail（有益である）+able（できる）
&lt;span class="spacer"&gt;&lt;/span&gt;15世紀半ば
有益な, 有効な</t>
    <rPh sb="6" eb="8">
      <t>ユウエキ</t>
    </rPh>
    <rPh sb="53" eb="55">
      <t>セイキ</t>
    </rPh>
    <rPh sb="55" eb="56">
      <t>ナカ</t>
    </rPh>
    <rPh sb="58" eb="60">
      <t>ユウエキ</t>
    </rPh>
    <rPh sb="63" eb="65">
      <t>ユウコウ</t>
    </rPh>
    <phoneticPr fontId="1"/>
  </si>
  <si>
    <t>1827年から
利用可能な</t>
    <rPh sb="4" eb="5">
      <t>ネン</t>
    </rPh>
    <phoneticPr fontId="1"/>
  </si>
  <si>
    <t>印欧祖語</t>
    <phoneticPr fontId="1"/>
  </si>
  <si>
    <t>*gene-（産む, 生み出す）</t>
    <rPh sb="7" eb="8">
      <t>ウ</t>
    </rPh>
    <rPh sb="11" eb="12">
      <t>ウ</t>
    </rPh>
    <rPh sb="13" eb="14">
      <t>ダ</t>
    </rPh>
    <phoneticPr fontId="1"/>
  </si>
  <si>
    <t>gnasci（生まれる）</t>
    <rPh sb="7" eb="8">
      <t>ウ</t>
    </rPh>
    <phoneticPr fontId="1"/>
  </si>
  <si>
    <t>natif（生まれた土地の）</t>
    <rPh sb="6" eb="7">
      <t>ウ</t>
    </rPh>
    <rPh sb="10" eb="12">
      <t>トチ</t>
    </rPh>
    <phoneticPr fontId="1"/>
  </si>
  <si>
    <t>natif
&lt;span class="spacer"&gt;&lt;/span&gt;14世紀後期
生まれつきの
&lt;span class="spacer"&gt;&lt;/span&gt;15世紀初頭
その土地で生まれた, 出生地の
その土地に固有の, 原産の</t>
    <rPh sb="36" eb="38">
      <t>セイキ</t>
    </rPh>
    <rPh sb="38" eb="40">
      <t>コウキ</t>
    </rPh>
    <rPh sb="41" eb="42">
      <t>ウ</t>
    </rPh>
    <rPh sb="80" eb="82">
      <t>ショトウ</t>
    </rPh>
    <rPh sb="85" eb="87">
      <t>トチ</t>
    </rPh>
    <rPh sb="88" eb="89">
      <t>ウ</t>
    </rPh>
    <rPh sb="94" eb="97">
      <t>シュッショウチ</t>
    </rPh>
    <rPh sb="101" eb="103">
      <t>トチ</t>
    </rPh>
    <rPh sb="104" eb="106">
      <t>コユウ</t>
    </rPh>
    <rPh sb="109" eb="111">
      <t>ゲンサン</t>
    </rPh>
    <phoneticPr fontId="1"/>
  </si>
  <si>
    <t>politicus（市民の, 国家の）</t>
    <rPh sb="10" eb="12">
      <t>シミン</t>
    </rPh>
    <rPh sb="15" eb="17">
      <t>コッカ</t>
    </rPh>
    <phoneticPr fontId="1"/>
  </si>
  <si>
    <t>politique（国家に関する, 政治の）</t>
    <phoneticPr fontId="1"/>
  </si>
  <si>
    <t>politike
&lt;span class="spacer"&gt;&lt;/span&gt;15世紀初頭
国家や人民の統治に関する</t>
    <rPh sb="41" eb="43">
      <t>ショトウ</t>
    </rPh>
    <phoneticPr fontId="1"/>
  </si>
  <si>
    <t>*sta-（立つ, 固定する）</t>
    <rPh sb="6" eb="7">
      <t>タ</t>
    </rPh>
    <rPh sb="10" eb="12">
      <t>コテイ</t>
    </rPh>
    <phoneticPr fontId="1"/>
  </si>
  <si>
    <t>*sta-（立つ, 固定する）</t>
  </si>
  <si>
    <t>dē（離れて）+habēre（持つ）
dēbēre（誰かから何かを引き離して持っている, 借りている, 義務がある）</t>
    <rPh sb="3" eb="4">
      <t>ハナ</t>
    </rPh>
    <rPh sb="15" eb="16">
      <t>モ</t>
    </rPh>
    <rPh sb="26" eb="27">
      <t>ダレ</t>
    </rPh>
    <rPh sb="30" eb="31">
      <t>ナニ</t>
    </rPh>
    <rPh sb="33" eb="34">
      <t>ヒ</t>
    </rPh>
    <rPh sb="35" eb="36">
      <t>ハナ</t>
    </rPh>
    <rPh sb="38" eb="39">
      <t>モ</t>
    </rPh>
    <rPh sb="45" eb="46">
      <t>カ</t>
    </rPh>
    <rPh sb="52" eb="54">
      <t>ギム</t>
    </rPh>
    <phoneticPr fontId="1"/>
  </si>
  <si>
    <t>devoir（支払う義務がある, 負っている）
&lt;span class="spacer"&gt;&lt;/span&gt;過去分詞deu（負っている）</t>
    <rPh sb="17" eb="18">
      <t>オ</t>
    </rPh>
    <rPh sb="52" eb="56">
      <t>カコブンシ</t>
    </rPh>
    <rPh sb="60" eb="61">
      <t>オ</t>
    </rPh>
    <phoneticPr fontId="1"/>
  </si>
  <si>
    <t>14世後期
負っている, 支払うべき
&lt;span class="spacer"&gt;&lt;/span&gt;in due time（定められた時に）</t>
    <rPh sb="2" eb="3">
      <t>セイ</t>
    </rPh>
    <rPh sb="3" eb="5">
      <t>コウキ</t>
    </rPh>
    <rPh sb="6" eb="7">
      <t>オ</t>
    </rPh>
    <rPh sb="13" eb="15">
      <t>シハラ</t>
    </rPh>
    <phoneticPr fontId="1"/>
  </si>
  <si>
    <t>15世紀初頭
形容詞句due to（～のために）
&lt;span class="spacer"&gt;&lt;/span&gt;1833年までに
予期されるべきもの, 当然期待されるもの
&lt;span class="spacer"&gt;&lt;/span&gt;1897年までに
前置詞句due to（～のために）</t>
    <rPh sb="2" eb="4">
      <t>セイキ</t>
    </rPh>
    <rPh sb="4" eb="6">
      <t>ショトウ</t>
    </rPh>
    <rPh sb="57" eb="58">
      <t>ネン</t>
    </rPh>
    <rPh sb="120" eb="124">
      <t>ゼンチシク</t>
    </rPh>
    <phoneticPr fontId="1"/>
  </si>
  <si>
    <t>フランク語</t>
  </si>
  <si>
    <t>*blank（白い, 輝く）</t>
    <rPh sb="7" eb="8">
      <t>シロ</t>
    </rPh>
    <rPh sb="11" eb="12">
      <t>カガヤ</t>
    </rPh>
    <phoneticPr fontId="1"/>
  </si>
  <si>
    <t>blanc（白い, 輝く）</t>
    <rPh sb="6" eb="7">
      <t>シロ</t>
    </rPh>
    <rPh sb="10" eb="11">
      <t>カガヤ</t>
    </rPh>
    <phoneticPr fontId="1"/>
  </si>
  <si>
    <t>13世初頭
白い, 無色の
&lt;span class="spacer"&gt;&lt;/span&gt;1400年頃
空白のある, 何も書かれていない</t>
    <rPh sb="2" eb="3">
      <t>セイ</t>
    </rPh>
    <rPh sb="3" eb="5">
      <t>ショトウ</t>
    </rPh>
    <rPh sb="6" eb="7">
      <t>シロ</t>
    </rPh>
    <rPh sb="10" eb="12">
      <t>ムショク</t>
    </rPh>
    <rPh sb="46" eb="48">
      <t>ネンコロ</t>
    </rPh>
    <rPh sb="49" eb="51">
      <t>クウハク</t>
    </rPh>
    <rPh sb="56" eb="57">
      <t>ナニ</t>
    </rPh>
    <rPh sb="58" eb="59">
      <t>カ</t>
    </rPh>
    <phoneticPr fontId="1"/>
  </si>
  <si>
    <t>1550年代
表情のない, 虚ろな</t>
    <rPh sb="4" eb="6">
      <t>ネンダイ</t>
    </rPh>
    <rPh sb="7" eb="9">
      <t>ヒョウジョウ</t>
    </rPh>
    <rPh sb="14" eb="15">
      <t>ウツ</t>
    </rPh>
    <phoneticPr fontId="1"/>
  </si>
  <si>
    <t>ante（前に）</t>
    <rPh sb="5" eb="6">
      <t>マエ</t>
    </rPh>
    <phoneticPr fontId="1"/>
  </si>
  <si>
    <t>*anteanus（前からの, 以前からの）</t>
    <rPh sb="10" eb="11">
      <t>マエ</t>
    </rPh>
    <rPh sb="16" eb="18">
      <t>イゼン</t>
    </rPh>
    <phoneticPr fontId="1"/>
  </si>
  <si>
    <t>ancien（古い, 古代の）</t>
    <rPh sb="7" eb="8">
      <t>フル</t>
    </rPh>
    <rPh sb="11" eb="13">
      <t>コダイ</t>
    </rPh>
    <phoneticPr fontId="1"/>
  </si>
  <si>
    <t>auncyen
&lt;span class="spacer"&gt;&lt;/span&gt;14世紀後期
年老いた（人に対して）
&lt;span class="spacer"&gt;&lt;/span&gt;1400年頃
遠い過去から続いている（物に対して）</t>
    <rPh sb="43" eb="45">
      <t>トシオ</t>
    </rPh>
    <rPh sb="48" eb="49">
      <t>ヒト</t>
    </rPh>
    <rPh sb="50" eb="51">
      <t>タイ</t>
    </rPh>
    <rPh sb="87" eb="89">
      <t>ネンコロ</t>
    </rPh>
    <phoneticPr fontId="1"/>
  </si>
  <si>
    <t>com（強意）+regere（まっすぐ導く）
corrigere（まっすぐにする）
&lt;span class="spacer"&gt;&lt;/span&gt;過去分詞correctus（正された, 正確な）</t>
    <rPh sb="4" eb="6">
      <t>キョウイ</t>
    </rPh>
    <rPh sb="19" eb="20">
      <t>ミチビ</t>
    </rPh>
    <rPh sb="84" eb="85">
      <t>タダ</t>
    </rPh>
    <rPh sb="90" eb="92">
      <t>セイカク</t>
    </rPh>
    <phoneticPr fontId="1"/>
  </si>
  <si>
    <t>correct（正しい）</t>
    <rPh sb="8" eb="9">
      <t>タダ</t>
    </rPh>
    <phoneticPr fontId="1"/>
  </si>
  <si>
    <t>1670年代
基準に沿っている
正確な, 正しい</t>
    <rPh sb="4" eb="6">
      <t>ネンダイ</t>
    </rPh>
    <rPh sb="7" eb="9">
      <t>キジュン</t>
    </rPh>
    <rPh sb="10" eb="11">
      <t>ソ</t>
    </rPh>
    <rPh sb="16" eb="18">
      <t>セイカク</t>
    </rPh>
    <rPh sb="21" eb="22">
      <t>タダ</t>
    </rPh>
    <phoneticPr fontId="1"/>
  </si>
  <si>
    <t>de（下へ）+specere（見る）
dēspicere（見下ろす, 軽蔑する）
&lt;span class="spacer"&gt;&lt;/span&gt;過去分詞dēspectus（見下すこと, 軽蔑）</t>
    <rPh sb="3" eb="4">
      <t>シタ</t>
    </rPh>
    <rPh sb="15" eb="16">
      <t>ミ</t>
    </rPh>
    <rPh sb="29" eb="31">
      <t>ミオ</t>
    </rPh>
    <rPh sb="35" eb="37">
      <t>ケイベツ</t>
    </rPh>
    <rPh sb="83" eb="85">
      <t>ミクダ</t>
    </rPh>
    <rPh sb="90" eb="92">
      <t>ケイベツ</t>
    </rPh>
    <phoneticPr fontId="1"/>
  </si>
  <si>
    <t>despit
&lt;span class="spacer"&gt;&lt;/span&gt;14世紀
軽蔑</t>
    <rPh sb="37" eb="39">
      <t>セイキ</t>
    </rPh>
    <rPh sb="40" eb="42">
      <t>ケイベツ</t>
    </rPh>
    <phoneticPr fontId="1"/>
  </si>
  <si>
    <t>despit
&lt;span class="spacer"&gt;&lt;/span&gt;1300年頃
相手を辱めたり屈辱を与える行為
&lt;span class="spacer"&gt;&lt;/span&gt;in despite of ~（～を軽蔑して）</t>
    <rPh sb="104" eb="106">
      <t>ケイベツ</t>
    </rPh>
    <phoneticPr fontId="1"/>
  </si>
  <si>
    <t>in despite ofが1語に短縮されて
despite
&lt;span class="spacer"&gt;&lt;/span&gt;15世紀初頭
～にもかかわらず</t>
    <rPh sb="15" eb="16">
      <t>ゴ</t>
    </rPh>
    <rPh sb="17" eb="19">
      <t>タンシュク</t>
    </rPh>
    <rPh sb="61" eb="65">
      <t>セイキショトウ</t>
    </rPh>
    <phoneticPr fontId="1"/>
  </si>
  <si>
    <t>*gno-（知る）</t>
    <rPh sb="6" eb="7">
      <t>シ</t>
    </rPh>
    <phoneticPr fontId="1"/>
  </si>
  <si>
    <t>(g)nōscere（知るようになる, 認識する）
&lt;span class="spacer"&gt;&lt;/span&gt;過去分詞nōtus（知られていること）</t>
    <rPh sb="11" eb="12">
      <t>シ</t>
    </rPh>
    <rPh sb="64" eb="65">
      <t>シ</t>
    </rPh>
    <phoneticPr fontId="1"/>
  </si>
  <si>
    <t>notece
&lt;span class="spacer"&gt;&lt;/span&gt;14世紀
知識, 情報</t>
    <rPh sb="37" eb="39">
      <t>セイキ</t>
    </rPh>
    <rPh sb="40" eb="42">
      <t>チシキ</t>
    </rPh>
    <rPh sb="44" eb="46">
      <t>ジョウホウ</t>
    </rPh>
    <phoneticPr fontId="1"/>
  </si>
  <si>
    <t>15世紀半ば
審議や判断のために権限ある者に付託する
&lt;span class="spacer"&gt;&lt;/span&gt;1600年頃
情報を得るために（人を）書物などに向ける
参照する</t>
    <rPh sb="59" eb="61">
      <t>ネンコロ</t>
    </rPh>
    <phoneticPr fontId="1"/>
  </si>
  <si>
    <t>ad（～へ）+propiare（より近づく）
appropiare（近づく）</t>
    <rPh sb="18" eb="19">
      <t>チカ</t>
    </rPh>
    <rPh sb="34" eb="35">
      <t>チカ</t>
    </rPh>
    <phoneticPr fontId="1"/>
  </si>
  <si>
    <t>aprochier
&lt;span class="spacer"&gt;&lt;/span&gt;12世紀
近づく</t>
    <rPh sb="40" eb="42">
      <t>セイキ</t>
    </rPh>
    <rPh sb="43" eb="44">
      <t>チカ</t>
    </rPh>
    <phoneticPr fontId="1"/>
  </si>
  <si>
    <t>approcher</t>
    <phoneticPr fontId="1"/>
  </si>
  <si>
    <t>1300年頃
近づく（空間的に）
&lt;span class="spacer"&gt;&lt;/span&gt;14世紀後期
近づく（時間的, 性質的に）</t>
    <rPh sb="4" eb="6">
      <t>ネンコロ</t>
    </rPh>
    <rPh sb="7" eb="8">
      <t>チカ</t>
    </rPh>
    <rPh sb="11" eb="14">
      <t>クウカンテキ</t>
    </rPh>
    <rPh sb="52" eb="53">
      <t>チカ</t>
    </rPh>
    <rPh sb="56" eb="59">
      <t>ジカンテキ</t>
    </rPh>
    <rPh sb="61" eb="64">
      <t>セイシツテキ</t>
    </rPh>
    <phoneticPr fontId="1"/>
  </si>
  <si>
    <t>wundrian（驚く, 不思議に思う）</t>
    <rPh sb="9" eb="10">
      <t>オドロ</t>
    </rPh>
    <rPh sb="13" eb="16">
      <t>フシギ</t>
    </rPh>
    <rPh sb="17" eb="18">
      <t>オモ</t>
    </rPh>
    <phoneticPr fontId="1"/>
  </si>
  <si>
    <t>wondren（驚く, 不思議に思う）</t>
    <phoneticPr fontId="1"/>
  </si>
  <si>
    <t>imāgināre（イメージを作る）</t>
    <rPh sb="15" eb="16">
      <t>ツク</t>
    </rPh>
    <phoneticPr fontId="1"/>
  </si>
  <si>
    <t>imaginer
&lt;span class="spacer"&gt;&lt;/span&gt;13世紀
彫刻する, 描く, 装飾する</t>
    <rPh sb="39" eb="41">
      <t>セイキ</t>
    </rPh>
    <rPh sb="42" eb="44">
      <t>チョウコク</t>
    </rPh>
    <rPh sb="48" eb="49">
      <t>エガ</t>
    </rPh>
    <rPh sb="52" eb="54">
      <t>ソウショク</t>
    </rPh>
    <phoneticPr fontId="1"/>
  </si>
  <si>
    <t>14世紀半ば
想像する
&lt;span class="spacer"&gt;&lt;/span&gt;14世紀後期
推測する</t>
    <rPh sb="4" eb="5">
      <t>ナカ</t>
    </rPh>
    <rPh sb="7" eb="9">
      <t>ソウゾウ</t>
    </rPh>
    <rPh sb="47" eb="49">
      <t>スイソク</t>
    </rPh>
    <phoneticPr fontId="1"/>
  </si>
  <si>
    <t>reconoistre（再び知る, 見分ける, 識別する）</t>
    <rPh sb="12" eb="13">
      <t>フタタ</t>
    </rPh>
    <rPh sb="14" eb="15">
      <t>シ</t>
    </rPh>
    <rPh sb="18" eb="20">
      <t>ミワ</t>
    </rPh>
    <rPh sb="24" eb="26">
      <t>シキベツ</t>
    </rPh>
    <phoneticPr fontId="1"/>
  </si>
  <si>
    <t>recognisen
&lt;span class="spacer"&gt;&lt;/span&gt;1530年代
再び知る
以前に知ったものと同一だと知覚する
既知のものと認識する</t>
    <rPh sb="43" eb="45">
      <t>ネンダイ</t>
    </rPh>
    <rPh sb="46" eb="47">
      <t>フタタ</t>
    </rPh>
    <rPh sb="48" eb="49">
      <t>シ</t>
    </rPh>
    <rPh sb="51" eb="53">
      <t>イゼン</t>
    </rPh>
    <rPh sb="54" eb="55">
      <t>シ</t>
    </rPh>
    <rPh sb="60" eb="62">
      <t>ドウイツ</t>
    </rPh>
    <rPh sb="64" eb="66">
      <t>チカク</t>
    </rPh>
    <rPh sb="69" eb="71">
      <t>キチ</t>
    </rPh>
    <rPh sb="75" eb="77">
      <t>ニンシキ</t>
    </rPh>
    <phoneticPr fontId="1"/>
  </si>
  <si>
    <t>solvere（ゆるめる, ほどく, 解放する）</t>
    <rPh sb="19" eb="21">
      <t>カイホウ</t>
    </rPh>
    <phoneticPr fontId="1"/>
  </si>
  <si>
    <t>solven
&lt;span class="spacer"&gt;&lt;/span&gt;14世紀後期
ゆるめる, 解散させる</t>
    <rPh sb="37" eb="39">
      <t>セイキ</t>
    </rPh>
    <rPh sb="39" eb="41">
      <t>コウキ</t>
    </rPh>
    <rPh sb="48" eb="50">
      <t>カイサン</t>
    </rPh>
    <phoneticPr fontId="1"/>
  </si>
  <si>
    <t>1530年代
解明する, 明らかにする
&lt;span class="spacer"&gt;&lt;/span&gt;1737年までに
問題の答えを出す, 解を導く</t>
    <rPh sb="7" eb="9">
      <t>カイメイ</t>
    </rPh>
    <rPh sb="13" eb="14">
      <t>アキ</t>
    </rPh>
    <rPh sb="52" eb="53">
      <t>ネン</t>
    </rPh>
    <rPh sb="57" eb="59">
      <t>モンダイ</t>
    </rPh>
    <rPh sb="60" eb="61">
      <t>コタ</t>
    </rPh>
    <rPh sb="63" eb="64">
      <t>ダ</t>
    </rPh>
    <rPh sb="67" eb="68">
      <t>カイ</t>
    </rPh>
    <rPh sb="69" eb="70">
      <t>ミチビ</t>
    </rPh>
    <phoneticPr fontId="1"/>
  </si>
  <si>
    <t>ob（～に対して）+currere（走る）
occurrere（走ってぶつかる, 出会う, 起こる, 現れる）</t>
    <rPh sb="5" eb="6">
      <t>タイ</t>
    </rPh>
    <rPh sb="18" eb="19">
      <t>ハシ</t>
    </rPh>
    <rPh sb="32" eb="33">
      <t>ハシ</t>
    </rPh>
    <rPh sb="41" eb="43">
      <t>デア</t>
    </rPh>
    <rPh sb="46" eb="47">
      <t>オ</t>
    </rPh>
    <rPh sb="51" eb="52">
      <t>アラワ</t>
    </rPh>
    <phoneticPr fontId="1"/>
  </si>
  <si>
    <t>occurrer（予期せず起こる, 不意に生じる）</t>
    <rPh sb="9" eb="11">
      <t>ヨキ</t>
    </rPh>
    <rPh sb="13" eb="14">
      <t>オ</t>
    </rPh>
    <rPh sb="18" eb="20">
      <t>フイ</t>
    </rPh>
    <rPh sb="21" eb="22">
      <t>ショウ</t>
    </rPh>
    <phoneticPr fontId="1"/>
  </si>
  <si>
    <t>1520年代
出会う
出来事が降りかかる
現れる, 起こる
&lt;span class="spacer"&gt;&lt;/span&gt;1620年代
考えが心に浮かぶ</t>
    <rPh sb="7" eb="9">
      <t>デア</t>
    </rPh>
    <rPh sb="11" eb="14">
      <t>デキゴト</t>
    </rPh>
    <rPh sb="15" eb="16">
      <t>フ</t>
    </rPh>
    <rPh sb="21" eb="22">
      <t>アラワ</t>
    </rPh>
    <rPh sb="26" eb="27">
      <t>オ</t>
    </rPh>
    <rPh sb="62" eb="64">
      <t>ネンダイ</t>
    </rPh>
    <rPh sb="65" eb="66">
      <t>カンガ</t>
    </rPh>
    <rPh sb="68" eb="69">
      <t>ココロ</t>
    </rPh>
    <rPh sb="70" eb="71">
      <t>ウ</t>
    </rPh>
    <phoneticPr fontId="1"/>
  </si>
  <si>
    <t>arguere（明らかにする, 証明する）
&lt;span class="spacer"&gt;&lt;/span&gt;反復形になって
argutare（ぺちゃくちゃしゃべる）</t>
    <rPh sb="50" eb="52">
      <t>ハンプク</t>
    </rPh>
    <rPh sb="52" eb="53">
      <t>カタチ</t>
    </rPh>
    <phoneticPr fontId="1"/>
  </si>
  <si>
    <t>arguere（議論する）</t>
    <rPh sb="8" eb="10">
      <t>ギロン</t>
    </rPh>
    <phoneticPr fontId="1"/>
  </si>
  <si>
    <t>arguer（意見や見解を主張する）</t>
    <rPh sb="7" eb="9">
      <t>イケン</t>
    </rPh>
    <rPh sb="10" eb="12">
      <t>ケンカイ</t>
    </rPh>
    <rPh sb="13" eb="15">
      <t>シュチョウ</t>
    </rPh>
    <phoneticPr fontId="1"/>
  </si>
  <si>
    <t>1300年頃
理由をもって述べる
&lt;span class="spacer"&gt;&lt;/span&gt;14世紀後期
議論で争う</t>
    <rPh sb="4" eb="6">
      <t>ネンコロ</t>
    </rPh>
    <rPh sb="47" eb="49">
      <t>セイキ</t>
    </rPh>
    <rPh sb="49" eb="51">
      <t>コウキ</t>
    </rPh>
    <phoneticPr fontId="1"/>
  </si>
  <si>
    <t>clamare（叫ぶ）</t>
    <phoneticPr fontId="1"/>
  </si>
  <si>
    <t>clamer（呼ぶ, 要求する）</t>
    <rPh sb="7" eb="8">
      <t>ヨ</t>
    </rPh>
    <rPh sb="11" eb="13">
      <t>ヨウキュウ</t>
    </rPh>
    <phoneticPr fontId="1"/>
  </si>
  <si>
    <t>1300年頃
呼ぶ, 声に出して要求する
権利に基づいて要求する</t>
    <rPh sb="4" eb="6">
      <t>ネンコロ</t>
    </rPh>
    <rPh sb="7" eb="8">
      <t>ヨ</t>
    </rPh>
    <rPh sb="11" eb="12">
      <t>コエ</t>
    </rPh>
    <rPh sb="13" eb="14">
      <t>ダ</t>
    </rPh>
    <rPh sb="16" eb="18">
      <t>ヨウキュウ</t>
    </rPh>
    <rPh sb="21" eb="23">
      <t>ケンリ</t>
    </rPh>
    <rPh sb="24" eb="25">
      <t>モト</t>
    </rPh>
    <rPh sb="28" eb="30">
      <t>ヨウキュウ</t>
    </rPh>
    <phoneticPr fontId="1"/>
  </si>
  <si>
    <t>1864年から
真実であるとして主張する
意見や信念を断言する</t>
    <rPh sb="4" eb="5">
      <t>ネン</t>
    </rPh>
    <phoneticPr fontId="1"/>
  </si>
  <si>
    <t>ex（外に）+premere（押す）
exprimere（外へ押す, 押し出す, 表す）</t>
    <rPh sb="3" eb="4">
      <t>ソト</t>
    </rPh>
    <rPh sb="15" eb="16">
      <t>オ</t>
    </rPh>
    <rPh sb="29" eb="30">
      <t>ソト</t>
    </rPh>
    <rPh sb="31" eb="32">
      <t>オ</t>
    </rPh>
    <rPh sb="35" eb="36">
      <t>オ</t>
    </rPh>
    <rPh sb="37" eb="38">
      <t>ダ</t>
    </rPh>
    <rPh sb="41" eb="42">
      <t>アラワ</t>
    </rPh>
    <phoneticPr fontId="1"/>
  </si>
  <si>
    <t>exprimere
&lt;span class="spacer"&gt;&lt;/span&gt;反復形
expressare（表現する）</t>
    <rPh sb="38" eb="41">
      <t>ハンプクケイ</t>
    </rPh>
    <rPh sb="53" eb="55">
      <t>ヒョウゲン</t>
    </rPh>
    <phoneticPr fontId="1"/>
  </si>
  <si>
    <t>expresser（押す, 心中を語る）</t>
    <rPh sb="10" eb="11">
      <t>オ</t>
    </rPh>
    <rPh sb="14" eb="16">
      <t>シンチュウ</t>
    </rPh>
    <rPh sb="17" eb="18">
      <t>カタ</t>
    </rPh>
    <phoneticPr fontId="1"/>
  </si>
  <si>
    <t>14世紀後期
視覚芸術で表現する
言葉で表す</t>
    <rPh sb="2" eb="4">
      <t>セイキ</t>
    </rPh>
    <rPh sb="4" eb="6">
      <t>コウキ</t>
    </rPh>
    <rPh sb="7" eb="9">
      <t>シカク</t>
    </rPh>
    <rPh sb="9" eb="11">
      <t>ゲイジュツ</t>
    </rPh>
    <rPh sb="12" eb="14">
      <t>ヒョウゲン</t>
    </rPh>
    <rPh sb="17" eb="19">
      <t>コトバ</t>
    </rPh>
    <rPh sb="20" eb="21">
      <t>アラワ</t>
    </rPh>
    <phoneticPr fontId="1"/>
  </si>
  <si>
    <t>dragan（引きずる, 引く）</t>
    <phoneticPr fontId="1"/>
  </si>
  <si>
    <t>drauen
&lt;span class="spacer"&gt;&lt;/span&gt;12世紀後期
武器を引き抜く
&lt;span class="spacer"&gt;&lt;/span&gt;1200年頃
引くことによって動かす
線や図形を描く</t>
    <rPh sb="37" eb="39">
      <t>セイキ</t>
    </rPh>
    <rPh sb="39" eb="41">
      <t>コウキ</t>
    </rPh>
    <rPh sb="42" eb="44">
      <t>ブキ</t>
    </rPh>
    <rPh sb="45" eb="46">
      <t>ヒ</t>
    </rPh>
    <rPh sb="47" eb="48">
      <t>ヌ</t>
    </rPh>
    <rPh sb="97" eb="98">
      <t>セン</t>
    </rPh>
    <rPh sb="99" eb="101">
      <t>ズケイ</t>
    </rPh>
    <rPh sb="102" eb="103">
      <t>エガ</t>
    </rPh>
    <phoneticPr fontId="1"/>
  </si>
  <si>
    <t>1772年までに
カードを引く
&lt;span class="spacer"&gt;&lt;/span&gt;1793年までに
限界を設ける</t>
    <rPh sb="4" eb="5">
      <t>ネン</t>
    </rPh>
    <rPh sb="13" eb="14">
      <t>ヒ</t>
    </rPh>
    <rPh sb="48" eb="49">
      <t>ネン</t>
    </rPh>
    <rPh sb="53" eb="55">
      <t>ゲンカイ</t>
    </rPh>
    <rPh sb="56" eb="57">
      <t>モウ</t>
    </rPh>
    <phoneticPr fontId="1"/>
  </si>
  <si>
    <t>gaster</t>
    <phoneticPr fontId="1"/>
  </si>
  <si>
    <t>アングロ・フランス語</t>
    <phoneticPr fontId="1"/>
  </si>
  <si>
    <t>waster（浪費する, 荒らす）</t>
    <rPh sb="7" eb="9">
      <t>ロウヒ</t>
    </rPh>
    <rPh sb="13" eb="14">
      <t>ア</t>
    </rPh>
    <phoneticPr fontId="1"/>
  </si>
  <si>
    <t>wasten
&lt;span class="spacer"&gt;&lt;/span&gt;1200年頃
荒廃させる
&lt;span class="spacer"&gt;&lt;/span&gt;1300年頃
徐々に消耗する
&lt;span class="spacer"&gt;&lt;/span&gt;14世紀半ば
浪費する, 無駄に使う</t>
    <rPh sb="83" eb="85">
      <t>ジョジョ</t>
    </rPh>
    <rPh sb="86" eb="88">
      <t>ショウモウ</t>
    </rPh>
    <rPh sb="121" eb="123">
      <t>セイキ</t>
    </rPh>
    <rPh sb="123" eb="124">
      <t>ナカ</t>
    </rPh>
    <rPh sb="132" eb="134">
      <t>ムダ</t>
    </rPh>
    <rPh sb="135" eb="136">
      <t>ツカ</t>
    </rPh>
    <phoneticPr fontId="1"/>
  </si>
  <si>
    <t>後期ラテン語</t>
    <rPh sb="0" eb="2">
      <t>コウキ</t>
    </rPh>
    <rPh sb="5" eb="6">
      <t>ゴ</t>
    </rPh>
    <phoneticPr fontId="1"/>
  </si>
  <si>
    <t>ab（〜から）+ante（前方に）
abante（～から前方に）</t>
    <rPh sb="28" eb="29">
      <t>マエ</t>
    </rPh>
    <phoneticPr fontId="1"/>
  </si>
  <si>
    <t>*abanteare（前に進める）</t>
    <rPh sb="11" eb="12">
      <t>マエ</t>
    </rPh>
    <rPh sb="13" eb="14">
      <t>スス</t>
    </rPh>
    <phoneticPr fontId="1"/>
  </si>
  <si>
    <t>avancir（前に進む）</t>
    <rPh sb="8" eb="9">
      <t>マエ</t>
    </rPh>
    <rPh sb="10" eb="11">
      <t>スス</t>
    </rPh>
    <phoneticPr fontId="1"/>
  </si>
  <si>
    <t>avauncen
&lt;span class="spacer"&gt;&lt;/span&gt;13世紀半ば
発展させる
&lt;span class="spacer"&gt;&lt;/span&gt;14世紀半ば
前に進む</t>
    <rPh sb="39" eb="41">
      <t>セイキ</t>
    </rPh>
    <rPh sb="41" eb="42">
      <t>ナカ</t>
    </rPh>
    <rPh sb="44" eb="46">
      <t>ハッテン</t>
    </rPh>
    <rPh sb="80" eb="82">
      <t>セイキ</t>
    </rPh>
    <rPh sb="82" eb="83">
      <t>ナカ</t>
    </rPh>
    <rPh sb="85" eb="86">
      <t>マエ</t>
    </rPh>
    <rPh sb="87" eb="88">
      <t>スス</t>
    </rPh>
    <phoneticPr fontId="1"/>
  </si>
  <si>
    <t>1843年から
in advance（前もって）</t>
    <rPh sb="4" eb="5">
      <t>ネン</t>
    </rPh>
    <rPh sb="19" eb="20">
      <t>マエ</t>
    </rPh>
    <phoneticPr fontId="1"/>
  </si>
  <si>
    <t>*sper-（まき散らす）</t>
    <rPh sb="9" eb="10">
      <t>チ</t>
    </rPh>
    <phoneticPr fontId="1"/>
  </si>
  <si>
    <t>*sprædan（広げる）</t>
    <rPh sb="9" eb="10">
      <t>ヒロ</t>
    </rPh>
    <phoneticPr fontId="1"/>
  </si>
  <si>
    <t>spreden
&lt;span class="spacer"&gt;&lt;/span&gt;12世紀後期
服や動物の皮などを広げる
&lt;span class="spacer"&gt;&lt;/span&gt;13世紀半ば
物をまき散らす
&lt;span class="spacer"&gt;&lt;/span&gt;14世紀半ば
広がる
&lt;span class="spacer"&gt;&lt;/span&gt;14世紀後期
何かを広げる</t>
    <rPh sb="38" eb="40">
      <t>セイキ</t>
    </rPh>
    <rPh sb="40" eb="42">
      <t>コウキ</t>
    </rPh>
    <rPh sb="43" eb="44">
      <t>フク</t>
    </rPh>
    <rPh sb="45" eb="47">
      <t>ドウブツ</t>
    </rPh>
    <rPh sb="48" eb="49">
      <t>カワ</t>
    </rPh>
    <rPh sb="86" eb="88">
      <t>セイキ</t>
    </rPh>
    <rPh sb="88" eb="89">
      <t>ナカ</t>
    </rPh>
    <rPh sb="91" eb="92">
      <t>モノ</t>
    </rPh>
    <rPh sb="95" eb="96">
      <t>チ</t>
    </rPh>
    <rPh sb="129" eb="131">
      <t>セイキ</t>
    </rPh>
    <rPh sb="131" eb="132">
      <t>ナカ</t>
    </rPh>
    <rPh sb="170" eb="172">
      <t>コウキ</t>
    </rPh>
    <rPh sb="173" eb="174">
      <t>ナニ</t>
    </rPh>
    <rPh sb="176" eb="177">
      <t>ヒロ</t>
    </rPh>
    <phoneticPr fontId="1"/>
  </si>
  <si>
    <t>prae（前に）+parare（整える, 用意する）
praeparare（前もって準備する）</t>
    <phoneticPr fontId="1"/>
  </si>
  <si>
    <t>preparer（準備する）</t>
    <rPh sb="9" eb="11">
      <t>ジュンビ</t>
    </rPh>
    <phoneticPr fontId="1"/>
  </si>
  <si>
    <t>15世紀半ば
特定の目的のために準備する
&lt;span class="spacer"&gt;&lt;/span&gt;1520年代
心の準備をする
&lt;span class="spacer"&gt;&lt;/span&gt;1530年代
何かを調達する
&lt;span class="spacer"&gt;&lt;/span&gt;15世紀後期
食事を準備する</t>
    <rPh sb="2" eb="4">
      <t>セイキ</t>
    </rPh>
    <rPh sb="4" eb="5">
      <t>ナカ</t>
    </rPh>
    <rPh sb="7" eb="9">
      <t>トクテイ</t>
    </rPh>
    <rPh sb="10" eb="12">
      <t>モクテキ</t>
    </rPh>
    <rPh sb="16" eb="18">
      <t>ジュンビ</t>
    </rPh>
    <rPh sb="53" eb="55">
      <t>ネンダイ</t>
    </rPh>
    <rPh sb="56" eb="57">
      <t>ココロ</t>
    </rPh>
    <rPh sb="58" eb="60">
      <t>ジュンビ</t>
    </rPh>
    <rPh sb="137" eb="139">
      <t>セイキ</t>
    </rPh>
    <rPh sb="139" eb="141">
      <t>コウキ</t>
    </rPh>
    <rPh sb="142" eb="144">
      <t>ショクジ</t>
    </rPh>
    <rPh sb="145" eb="147">
      <t>ジュンビ</t>
    </rPh>
    <phoneticPr fontId="1"/>
  </si>
  <si>
    <t>*waidanjan（狩る, 採集する）</t>
    <phoneticPr fontId="1"/>
  </si>
  <si>
    <t>gaaignier（稼ぐ, 獲得する）</t>
    <rPh sb="10" eb="11">
      <t>カセ</t>
    </rPh>
    <rPh sb="14" eb="16">
      <t>カクトク</t>
    </rPh>
    <phoneticPr fontId="1"/>
  </si>
  <si>
    <t>caput（頭, 先端）</t>
    <phoneticPr fontId="1"/>
  </si>
  <si>
    <t>ad（～へ）+caput（頭）+venir（来る）</t>
    <rPh sb="13" eb="14">
      <t>アタマ</t>
    </rPh>
    <rPh sb="22" eb="23">
      <t>ク</t>
    </rPh>
    <phoneticPr fontId="1"/>
  </si>
  <si>
    <t>*accapare（到達する, 完了する）</t>
    <rPh sb="10" eb="12">
      <t>トウタツ</t>
    </rPh>
    <rPh sb="16" eb="18">
      <t>カンリョウ</t>
    </rPh>
    <phoneticPr fontId="1"/>
  </si>
  <si>
    <t>à chef venir（完了して）
&lt;span class="spacer"&gt;&lt;/span&gt;achever（終える, 達成する）</t>
    <rPh sb="13" eb="15">
      <t>カンリョウ</t>
    </rPh>
    <rPh sb="55" eb="56">
      <t>オ</t>
    </rPh>
    <rPh sb="60" eb="62">
      <t>タッセイ</t>
    </rPh>
    <phoneticPr fontId="1"/>
  </si>
  <si>
    <t>acheven
&lt;span class="spacer"&gt;&lt;/span&gt;14世紀初頭
成し遂げる
&lt;span class="spacer"&gt;&lt;/span&gt;14世紀後期
努力の結果として得る</t>
    <rPh sb="38" eb="40">
      <t>セイキ</t>
    </rPh>
    <rPh sb="40" eb="42">
      <t>ショトウ</t>
    </rPh>
    <rPh sb="43" eb="44">
      <t>ナ</t>
    </rPh>
    <rPh sb="45" eb="46">
      <t>ト</t>
    </rPh>
    <rPh sb="79" eb="81">
      <t>セイキ</t>
    </rPh>
    <rPh sb="81" eb="83">
      <t>コウキ</t>
    </rPh>
    <rPh sb="84" eb="86">
      <t>ドリョク</t>
    </rPh>
    <rPh sb="87" eb="89">
      <t>ケッカ</t>
    </rPh>
    <rPh sb="92" eb="93">
      <t>エ</t>
    </rPh>
    <phoneticPr fontId="1"/>
  </si>
  <si>
    <t>establir（確立する, 設置する, 建造する）</t>
    <rPh sb="9" eb="11">
      <t>カクリツ</t>
    </rPh>
    <rPh sb="15" eb="17">
      <t>セッチ</t>
    </rPh>
    <rPh sb="21" eb="23">
      <t>ケンゾウ</t>
    </rPh>
    <phoneticPr fontId="1"/>
  </si>
  <si>
    <t>14世紀後期
確立する, 設立する</t>
    <rPh sb="2" eb="4">
      <t>セイキ</t>
    </rPh>
    <rPh sb="4" eb="6">
      <t>コウキ</t>
    </rPh>
    <rPh sb="7" eb="9">
      <t>カクリツ</t>
    </rPh>
    <rPh sb="13" eb="15">
      <t>セツリツ</t>
    </rPh>
    <phoneticPr fontId="1"/>
  </si>
  <si>
    <t>soupplier（満たす, 補完する）</t>
    <rPh sb="10" eb="11">
      <t>ミ</t>
    </rPh>
    <rPh sb="15" eb="17">
      <t>ホカン</t>
    </rPh>
    <phoneticPr fontId="1"/>
  </si>
  <si>
    <t>supplien
&lt;span class="spacer"&gt;&lt;/span&gt;14世紀後期
満たす, 補完する</t>
    <rPh sb="39" eb="41">
      <t>セイキ</t>
    </rPh>
    <rPh sb="41" eb="43">
      <t>コウキ</t>
    </rPh>
    <rPh sb="44" eb="45">
      <t>ミ</t>
    </rPh>
    <phoneticPr fontId="1"/>
  </si>
  <si>
    <t>1520年代
必要なものを供給する
&lt;span class="spacer"&gt;&lt;/span&gt;1580年代
supply A with B（AにBを供給する）</t>
    <rPh sb="4" eb="6">
      <t>ネンダイ</t>
    </rPh>
    <rPh sb="50" eb="52">
      <t>ネンダイ</t>
    </rPh>
    <rPh sb="73" eb="75">
      <t>キョウキュウ</t>
    </rPh>
    <phoneticPr fontId="1"/>
  </si>
  <si>
    <t>suposer（仮定する）</t>
    <rPh sb="8" eb="10">
      <t>カテイ</t>
    </rPh>
    <phoneticPr fontId="1"/>
  </si>
  <si>
    <t>supposen
&lt;span class="spacer"&gt;&lt;/span&gt;1300年頃
仮説を立てる
議論の基礎として想定する</t>
    <rPh sb="44" eb="46">
      <t>カセツ</t>
    </rPh>
    <rPh sb="47" eb="48">
      <t>タ</t>
    </rPh>
    <rPh sb="51" eb="53">
      <t>ギロン</t>
    </rPh>
    <rPh sb="54" eb="56">
      <t>キソ</t>
    </rPh>
    <rPh sb="59" eb="61">
      <t>ソウテイ</t>
    </rPh>
    <phoneticPr fontId="1"/>
  </si>
  <si>
    <t>1600年頃
仮説的に推論する</t>
    <phoneticPr fontId="1"/>
  </si>
  <si>
    <t>par（完全に）+fornir（供給する）
parfornir（行う, 実行する）</t>
    <rPh sb="32" eb="33">
      <t>オコナ</t>
    </rPh>
    <rPh sb="36" eb="38">
      <t>ジッコウ</t>
    </rPh>
    <phoneticPr fontId="1"/>
  </si>
  <si>
    <t>performer</t>
    <phoneticPr fontId="1"/>
  </si>
  <si>
    <t>performen
&lt;span class="spacer"&gt;&lt;/span&gt;1300年頃
実行する
要求されたことを果たす</t>
    <rPh sb="45" eb="47">
      <t>ジッコウ</t>
    </rPh>
    <rPh sb="50" eb="52">
      <t>ヨウキュウ</t>
    </rPh>
    <rPh sb="58" eb="59">
      <t>ハ</t>
    </rPh>
    <phoneticPr fontId="1"/>
  </si>
  <si>
    <t>1600年頃
演じる, 演奏する</t>
    <phoneticPr fontId="1"/>
  </si>
  <si>
    <t>prae（前に, 先に）+ferre（運ぶ）
praeferre（前方に運ぶ, 優先する）</t>
    <rPh sb="33" eb="35">
      <t>ゼンポウ</t>
    </rPh>
    <rPh sb="36" eb="37">
      <t>ハコ</t>
    </rPh>
    <rPh sb="40" eb="42">
      <t>ユウセン</t>
    </rPh>
    <phoneticPr fontId="1"/>
  </si>
  <si>
    <t>preferer（地位や財産を前に出す, 昇進させる）</t>
    <rPh sb="9" eb="11">
      <t>チイ</t>
    </rPh>
    <rPh sb="12" eb="14">
      <t>ザイサン</t>
    </rPh>
    <rPh sb="15" eb="16">
      <t>マエ</t>
    </rPh>
    <rPh sb="17" eb="18">
      <t>ダ</t>
    </rPh>
    <rPh sb="21" eb="23">
      <t>ショウシン</t>
    </rPh>
    <phoneticPr fontId="1"/>
  </si>
  <si>
    <t>preferren
&lt;span class="spacer"&gt;&lt;/span&gt;14世紀後期
地位や財産を前に出す, 昇進させる
評価する, 重んじる
何かを他よりも好む</t>
    <rPh sb="45" eb="47">
      <t>チイ</t>
    </rPh>
    <rPh sb="48" eb="50">
      <t>ザイサン</t>
    </rPh>
    <rPh sb="51" eb="52">
      <t>マエ</t>
    </rPh>
    <rPh sb="53" eb="54">
      <t>ダ</t>
    </rPh>
    <rPh sb="57" eb="59">
      <t>ショウシン</t>
    </rPh>
    <rPh sb="63" eb="65">
      <t>ヒョウカ</t>
    </rPh>
    <phoneticPr fontId="1"/>
  </si>
  <si>
    <t>determiner（境界や範囲を定める, 決定する）</t>
    <rPh sb="11" eb="13">
      <t>キョウカイ</t>
    </rPh>
    <rPh sb="14" eb="16">
      <t>ハンイ</t>
    </rPh>
    <rPh sb="17" eb="18">
      <t>サダ</t>
    </rPh>
    <rPh sb="22" eb="24">
      <t>ケッテイ</t>
    </rPh>
    <phoneticPr fontId="1"/>
  </si>
  <si>
    <t>determinen
&lt;span class="spacer"&gt;&lt;/span&gt;14世紀後期
決定する
限界を設ける</t>
    <rPh sb="46" eb="48">
      <t>ケッテイ</t>
    </rPh>
    <rPh sb="51" eb="53">
      <t>ゲンカイ</t>
    </rPh>
    <rPh sb="54" eb="55">
      <t>モウ</t>
    </rPh>
    <phoneticPr fontId="1"/>
  </si>
  <si>
    <t>15世紀初頭
裁定を下す, 判断する
&lt;span class="spacer"&gt;&lt;/span&gt;1640年代
問題の解を見つける</t>
    <rPh sb="51" eb="53">
      <t>ネンダイ</t>
    </rPh>
    <phoneticPr fontId="1"/>
  </si>
  <si>
    <t>traitier（扱う, 対処する）</t>
    <rPh sb="9" eb="10">
      <t>アツカ</t>
    </rPh>
    <phoneticPr fontId="1"/>
  </si>
  <si>
    <t>trēten
&lt;span class="spacer"&gt;&lt;/span&gt;14世紀後期
取引する, 扱う
&lt;span class="spacer"&gt;&lt;/span&gt;15世紀初頭
治療する
&lt;span class="spacer"&gt;&lt;/span&gt;1710年代
食事や飲み物で相手をもてなす</t>
    <rPh sb="42" eb="44">
      <t>トリヒキ</t>
    </rPh>
    <rPh sb="48" eb="49">
      <t>アツカ</t>
    </rPh>
    <phoneticPr fontId="1"/>
  </si>
  <si>
    <t>prover（証明する, 試験する）</t>
    <rPh sb="7" eb="9">
      <t>ショウメイ</t>
    </rPh>
    <phoneticPr fontId="1"/>
  </si>
  <si>
    <t>proven
&lt;span class="spacer"&gt;&lt;/span&gt;1200年頃
実践で示す, 立証する
&lt;span class="spacer"&gt;&lt;/span&gt;13世紀初頭
疑いを晴らす
&lt;span class="spacer"&gt;&lt;/span&gt;1300年頃
論証によって証明する
&lt;span class="spacer"&gt;&lt;/span&gt;14世紀後期
経験によって〜であると判明する</t>
    <rPh sb="39" eb="40">
      <t>ネン</t>
    </rPh>
    <rPh sb="40" eb="41">
      <t>コロ</t>
    </rPh>
    <rPh sb="128" eb="130">
      <t>ネンコロ</t>
    </rPh>
    <rPh sb="174" eb="176">
      <t>コウキ</t>
    </rPh>
    <phoneticPr fontId="1"/>
  </si>
  <si>
    <t>ad（～へ）+plicare（折る）
applicare（～へ折り曲げる, 物と物とを接触させる, 結びつける）</t>
    <rPh sb="31" eb="32">
      <t>オ</t>
    </rPh>
    <rPh sb="33" eb="34">
      <t>マ</t>
    </rPh>
    <rPh sb="38" eb="39">
      <t>モノ</t>
    </rPh>
    <rPh sb="40" eb="41">
      <t>モノ</t>
    </rPh>
    <rPh sb="43" eb="45">
      <t>セッショク</t>
    </rPh>
    <rPh sb="50" eb="51">
      <t>ムス</t>
    </rPh>
    <phoneticPr fontId="1"/>
  </si>
  <si>
    <t>aploiier（適用する）</t>
    <rPh sb="9" eb="11">
      <t>テキヨウ</t>
    </rPh>
    <phoneticPr fontId="1"/>
  </si>
  <si>
    <t>14世紀後期
結びつける
&lt;span class="spacer"&gt;&lt;/span&gt;1400年頃
特定の目的のために用いる
&lt;span class="spacer"&gt;&lt;/span&gt;15世紀初頭
軟膏・湿布などを身体に接触させて置く</t>
    <rPh sb="4" eb="6">
      <t>コウキ</t>
    </rPh>
    <rPh sb="45" eb="47">
      <t>ネンコロ</t>
    </rPh>
    <rPh sb="93" eb="95">
      <t>ショトウ</t>
    </rPh>
    <phoneticPr fontId="1"/>
  </si>
  <si>
    <t>1851年から
申し込む</t>
    <rPh sb="8" eb="9">
      <t>モウ</t>
    </rPh>
    <rPh sb="10" eb="11">
      <t>コ</t>
    </rPh>
    <phoneticPr fontId="1"/>
  </si>
  <si>
    <t>mencion（記憶, 言及）</t>
    <rPh sb="12" eb="14">
      <t>ゲンキュウ</t>
    </rPh>
    <phoneticPr fontId="1"/>
  </si>
  <si>
    <t>mentionner（言及する）</t>
    <phoneticPr fontId="1"/>
  </si>
  <si>
    <t>1300年頃
mencioun（言及）</t>
    <rPh sb="4" eb="6">
      <t>ネンコロ</t>
    </rPh>
    <phoneticPr fontId="1"/>
  </si>
  <si>
    <t>1520年代
言及する
&lt;span class="spacer"&gt;&lt;/span&gt;1690年代
not to mention（言うまでもなく）</t>
    <rPh sb="7" eb="9">
      <t>ゲンキュウ</t>
    </rPh>
    <rPh sb="62" eb="63">
      <t>イ</t>
    </rPh>
    <phoneticPr fontId="1"/>
  </si>
  <si>
    <t>1520年代
情報などを伝える
感情などを他者に伝達する</t>
    <rPh sb="4" eb="6">
      <t>ネンダイ</t>
    </rPh>
    <phoneticPr fontId="1"/>
  </si>
  <si>
    <t>com（共に）+tenere（保持する）
continere（一緒に保つ, 包み込む）</t>
    <rPh sb="4" eb="5">
      <t>トモ</t>
    </rPh>
    <phoneticPr fontId="1"/>
  </si>
  <si>
    <t>contenir</t>
    <phoneticPr fontId="1"/>
  </si>
  <si>
    <t>1300年頃
自分自身を制御する
&lt;span class="spacer"&gt;&lt;/span&gt;14世紀半ば
何かを構成要素として持つ
&lt;span class="spacer"&gt;&lt;/span&gt;14世紀後期
中に含む</t>
    <rPh sb="4" eb="6">
      <t>ネンゴロ</t>
    </rPh>
    <rPh sb="47" eb="49">
      <t>セイキ</t>
    </rPh>
    <rPh sb="49" eb="50">
      <t>ナカ</t>
    </rPh>
    <rPh sb="95" eb="97">
      <t>セイキ</t>
    </rPh>
    <rPh sb="97" eb="99">
      <t>コウキ</t>
    </rPh>
    <phoneticPr fontId="1"/>
  </si>
  <si>
    <t>com（共に）+tangere（触れる）
contingere（触れる）
&lt;span class="spacer"&gt;&lt;/span&gt;過去分詞contactus（触れること, 接触）</t>
    <rPh sb="4" eb="5">
      <t>トモ</t>
    </rPh>
    <phoneticPr fontId="1"/>
  </si>
  <si>
    <t>1620年代
触れるという行為
&lt;span class="spacer"&gt;&lt;/span&gt;1818年から
つながり, 連絡
&lt;span class="spacer"&gt;&lt;/span&gt;1834年に動詞になって
接触させる
&lt;span class="spacer"&gt;&lt;/span&gt;1927年
連絡を取る</t>
    <rPh sb="7" eb="8">
      <t>フ</t>
    </rPh>
    <rPh sb="13" eb="15">
      <t>コウイ</t>
    </rPh>
    <rPh sb="48" eb="49">
      <t>ネン</t>
    </rPh>
    <rPh sb="93" eb="94">
      <t>ネン</t>
    </rPh>
    <rPh sb="95" eb="97">
      <t>ドウシ</t>
    </rPh>
    <phoneticPr fontId="1"/>
  </si>
  <si>
    <t>ゲルマン諸語</t>
  </si>
  <si>
    <t>garder（見る, 注意する）
&lt;span class="spacer"&gt;&lt;/span&gt;re（強意）+garder（見る, 注意する）
regarder（見る, 注意する）</t>
    <rPh sb="48" eb="50">
      <t>キョウイ</t>
    </rPh>
    <phoneticPr fontId="1"/>
  </si>
  <si>
    <t>regarden
&lt;span class="spacer"&gt;&lt;/span&gt;14世紀半ば
ある事柄が特定のあり方であると考える
&lt;span class="spacer"&gt;&lt;/span&gt;1510年代
重要性や関心があるものとして考える
&lt;span class="spacer"&gt;&lt;/span&gt;1520年代
尊重する
&lt;span class="spacer"&gt;&lt;/span&gt;1610年代
特定の感情をもって見なす</t>
    <phoneticPr fontId="1"/>
  </si>
  <si>
    <t>re（後ろへ）+specere（見る）
respicere（振り返って見る, 考慮する）
&lt;span class="spacer"&gt;&lt;/span&gt;反復形respectere（繰り返し見る, 注意深く見る）</t>
    <rPh sb="3" eb="4">
      <t>ウシ</t>
    </rPh>
    <phoneticPr fontId="1"/>
  </si>
  <si>
    <t>respecter（振り返って見る, 尊敬する）</t>
    <phoneticPr fontId="1"/>
  </si>
  <si>
    <t>1540年代
特別な注意をもって見る
&lt;span class="spacer"&gt;&lt;/span&gt;1550年代
敬意をもって扱う
&lt;span class="spacer"&gt;&lt;/span&gt;1560年代
～に関係する, ～に言及する</t>
    <phoneticPr fontId="1"/>
  </si>
  <si>
    <t>cerchier（探す）</t>
    <phoneticPr fontId="1"/>
  </si>
  <si>
    <t>serchen
&lt;span class="spacer"&gt;&lt;/span&gt;1300年頃
探し回る, 詳細に調べる</t>
    <rPh sb="40" eb="42">
      <t>ネンコロ</t>
    </rPh>
    <phoneticPr fontId="1"/>
  </si>
  <si>
    <t>com（共に）+nectere（縛る, 結びつける）
conectere（一緒に結ぶ, 結合する）</t>
    <rPh sb="16" eb="17">
      <t>シバ</t>
    </rPh>
    <rPh sb="20" eb="21">
      <t>ムス</t>
    </rPh>
    <rPh sb="37" eb="39">
      <t>イッショ</t>
    </rPh>
    <rPh sb="40" eb="41">
      <t>ムス</t>
    </rPh>
    <rPh sb="44" eb="46">
      <t>ケツゴウ</t>
    </rPh>
    <phoneticPr fontId="1"/>
  </si>
  <si>
    <t>15世紀半ば
結びつける, 縛る</t>
    <rPh sb="2" eb="4">
      <t>セイキ</t>
    </rPh>
    <rPh sb="4" eb="5">
      <t>ナカ</t>
    </rPh>
    <phoneticPr fontId="1"/>
  </si>
  <si>
    <t>decliner（沈む, 衰える）</t>
    <rPh sb="9" eb="10">
      <t>シズ</t>
    </rPh>
    <rPh sb="13" eb="14">
      <t>オトロ</t>
    </rPh>
    <phoneticPr fontId="1"/>
  </si>
  <si>
    <t>14世紀後期
低い水準へ沈む, 損なわれた状態へ落ちる
&lt;span class="spacer"&gt;&lt;/span&gt;1400年頃
下向きに曲がる</t>
    <rPh sb="2" eb="4">
      <t>セイキ</t>
    </rPh>
    <rPh sb="4" eb="6">
      <t>コウキ</t>
    </rPh>
    <rPh sb="60" eb="61">
      <t>ネン</t>
    </rPh>
    <rPh sb="61" eb="62">
      <t>コロ</t>
    </rPh>
    <phoneticPr fontId="1"/>
  </si>
  <si>
    <t>1630年代
丁重に断る</t>
    <phoneticPr fontId="1"/>
  </si>
  <si>
    <t>prae（前に）+venire（来る）
praevenire（先に来る）
&lt;span class="spacer"&gt;&lt;/span&gt;過去分詞praeventus</t>
    <rPh sb="16" eb="17">
      <t>ク</t>
    </rPh>
    <rPh sb="31" eb="32">
      <t>サキ</t>
    </rPh>
    <rPh sb="33" eb="34">
      <t>ク</t>
    </rPh>
    <phoneticPr fontId="1"/>
  </si>
  <si>
    <t>praeventus（防ぐ）</t>
    <rPh sb="11" eb="12">
      <t>フセ</t>
    </rPh>
    <phoneticPr fontId="1"/>
  </si>
  <si>
    <t>preventen
&lt;span class="spacer"&gt;&lt;/span&gt;15世紀初頭
先回りして行動する</t>
    <rPh sb="40" eb="42">
      <t>セイキ</t>
    </rPh>
    <rPh sb="42" eb="44">
      <t>ショトウ</t>
    </rPh>
    <phoneticPr fontId="1"/>
  </si>
  <si>
    <t>1540年代
存在や発生を防ぐ
&lt;span class="spacer"&gt;&lt;/span&gt;1660年代
妨害によって行動を阻止する</t>
    <phoneticPr fontId="1"/>
  </si>
  <si>
    <t>*sufferire</t>
  </si>
  <si>
    <t>suffrir（耐える）</t>
    <rPh sb="8" eb="9">
      <t>タ</t>
    </rPh>
    <phoneticPr fontId="1"/>
  </si>
  <si>
    <t>sufferen
&lt;span class="spacer"&gt;&lt;/span&gt;13世紀半ば
苦痛・死・罰などを経験させられる
&lt;span class="spacer"&gt;&lt;/span&gt;14世紀初頭
苦痛・死・罰などを受ける（自動詞）
&lt;span class="spacer"&gt;&lt;/span&gt;14世紀後期
経験する, 影響を受ける</t>
    <rPh sb="39" eb="41">
      <t>セイキ</t>
    </rPh>
    <rPh sb="41" eb="42">
      <t>ナカ</t>
    </rPh>
    <rPh sb="53" eb="55">
      <t>ケイケン</t>
    </rPh>
    <rPh sb="93" eb="95">
      <t>ショトウ</t>
    </rPh>
    <rPh sb="105" eb="106">
      <t>ウ</t>
    </rPh>
    <rPh sb="109" eb="112">
      <t>ジドウシ</t>
    </rPh>
    <rPh sb="146" eb="148">
      <t>コウキ</t>
    </rPh>
    <rPh sb="149" eb="151">
      <t>ケイケン</t>
    </rPh>
    <rPh sb="155" eb="157">
      <t>エイキョウ</t>
    </rPh>
    <rPh sb="158" eb="159">
      <t>ウ</t>
    </rPh>
    <phoneticPr fontId="1"/>
  </si>
  <si>
    <t>super（越えて）+vivere（生きる）</t>
    <phoneticPr fontId="1"/>
  </si>
  <si>
    <t>supervivere（越えて生きる, より長く生きる）</t>
    <rPh sb="12" eb="13">
      <t>コ</t>
    </rPh>
    <rPh sb="15" eb="16">
      <t>イ</t>
    </rPh>
    <rPh sb="22" eb="23">
      <t>ナガ</t>
    </rPh>
    <rPh sb="24" eb="25">
      <t>イ</t>
    </rPh>
    <phoneticPr fontId="1"/>
  </si>
  <si>
    <t>survivre（生き残る, より長く生きる）</t>
    <rPh sb="9" eb="10">
      <t>イ</t>
    </rPh>
    <rPh sb="11" eb="12">
      <t>ノコ</t>
    </rPh>
    <phoneticPr fontId="1"/>
  </si>
  <si>
    <t>15世紀半ば
長く生きる
法律用語で、死後も生き続ける（相続）
&lt;span class="spacer"&gt;&lt;/span&gt;15世紀後期
生き続ける</t>
    <rPh sb="4" eb="5">
      <t>ナカ</t>
    </rPh>
    <rPh sb="13" eb="17">
      <t>ホウリツヨウゴ</t>
    </rPh>
    <rPh sb="19" eb="21">
      <t>シゴ</t>
    </rPh>
    <rPh sb="22" eb="23">
      <t>イ</t>
    </rPh>
    <rPh sb="24" eb="25">
      <t>ツヅ</t>
    </rPh>
    <rPh sb="28" eb="30">
      <t>ソウゾク</t>
    </rPh>
    <rPh sb="62" eb="64">
      <t>セイキ</t>
    </rPh>
    <rPh sb="64" eb="66">
      <t>コウキ</t>
    </rPh>
    <phoneticPr fontId="1"/>
  </si>
  <si>
    <t>populus（民衆）
&lt;span class="spacer"&gt;&lt;/span&gt;形容詞を作る-icusが付いて
poplicus（民衆の）
&lt;span class="spacer"&gt;&lt;/span&gt;pubes（成人）の影響を受けて
publicus（民衆の, 民衆全体の, 共同の）
&lt;span class="spacer"&gt;&lt;/span&gt;動詞になって
publicare（公にする）</t>
    <rPh sb="104" eb="106">
      <t>セイジン</t>
    </rPh>
    <rPh sb="108" eb="110">
      <t>エイキョウ</t>
    </rPh>
    <rPh sb="111" eb="112">
      <t>ウ</t>
    </rPh>
    <rPh sb="136" eb="138">
      <t>キョウドウ</t>
    </rPh>
    <rPh sb="169" eb="171">
      <t>ドウシ</t>
    </rPh>
    <rPh sb="186" eb="187">
      <t>オオヤケ</t>
    </rPh>
    <phoneticPr fontId="1"/>
  </si>
  <si>
    <t>publier（公にする, 広める）</t>
    <rPh sb="8" eb="9">
      <t>オオヤケ</t>
    </rPh>
    <rPh sb="14" eb="15">
      <t>ヒロ</t>
    </rPh>
    <phoneticPr fontId="1"/>
  </si>
  <si>
    <t>publicen
&lt;span class="spacer"&gt;&lt;/span&gt;14世紀初頭
公にする
&lt;span class="spacer"&gt;&lt;/span&gt;publishen
&lt;span class="spacer"&gt;&lt;/span&gt;14世紀半ば
書物などを公衆に出す</t>
    <rPh sb="41" eb="43">
      <t>ショトウ</t>
    </rPh>
    <rPh sb="119" eb="120">
      <t>ナカ</t>
    </rPh>
    <rPh sb="122" eb="124">
      <t>ショモツ</t>
    </rPh>
    <rPh sb="127" eb="129">
      <t>コウシュウ</t>
    </rPh>
    <rPh sb="130" eb="131">
      <t>ダ</t>
    </rPh>
    <phoneticPr fontId="1"/>
  </si>
  <si>
    <t>opportunite（好機, 都合のよさ）</t>
    <rPh sb="12" eb="14">
      <t>コウキ</t>
    </rPh>
    <rPh sb="16" eb="18">
      <t>ツゴウ</t>
    </rPh>
    <phoneticPr fontId="1"/>
  </si>
  <si>
    <t>opportunitie
&lt;span class="spacer"&gt;&lt;/span&gt;14世紀後期
好都合な時</t>
    <rPh sb="45" eb="47">
      <t>コウキ</t>
    </rPh>
    <phoneticPr fontId="1"/>
  </si>
  <si>
    <t>taxare（見積もる, 査定する）</t>
    <rPh sb="7" eb="9">
      <t>ミツ</t>
    </rPh>
    <phoneticPr fontId="1"/>
  </si>
  <si>
    <t>*tasca（義務, 割り当て）</t>
    <phoneticPr fontId="1"/>
  </si>
  <si>
    <t>古北フランス語</t>
    <rPh sb="1" eb="2">
      <t>キタ</t>
    </rPh>
    <phoneticPr fontId="1"/>
  </si>
  <si>
    <t>tasque（義務, 課税）</t>
    <phoneticPr fontId="1"/>
  </si>
  <si>
    <t>taske
&lt;span class="spacer"&gt;&lt;/span&gt;14世紀初頭
義務として課された労働量</t>
    <rPh sb="38" eb="40">
      <t>ショトウ</t>
    </rPh>
    <phoneticPr fontId="1"/>
  </si>
  <si>
    <t>1590年代
やらなければならない仕事一般</t>
    <rPh sb="4" eb="6">
      <t>ネンダイ</t>
    </rPh>
    <phoneticPr fontId="1"/>
  </si>
  <si>
    <t>初期ラテン語</t>
    <rPh sb="0" eb="2">
      <t>ショキ</t>
    </rPh>
    <rPh sb="5" eb="6">
      <t>ゴ</t>
    </rPh>
    <phoneticPr fontId="1"/>
  </si>
  <si>
    <t>indu（中に）+struere（積み上げる, 築く）
&lt;span class="spacer"&gt;&lt;/span&gt;indostruus（勤勉な）</t>
    <phoneticPr fontId="1"/>
  </si>
  <si>
    <t>industrius（勤勉な, 活動的な）
&lt;span class="spacer"&gt;&lt;/span&gt;名詞を作る-iaが付いて
industria（勤勉さ, 活動）</t>
    <rPh sb="11" eb="13">
      <t>キンベン</t>
    </rPh>
    <rPh sb="50" eb="52">
      <t>メイシ</t>
    </rPh>
    <rPh sb="53" eb="54">
      <t>ツク</t>
    </rPh>
    <rPh sb="59" eb="60">
      <t>ツ</t>
    </rPh>
    <rPh sb="73" eb="75">
      <t>キンベン</t>
    </rPh>
    <rPh sb="78" eb="80">
      <t>カツドウ</t>
    </rPh>
    <phoneticPr fontId="1"/>
  </si>
  <si>
    <t>industrie（活動）</t>
    <rPh sb="10" eb="12">
      <t>カツドウ</t>
    </rPh>
    <phoneticPr fontId="1"/>
  </si>
  <si>
    <t xml:space="preserve">
15世紀後期
技能</t>
    <rPh sb="5" eb="7">
      <t>コウキ</t>
    </rPh>
    <phoneticPr fontId="1"/>
  </si>
  <si>
    <t>近代英語</t>
    <rPh sb="0" eb="2">
      <t>キンダイ</t>
    </rPh>
    <rPh sb="2" eb="4">
      <t>エイゴ</t>
    </rPh>
    <phoneticPr fontId="1"/>
  </si>
  <si>
    <t>1530年代
習慣的な勤勉さや努力
&lt;span class="spacer"&gt;&lt;/span&gt;1560年代
工業, 製造業</t>
    <rPh sb="57" eb="60">
      <t>セイゾウギョウ</t>
    </rPh>
    <phoneticPr fontId="1"/>
  </si>
  <si>
    <t>medius（中間の, 間にある）
&lt;span class="spacer"&gt;&lt;/span&gt;名詞になって
medium（中間）</t>
    <rPh sb="46" eb="48">
      <t>メイシ</t>
    </rPh>
    <rPh sb="60" eb="62">
      <t>チュウカン</t>
    </rPh>
    <phoneticPr fontId="1"/>
  </si>
  <si>
    <t>1580年代
中間地点, 中間の位置を占めるもの
&lt;span class="spacer"&gt;&lt;/span&gt;1590年代
力や性質が伝達される媒介物
&lt;span class="spacer"&gt;&lt;/span&gt;1600年頃
仲介する物
&lt;span class="spacer"&gt;&lt;/span&gt;1795年
印刷物, 出版媒体</t>
    <rPh sb="7" eb="11">
      <t>チュウカンチテン</t>
    </rPh>
    <rPh sb="13" eb="15">
      <t>チュウカン</t>
    </rPh>
    <rPh sb="16" eb="18">
      <t>イチ</t>
    </rPh>
    <rPh sb="19" eb="20">
      <t>シ</t>
    </rPh>
    <rPh sb="106" eb="107">
      <t>ネン</t>
    </rPh>
    <rPh sb="107" eb="108">
      <t>コロ</t>
    </rPh>
    <rPh sb="109" eb="111">
      <t>チュウカイ</t>
    </rPh>
    <rPh sb="113" eb="114">
      <t>モノ</t>
    </rPh>
    <rPh sb="147" eb="148">
      <t>ネン</t>
    </rPh>
    <phoneticPr fontId="1"/>
  </si>
  <si>
    <t>古代ギリシャ語</t>
    <phoneticPr fontId="1"/>
  </si>
  <si>
    <t>nemein（管理する）
&lt;span class="spacer"&gt;&lt;/span&gt;nomos（管理）
&lt;span class="spacer"&gt;&lt;/span&gt;oikos（家）+nomos（管理）
&lt;span class="spacer"&gt;&lt;/span&gt;oikonomos（家を管理する者）
&lt;span class="spacer"&gt;&lt;/span&gt;oikonomia（家計のやりくり, 倹約）</t>
    <rPh sb="47" eb="49">
      <t>カンリ</t>
    </rPh>
    <rPh sb="85" eb="86">
      <t>イエ</t>
    </rPh>
    <phoneticPr fontId="1"/>
  </si>
  <si>
    <t>oeconomia（家計管理）</t>
    <phoneticPr fontId="1"/>
  </si>
  <si>
    <t>1530年代
家計管理
&lt;span class="spacer"&gt;&lt;/span&gt;1650年代
国家の富や資源</t>
    <phoneticPr fontId="1"/>
  </si>
  <si>
    <t>polis（都市, 国家）
&lt;span class="spacer"&gt;&lt;/span&gt;politēs（市民）
&lt;span class="spacer"&gt;&lt;/span&gt;politeia（国家, 行政）</t>
    <phoneticPr fontId="1"/>
  </si>
  <si>
    <t>politia（国家, 行政）</t>
    <phoneticPr fontId="1"/>
  </si>
  <si>
    <t>com（共に）+putare（計算する）
computare（数える, 合計する）</t>
    <phoneticPr fontId="1"/>
  </si>
  <si>
    <t>computus（計算）</t>
    <phoneticPr fontId="1"/>
  </si>
  <si>
    <t>a（～へ）+cont（計算）
acont（勘定）</t>
    <rPh sb="11" eb="13">
      <t>ケイサン</t>
    </rPh>
    <phoneticPr fontId="1"/>
  </si>
  <si>
    <t>trade（道, 進路）</t>
    <rPh sb="6" eb="7">
      <t>ミチ</t>
    </rPh>
    <rPh sb="9" eb="11">
      <t>シンロ</t>
    </rPh>
    <phoneticPr fontId="1"/>
  </si>
  <si>
    <t>1540年代
人が日常的に従事する仕事
&lt;span class="spacer"&gt;&lt;/span&gt;1550年代
商品の売買や交換
&lt;span class="spacer"&gt;&lt;/span&gt;1829年代
取引そのもの</t>
    <rPh sb="17" eb="19">
      <t>シゴト</t>
    </rPh>
    <rPh sb="52" eb="54">
      <t>ネンダイ</t>
    </rPh>
    <rPh sb="55" eb="57">
      <t>ショウヒン</t>
    </rPh>
    <rPh sb="58" eb="60">
      <t>バイバイ</t>
    </rPh>
    <rPh sb="61" eb="63">
      <t>コウカン</t>
    </rPh>
    <rPh sb="99" eb="101">
      <t>トリヒキ</t>
    </rPh>
    <phoneticPr fontId="1"/>
  </si>
  <si>
    <t>*med-（適切に測る）</t>
    <phoneticPr fontId="1"/>
  </si>
  <si>
    <t>*modellus（小さな尺度, 型）</t>
    <rPh sb="17" eb="18">
      <t>カタ</t>
    </rPh>
    <phoneticPr fontId="1"/>
  </si>
  <si>
    <t>modello（型, 模型）</t>
    <rPh sb="8" eb="9">
      <t>カタ</t>
    </rPh>
    <rPh sb="11" eb="13">
      <t>モケイ</t>
    </rPh>
    <phoneticPr fontId="1"/>
  </si>
  <si>
    <t>modelle（模型, 手本）</t>
    <rPh sb="8" eb="10">
      <t>モケイ</t>
    </rPh>
    <rPh sb="12" eb="14">
      <t>テホン</t>
    </rPh>
    <phoneticPr fontId="1"/>
  </si>
  <si>
    <t>1570年代
縮尺に基づいて作られた類似物
&lt;span class="spacer"&gt;&lt;/span&gt;1630年代
模倣や比較の基準となる型</t>
    <phoneticPr fontId="1"/>
  </si>
  <si>
    <t>figura（形, 姿）</t>
    <phoneticPr fontId="1"/>
  </si>
  <si>
    <t>figura（図, 描写）</t>
    <rPh sb="7" eb="8">
      <t>ズ</t>
    </rPh>
    <rPh sb="10" eb="12">
      <t>ビョウシャ</t>
    </rPh>
    <phoneticPr fontId="1"/>
  </si>
  <si>
    <t>figure（形, 身体）</t>
    <rPh sb="7" eb="8">
      <t>カタチ</t>
    </rPh>
    <rPh sb="10" eb="12">
      <t>シンタイ</t>
    </rPh>
    <phoneticPr fontId="1"/>
  </si>
  <si>
    <t xml:space="preserve">
1200年頃
数字
&lt;span class="spacer"&gt;&lt;/span&gt;13世紀半ば
人の目に見える外見
&lt;span class="spacer"&gt;&lt;/span&gt;14世紀半ば
形を表す線
芸術で表現される人間の身体
文章中の図表</t>
    <rPh sb="5" eb="7">
      <t>ネンゴロ</t>
    </rPh>
    <rPh sb="8" eb="10">
      <t>スウジ</t>
    </rPh>
    <rPh sb="41" eb="43">
      <t>セイキ</t>
    </rPh>
    <rPh sb="43" eb="44">
      <t>ナカ</t>
    </rPh>
    <rPh sb="46" eb="47">
      <t>ヒト</t>
    </rPh>
    <rPh sb="48" eb="49">
      <t>メ</t>
    </rPh>
    <rPh sb="50" eb="51">
      <t>ミ</t>
    </rPh>
    <rPh sb="53" eb="55">
      <t>ガイケン</t>
    </rPh>
    <rPh sb="91" eb="92">
      <t>カタチ</t>
    </rPh>
    <rPh sb="93" eb="94">
      <t>アラワ</t>
    </rPh>
    <rPh sb="95" eb="96">
      <t>セン</t>
    </rPh>
    <rPh sb="97" eb="99">
      <t>ゲイジュツ</t>
    </rPh>
    <rPh sb="100" eb="102">
      <t>ヒョウゲン</t>
    </rPh>
    <rPh sb="105" eb="107">
      <t>ニンゲン</t>
    </rPh>
    <rPh sb="108" eb="110">
      <t>シンタイ</t>
    </rPh>
    <rPh sb="111" eb="114">
      <t>ブンショウチュウ</t>
    </rPh>
    <rPh sb="115" eb="117">
      <t>ズヒョウ</t>
    </rPh>
    <phoneticPr fontId="1"/>
  </si>
  <si>
    <t>15世紀後期
身体, 人間の姿全体</t>
    <rPh sb="2" eb="4">
      <t>セイキ</t>
    </rPh>
    <rPh sb="4" eb="6">
      <t>コウキ</t>
    </rPh>
    <rPh sb="11" eb="13">
      <t>ニンゲン</t>
    </rPh>
    <rPh sb="14" eb="15">
      <t>スガタ</t>
    </rPh>
    <rPh sb="15" eb="17">
      <t>ゼンタイ</t>
    </rPh>
    <phoneticPr fontId="1"/>
  </si>
  <si>
    <t>cella（小部屋）</t>
    <rPh sb="6" eb="9">
      <t>コベヤ</t>
    </rPh>
    <phoneticPr fontId="1"/>
  </si>
  <si>
    <t>12世紀初期
小さい修道院
&lt;span class="spacer"&gt;&lt;/span&gt;1300年代
修道院の中の小さい部屋
&lt;span class="spacer"&gt;&lt;/span&gt;14世紀
脳の区画</t>
    <rPh sb="2" eb="4">
      <t>セイキ</t>
    </rPh>
    <rPh sb="4" eb="6">
      <t>ショキ</t>
    </rPh>
    <rPh sb="7" eb="8">
      <t>チイ</t>
    </rPh>
    <rPh sb="10" eb="13">
      <t>シュウドウイン</t>
    </rPh>
    <rPh sb="46" eb="48">
      <t>ネンダイ</t>
    </rPh>
    <rPh sb="49" eb="52">
      <t>シュウドウイン</t>
    </rPh>
    <rPh sb="53" eb="54">
      <t>ナカ</t>
    </rPh>
    <rPh sb="55" eb="56">
      <t>チイ</t>
    </rPh>
    <rPh sb="58" eb="60">
      <t>ヘヤ</t>
    </rPh>
    <phoneticPr fontId="1"/>
  </si>
  <si>
    <t>17世紀
生物学的用法で、木材や蜂の巣などの構造
&lt;span class="spacer"&gt;&lt;/span&gt;1722年
牢獄の部屋（修道院の小さな部屋から発展した意味）
&lt;span class="spacer"&gt;&lt;/span&gt;1845年
すべての生物の基本構造単位, 細胞</t>
    <rPh sb="2" eb="4">
      <t>セイキ</t>
    </rPh>
    <rPh sb="13" eb="15">
      <t>モクザイ</t>
    </rPh>
    <rPh sb="16" eb="17">
      <t>ハチ</t>
    </rPh>
    <rPh sb="18" eb="19">
      <t>ス</t>
    </rPh>
    <rPh sb="22" eb="24">
      <t>コウゾウ</t>
    </rPh>
    <rPh sb="57" eb="58">
      <t>ネン</t>
    </rPh>
    <rPh sb="59" eb="61">
      <t>ロウゴク</t>
    </rPh>
    <rPh sb="62" eb="64">
      <t>ヘヤ</t>
    </rPh>
    <rPh sb="65" eb="68">
      <t>シュウドウイン</t>
    </rPh>
    <rPh sb="69" eb="70">
      <t>チイ</t>
    </rPh>
    <rPh sb="72" eb="74">
      <t>ヘヤ</t>
    </rPh>
    <rPh sb="76" eb="78">
      <t>ハッテン</t>
    </rPh>
    <rPh sb="80" eb="82">
      <t>イミ</t>
    </rPh>
    <rPh sb="116" eb="117">
      <t>ネン</t>
    </rPh>
    <rPh sb="122" eb="124">
      <t>セイブツ</t>
    </rPh>
    <rPh sb="125" eb="131">
      <t>キホンコウゾウタンイ</t>
    </rPh>
    <rPh sb="133" eb="135">
      <t>サイボウ</t>
    </rPh>
    <phoneticPr fontId="1"/>
  </si>
  <si>
    <t>imagene
image（像, 図）</t>
    <phoneticPr fontId="1"/>
  </si>
  <si>
    <t>1200年頃
人や物に似せて作られた人工的な表現物
&lt;span class="spacer"&gt;&lt;/span&gt;14世紀初頭
鏡に映った像
&lt;span class="spacer"&gt;&lt;/span&gt;14世紀後期
心の中に浮かぶイメージ</t>
    <rPh sb="4" eb="6">
      <t>ネンゴロ</t>
    </rPh>
    <rPh sb="56" eb="58">
      <t>セイキ</t>
    </rPh>
    <rPh sb="58" eb="60">
      <t>ショトウ</t>
    </rPh>
    <rPh sb="61" eb="62">
      <t>カガミ</t>
    </rPh>
    <rPh sb="63" eb="64">
      <t>ウツ</t>
    </rPh>
    <rPh sb="66" eb="67">
      <t>ゾウ</t>
    </rPh>
    <rPh sb="100" eb="102">
      <t>コウキ</t>
    </rPh>
    <rPh sb="103" eb="104">
      <t>ココロ</t>
    </rPh>
    <rPh sb="105" eb="106">
      <t>ナカ</t>
    </rPh>
    <rPh sb="107" eb="108">
      <t>ウ</t>
    </rPh>
    <phoneticPr fontId="1"/>
  </si>
  <si>
    <t>ex（外に）+movere（動かす）
emovere（外へ動かす, 揺り動かす）</t>
    <rPh sb="3" eb="4">
      <t>ソト</t>
    </rPh>
    <rPh sb="14" eb="15">
      <t>ウゴ</t>
    </rPh>
    <rPh sb="27" eb="28">
      <t>ソト</t>
    </rPh>
    <rPh sb="29" eb="30">
      <t>ウゴ</t>
    </rPh>
    <phoneticPr fontId="1"/>
  </si>
  <si>
    <t>emouvoir（揺り動かす）</t>
    <phoneticPr fontId="1"/>
  </si>
  <si>
    <t>émotion（動揺）</t>
    <rPh sb="8" eb="10">
      <t>ドウヨウ</t>
    </rPh>
    <phoneticPr fontId="1"/>
  </si>
  <si>
    <t>15世紀後期
社会的な動き, 騒動
&lt;span class="spacer"&gt;&lt;/span&gt;1650年代
強い感情
&lt;span class="spacer"&gt;&lt;/span&gt;1808年
あらゆる感情一般</t>
    <rPh sb="2" eb="4">
      <t>セイキ</t>
    </rPh>
    <rPh sb="4" eb="6">
      <t>コウキ</t>
    </rPh>
    <rPh sb="15" eb="17">
      <t>ソウドウ</t>
    </rPh>
    <rPh sb="90" eb="91">
      <t>ネン</t>
    </rPh>
    <rPh sb="96" eb="98">
      <t>カンジョウ</t>
    </rPh>
    <rPh sb="98" eb="100">
      <t>イッパン</t>
    </rPh>
    <phoneticPr fontId="1"/>
  </si>
  <si>
    <t>stringere（引き締める）
&lt;span class="spacer"&gt;&lt;/span&gt;過去分詞strictus（締め付けられた, きつい）</t>
    <rPh sb="10" eb="11">
      <t>ヒ</t>
    </rPh>
    <rPh sb="12" eb="13">
      <t>シ</t>
    </rPh>
    <rPh sb="45" eb="49">
      <t>カコブンシ</t>
    </rPh>
    <rPh sb="58" eb="59">
      <t>シ</t>
    </rPh>
    <rPh sb="60" eb="61">
      <t>ツ</t>
    </rPh>
    <phoneticPr fontId="1"/>
  </si>
  <si>
    <t>*strictia（締め付け, 圧迫）</t>
    <phoneticPr fontId="1"/>
  </si>
  <si>
    <t>estrece（圧迫, 抑圧）</t>
    <phoneticPr fontId="1"/>
  </si>
  <si>
    <t>stresse
&lt;span class="spacer"&gt;&lt;/span&gt;15世紀半ば
物体に加わる物理的な圧力</t>
    <rPh sb="38" eb="40">
      <t>セイキ</t>
    </rPh>
    <rPh sb="40" eb="41">
      <t>ナカ</t>
    </rPh>
    <phoneticPr fontId="1"/>
  </si>
  <si>
    <t>1650年代
比喩的に、強調, 重み
&lt;span class="spacer"&gt;&lt;/span&gt;1749年
発音の強勢
&lt;span class="spacer"&gt;&lt;/span&gt;1955年
精神的ストレス</t>
    <rPh sb="51" eb="52">
      <t>ネン</t>
    </rPh>
    <rPh sb="53" eb="55">
      <t>ハツオン</t>
    </rPh>
    <rPh sb="56" eb="58">
      <t>キョウセイ</t>
    </rPh>
    <rPh sb="91" eb="92">
      <t>ネン</t>
    </rPh>
    <rPh sb="93" eb="96">
      <t>セイシンテキ</t>
    </rPh>
    <phoneticPr fontId="1"/>
  </si>
  <si>
    <t>古代ギリシャ語</t>
  </si>
  <si>
    <t>deka（10）
&lt;span class="spacer"&gt;&lt;/span&gt;dekas（10個セットの集まり）</t>
    <rPh sb="45" eb="46">
      <t>コ</t>
    </rPh>
    <rPh sb="50" eb="51">
      <t>アツ</t>
    </rPh>
    <phoneticPr fontId="1"/>
  </si>
  <si>
    <t>decas（10個の集合）</t>
    <rPh sb="8" eb="9">
      <t>コ</t>
    </rPh>
    <rPh sb="10" eb="12">
      <t>シュウゴウ</t>
    </rPh>
    <phoneticPr fontId="1"/>
  </si>
  <si>
    <t>15世紀半ば
10を単位としたひと区分</t>
    <rPh sb="2" eb="4">
      <t>セイキ</t>
    </rPh>
    <rPh sb="4" eb="5">
      <t>ナカ</t>
    </rPh>
    <phoneticPr fontId="1"/>
  </si>
  <si>
    <t>1590年代
連続する10年間</t>
    <phoneticPr fontId="1"/>
  </si>
  <si>
    <t>1200年頃
人の列や行（特に狩人や兵士）
&lt;span class="spacer"&gt;&lt;/span&gt;14世紀初頭
一般的な意味での列や並び
&lt;span class="spacer"&gt;&lt;/span&gt;15世紀後期
及ぶ広さ, 範囲</t>
    <rPh sb="4" eb="6">
      <t>ネンコロ</t>
    </rPh>
    <rPh sb="7" eb="8">
      <t>ヒト</t>
    </rPh>
    <rPh sb="9" eb="10">
      <t>レツ</t>
    </rPh>
    <rPh sb="11" eb="12">
      <t>ギョウ</t>
    </rPh>
    <rPh sb="13" eb="14">
      <t>トク</t>
    </rPh>
    <rPh sb="15" eb="17">
      <t>カリウド</t>
    </rPh>
    <rPh sb="18" eb="20">
      <t>ヘイシ</t>
    </rPh>
    <rPh sb="52" eb="54">
      <t>セイキ</t>
    </rPh>
    <rPh sb="54" eb="56">
      <t>ショトウ</t>
    </rPh>
    <rPh sb="102" eb="104">
      <t>コウキ</t>
    </rPh>
    <rPh sb="105" eb="106">
      <t>オヨ</t>
    </rPh>
    <rPh sb="107" eb="108">
      <t>ヒロ</t>
    </rPh>
    <rPh sb="111" eb="113">
      <t>ハンイ</t>
    </rPh>
    <phoneticPr fontId="1"/>
  </si>
  <si>
    <t>character（刻まれた印）</t>
    <phoneticPr fontId="1"/>
  </si>
  <si>
    <t>caratere（性格, 特徴, 文字）</t>
    <phoneticPr fontId="1"/>
  </si>
  <si>
    <t>carecter
&lt;span class="spacer"&gt;&lt;/span&gt;14世紀半ば
焼き印された印
&lt;span class="spacer"&gt;&lt;/span&gt;15世紀初頭
魔術に用いられる記号や図形
&lt;span class="spacer"&gt;&lt;/span&gt;15世紀後期
アルファベットの文字</t>
    <rPh sb="82" eb="84">
      <t>セイキ</t>
    </rPh>
    <rPh sb="84" eb="86">
      <t>ショトウ</t>
    </rPh>
    <rPh sb="98" eb="100">
      <t>ズケイ</t>
    </rPh>
    <rPh sb="133" eb="135">
      <t>コウキ</t>
    </rPh>
    <phoneticPr fontId="1"/>
  </si>
  <si>
    <t>1640年代
人や物を定義して他と区別する性質
個性, 性格, 特徴
&lt;span class="spacer"&gt;&lt;/span&gt;1660年代
物語の中の、作者が与えた個性や特徴をもつ登場人物</t>
    <rPh sb="21" eb="23">
      <t>セイシツ</t>
    </rPh>
    <rPh sb="24" eb="26">
      <t>コセイ</t>
    </rPh>
    <rPh sb="28" eb="30">
      <t>セイカク</t>
    </rPh>
    <rPh sb="32" eb="34">
      <t>トクチョウ</t>
    </rPh>
    <rPh sb="67" eb="69">
      <t>ネンダイ</t>
    </rPh>
    <rPh sb="70" eb="72">
      <t>モノガタリ</t>
    </rPh>
    <rPh sb="73" eb="74">
      <t>ナカ</t>
    </rPh>
    <rPh sb="76" eb="78">
      <t>サクシャ</t>
    </rPh>
    <rPh sb="79" eb="80">
      <t>アタ</t>
    </rPh>
    <rPh sb="82" eb="84">
      <t>コセイ</t>
    </rPh>
    <rPh sb="85" eb="87">
      <t>トクチョウ</t>
    </rPh>
    <rPh sb="90" eb="94">
      <t>トウジョウジンブツ</t>
    </rPh>
    <phoneticPr fontId="1"/>
  </si>
  <si>
    <t>ab（〜から）+ante（前に）
abante（前から）</t>
    <rPh sb="13" eb="14">
      <t>マエ</t>
    </rPh>
    <phoneticPr fontId="1"/>
  </si>
  <si>
    <t>*abantaticum</t>
  </si>
  <si>
    <t>phrazein（伝える, 示す）
&lt;span class="spacer"&gt;&lt;/span&gt;phrasis（言い回し）</t>
    <rPh sb="9" eb="10">
      <t>ツタ</t>
    </rPh>
    <rPh sb="14" eb="15">
      <t>シメ</t>
    </rPh>
    <rPh sb="54" eb="55">
      <t>イ</t>
    </rPh>
    <rPh sb="56" eb="57">
      <t>マワ</t>
    </rPh>
    <phoneticPr fontId="1"/>
  </si>
  <si>
    <t>後期ラテン語or俗ラテン語</t>
    <rPh sb="0" eb="2">
      <t>コウキ</t>
    </rPh>
    <rPh sb="5" eb="6">
      <t>ゴ</t>
    </rPh>
    <rPh sb="8" eb="9">
      <t>ゾク</t>
    </rPh>
    <rPh sb="12" eb="13">
      <t>ゴ</t>
    </rPh>
    <phoneticPr fontId="1"/>
  </si>
  <si>
    <t>phrasis（言い回し）</t>
    <phoneticPr fontId="1"/>
  </si>
  <si>
    <t>damnum（損失, 損害）</t>
    <phoneticPr fontId="1"/>
  </si>
  <si>
    <t>damage（傷害によって生じた損失や被害）</t>
    <phoneticPr fontId="1"/>
  </si>
  <si>
    <t>1300年頃
害, 傷害, 人や名誉、財産に対する損失
&lt;span class="spacer"&gt;&lt;/span&gt;1400年頃
損害賠償金（複数形で）</t>
    <rPh sb="4" eb="6">
      <t>ネンゴロ</t>
    </rPh>
    <rPh sb="60" eb="62">
      <t>ネンゴロ</t>
    </rPh>
    <rPh sb="67" eb="68">
      <t>キン</t>
    </rPh>
    <rPh sb="69" eb="72">
      <t>フクスウケイ</t>
    </rPh>
    <phoneticPr fontId="1"/>
  </si>
  <si>
    <t>ade</t>
  </si>
  <si>
    <t>avantage
&lt;span class="spacer"&gt;&lt;/span&gt;14世紀初頭
他者より前にある状態
&lt;span class="spacer"&gt;&lt;/span&gt;14世紀後期
take advantage of（利用する）
&lt;span class="spacer"&gt;&lt;/span&gt;15世紀後期
有利, 優勢</t>
    <rPh sb="41" eb="43">
      <t>ショトウ</t>
    </rPh>
    <rPh sb="85" eb="87">
      <t>セイキ</t>
    </rPh>
    <rPh sb="87" eb="89">
      <t>コウキ</t>
    </rPh>
    <rPh sb="149" eb="151">
      <t>ユウリ</t>
    </rPh>
    <rPh sb="153" eb="155">
      <t>ユウセイ</t>
    </rPh>
    <phoneticPr fontId="1"/>
  </si>
  <si>
    <t>16世紀
avantageのaが、ラテン語系のadに変えられてadvantageというスペルになる</t>
    <rPh sb="2" eb="4">
      <t>セイキ</t>
    </rPh>
    <rPh sb="20" eb="21">
      <t>ゴ</t>
    </rPh>
    <rPh sb="21" eb="22">
      <t>ケイ</t>
    </rPh>
    <rPh sb="26" eb="27">
      <t>カ</t>
    </rPh>
    <phoneticPr fontId="1"/>
  </si>
  <si>
    <t>14世紀後期
&lt;span class="obsolete"&gt;元の場所や状態に戻す（現在は廃用）&lt;/span&gt;
減らす</t>
    <rPh sb="1" eb="3">
      <t>コウキモトバショジョウタイモドゲンザイハイヨウヘ</t>
    </rPh>
    <phoneticPr fontId="1"/>
  </si>
  <si>
    <t xml:space="preserve">avoid
&lt;span class="obsolete"&gt;空にする, 取り除く, 立ち去る（現在は廃用）&lt;/span&gt;
&lt;span class="spacer"&gt;&lt;/span&gt;14世紀後期
避ける, 回避する
&lt;span class="spacer"&gt;&lt;/span&gt;避けるという意味になったのは、別の古フランス語eviter（避ける）と混同されたと考えられる。
</t>
    <rPh sb="67" eb="71">
      <t>セイキコウキ</t>
    </rPh>
    <rPh sb="77" eb="79">
      <t>カイヒ</t>
    </rPh>
    <rPh sb="110" eb="111">
      <t>サ</t>
    </rPh>
    <rPh sb="116" eb="118">
      <t>イミ</t>
    </rPh>
    <rPh sb="151" eb="152">
      <t>カンガ</t>
    </rPh>
    <phoneticPr fontId="1"/>
  </si>
  <si>
    <t>14世紀半ば
実行, 完成
&lt;span class="spacer"&gt;&lt;/span&gt;14世紀後期
意図された結果を生み出す効果
天体が人間の事柄に及ぼす影響
何かに続いて起こる結果
&lt;span class="spacer"&gt;&lt;/span&gt;実際に起こる現実や事実
→この意味はin effect（実際に, 事実上）に残っている</t>
    <rPh sb="44" eb="46">
      <t>セイキ</t>
    </rPh>
    <rPh sb="46" eb="48">
      <t>コウキ</t>
    </rPh>
    <rPh sb="61" eb="63">
      <t>コウカ</t>
    </rPh>
    <rPh sb="76" eb="78">
      <t>エイキョウ</t>
    </rPh>
    <rPh sb="88" eb="90">
      <t>ケッカ</t>
    </rPh>
    <rPh sb="119" eb="121">
      <t>ジッサイ</t>
    </rPh>
    <rPh sb="122" eb="123">
      <t>オ</t>
    </rPh>
    <rPh sb="125" eb="127">
      <t>ゲンジツ</t>
    </rPh>
    <rPh sb="128" eb="130">
      <t>ジジツ</t>
    </rPh>
    <rPh sb="134" eb="136">
      <t>イミ</t>
    </rPh>
    <rPh sb="147" eb="149">
      <t>ジッサイ</t>
    </rPh>
    <rPh sb="152" eb="155">
      <t>ジジツジョウ</t>
    </rPh>
    <rPh sb="157" eb="158">
      <t>ノコ</t>
    </rPh>
    <phoneticPr fontId="1"/>
  </si>
  <si>
    <t>12世紀初期
&lt;span class="obsolete"&gt;知識（現在は廃用）&lt;/span&gt;
&lt;span class="spacer"&gt;&lt;/span&gt;12世紀後期
&lt;span class="obsolete"&gt;識別能力（現在は廃用）&lt;/span&gt;
&lt;span class="spacer"&gt;&lt;/span&gt;13世紀初頭
実践的な知識と能力＝技術と技能</t>
    <rPh sb="2" eb="4">
      <t>セイキ</t>
    </rPh>
    <rPh sb="4" eb="6">
      <t>ショキ</t>
    </rPh>
    <rPh sb="30" eb="32">
      <t>チシキ</t>
    </rPh>
    <rPh sb="33" eb="35">
      <t>ゲンザイ</t>
    </rPh>
    <rPh sb="36" eb="38">
      <t>ハイヨウ</t>
    </rPh>
    <rPh sb="77" eb="79">
      <t>セイキ</t>
    </rPh>
    <rPh sb="79" eb="81">
      <t>コウキ</t>
    </rPh>
    <rPh sb="105" eb="107">
      <t>シキベツ</t>
    </rPh>
    <rPh sb="107" eb="109">
      <t>ノウリョク</t>
    </rPh>
    <rPh sb="110" eb="112">
      <t>ゲンザイ</t>
    </rPh>
    <rPh sb="113" eb="115">
      <t>ハイヨウ</t>
    </rPh>
    <rPh sb="154" eb="158">
      <t>セイキショトウ</t>
    </rPh>
    <rPh sb="159" eb="162">
      <t>ジッセンテキ</t>
    </rPh>
    <rPh sb="163" eb="165">
      <t>チシキ</t>
    </rPh>
    <rPh sb="166" eb="168">
      <t>ノウリョク</t>
    </rPh>
    <rPh sb="169" eb="171">
      <t>ギジュツ</t>
    </rPh>
    <rPh sb="172" eb="174">
      <t>ギノウ</t>
    </rPh>
    <phoneticPr fontId="1"/>
  </si>
  <si>
    <t>15世紀初頭
情報, 知識
&lt;span class="spacer"&gt;&lt;/span&gt;名詞から動詞に
&lt;span class="obsolete"&gt;通知する, 知らせる（現在は廃用）&lt;/span&gt;
&lt;span class="spacer"&gt;&lt;/span&gt;1620年代
指摘する
&lt;span class="spacer"&gt;&lt;/span&gt;1757年までに
気づく, 認識する</t>
    <rPh sb="2" eb="6">
      <t>セイキショトウ</t>
    </rPh>
    <rPh sb="11" eb="13">
      <t>チシキ</t>
    </rPh>
    <rPh sb="42" eb="44">
      <t>メイシ</t>
    </rPh>
    <rPh sb="46" eb="48">
      <t>ドウシ</t>
    </rPh>
    <rPh sb="133" eb="135">
      <t>シテキ</t>
    </rPh>
    <rPh sb="175" eb="176">
      <t>キ</t>
    </rPh>
    <rPh sb="180" eb="182">
      <t>ニンシキ</t>
    </rPh>
    <phoneticPr fontId="1"/>
  </si>
  <si>
    <t xml:space="preserve">
1300年頃
数えること
受け取った金銭や支払った金銭の計算
負債や支出、保有財産の詳細な明細
&lt;span class="spacer"&gt;&lt;/span&gt;14世紀半ば
明細を出してお金の流れを説明する
→何かに対する説明</t>
    <rPh sb="5" eb="7">
      <t>ネンゴロ</t>
    </rPh>
    <rPh sb="79" eb="81">
      <t>セイキ</t>
    </rPh>
    <rPh sb="81" eb="82">
      <t>ナカ</t>
    </rPh>
    <rPh sb="84" eb="86">
      <t>メイサイ</t>
    </rPh>
    <rPh sb="87" eb="88">
      <t>ダ</t>
    </rPh>
    <rPh sb="91" eb="92">
      <t>カネ</t>
    </rPh>
    <rPh sb="93" eb="94">
      <t>ナガ</t>
    </rPh>
    <rPh sb="96" eb="98">
      <t>セツメイ</t>
    </rPh>
    <rPh sb="102" eb="103">
      <t>ナニ</t>
    </rPh>
    <rPh sb="105" eb="106">
      <t>タイ</t>
    </rPh>
    <rPh sb="108" eb="110">
      <t>セツメイ</t>
    </rPh>
    <phoneticPr fontId="1"/>
  </si>
  <si>
    <t>1520年代
表現の仕方, 言い回し
2語以上で意味をなす句</t>
    <rPh sb="7" eb="9">
      <t>ヒョウゲン</t>
    </rPh>
    <rPh sb="10" eb="12">
      <t>シカタ</t>
    </rPh>
    <rPh sb="14" eb="15">
      <t>イ</t>
    </rPh>
    <rPh sb="16" eb="17">
      <t>マワ</t>
    </rPh>
    <rPh sb="29" eb="30">
      <t>ク</t>
    </rPh>
    <phoneticPr fontId="1"/>
  </si>
  <si>
    <t>in（中へ）+pangere（固定する, 打ち込む）
impingere（中へ押し込む, 衝突させる）
&lt;span class="spacer"&gt;&lt;/span&gt;過去分詞impactus（押し込まれた）</t>
    <rPh sb="3" eb="4">
      <t>ナカ</t>
    </rPh>
    <rPh sb="80" eb="84">
      <t>カコブンシ</t>
    </rPh>
    <phoneticPr fontId="1"/>
  </si>
  <si>
    <t>1600年代
何かにぴったりと押し込む
&lt;span class="spacer"&gt;&lt;/span&gt;1916年
激しい衝突
&lt;span class="spacer"&gt;&lt;/span&gt;1935年
比喩的に、強い影響</t>
    <rPh sb="7" eb="8">
      <t>ナニ</t>
    </rPh>
    <rPh sb="15" eb="16">
      <t>オ</t>
    </rPh>
    <rPh sb="17" eb="18">
      <t>コ</t>
    </rPh>
    <rPh sb="52" eb="53">
      <t>ネン</t>
    </rPh>
    <rPh sb="54" eb="55">
      <t>ハゲ</t>
    </rPh>
    <rPh sb="57" eb="59">
      <t>ショウトツ</t>
    </rPh>
    <rPh sb="94" eb="97">
      <t>ヒユテキ</t>
    </rPh>
    <rPh sb="99" eb="100">
      <t>ツヨ</t>
    </rPh>
    <rPh sb="101" eb="103">
      <t>エイキョウ</t>
    </rPh>
    <phoneticPr fontId="1"/>
  </si>
  <si>
    <t>meta（追い求めて）+hodos（道, 方法）
methodos（追い求める道, 探究の方法）</t>
    <rPh sb="5" eb="6">
      <t>オ</t>
    </rPh>
    <rPh sb="7" eb="8">
      <t>モト</t>
    </rPh>
    <rPh sb="34" eb="35">
      <t>オ</t>
    </rPh>
    <rPh sb="36" eb="37">
      <t>モト</t>
    </rPh>
    <rPh sb="39" eb="40">
      <t>ミチ</t>
    </rPh>
    <phoneticPr fontId="1"/>
  </si>
  <si>
    <t>methodus（進む道, 教える方法）</t>
    <phoneticPr fontId="1"/>
  </si>
  <si>
    <t>15世紀初頭
病に対する規則的で体系的な治療</t>
    <rPh sb="2" eb="4">
      <t>セイキ</t>
    </rPh>
    <rPh sb="4" eb="6">
      <t>ショトウ</t>
    </rPh>
    <rPh sb="7" eb="8">
      <t>ビョウ</t>
    </rPh>
    <rPh sb="9" eb="10">
      <t>タイ</t>
    </rPh>
    <rPh sb="12" eb="15">
      <t>キソクテキ</t>
    </rPh>
    <rPh sb="16" eb="19">
      <t>タイケイテキ</t>
    </rPh>
    <rPh sb="20" eb="22">
      <t>チリョウ</t>
    </rPh>
    <phoneticPr fontId="1"/>
  </si>
  <si>
    <t>1580年代
何かを行うあらゆる方法
&lt;span class="spacer"&gt;&lt;/span&gt;1610年代
規則性, 秩序
&lt;span class="spacer"&gt;&lt;/span&gt;1680年
目的達成のための体系や規則の集合</t>
    <rPh sb="59" eb="61">
      <t>チツジョ</t>
    </rPh>
    <phoneticPr fontId="1"/>
  </si>
  <si>
    <t>動詞resourdre（立て直す, 再び勢いを取り戻す）
&lt;span class="spacer"&gt;&lt;/span&gt;名詞になって
resourse（源, 泉）</t>
    <rPh sb="0" eb="2">
      <t>ドウシ</t>
    </rPh>
    <rPh sb="57" eb="59">
      <t>メイシ</t>
    </rPh>
    <rPh sb="76" eb="77">
      <t>イズミ</t>
    </rPh>
    <phoneticPr fontId="1"/>
  </si>
  <si>
    <t>1610年代
不足や欠乏を補うためのあらゆる手段
&lt;span class="spacer"&gt;&lt;/span&gt;1690年代
間に合わせの手段
&lt;span class="spacer"&gt;&lt;/span&gt;1779年
資金や物資を調達する手段</t>
    <phoneticPr fontId="1"/>
  </si>
  <si>
    <t>region（土地, 地方）</t>
    <phoneticPr fontId="1"/>
  </si>
  <si>
    <t>regioun</t>
  </si>
  <si>
    <t>1300年頃
かなり広いが範囲の定まらない土地
王国, 国民
&lt;span class="spacer"&gt;&lt;/span&gt;14世紀後期
世界の一部分</t>
    <rPh sb="4" eb="6">
      <t>ネンゴロ</t>
    </rPh>
    <rPh sb="10" eb="11">
      <t>ヒロ</t>
    </rPh>
    <rPh sb="13" eb="15">
      <t>ハンイ</t>
    </rPh>
    <rPh sb="16" eb="17">
      <t>サダ</t>
    </rPh>
    <rPh sb="21" eb="23">
      <t>トチ</t>
    </rPh>
    <rPh sb="61" eb="63">
      <t>セイキ</t>
    </rPh>
    <rPh sb="63" eb="65">
      <t>コウキ</t>
    </rPh>
    <phoneticPr fontId="1"/>
  </si>
  <si>
    <t>medicus（医師）
&lt;span class="spacer"&gt;&lt;/span&gt;形容詞を作る-nusが付いて
medicinus（医師の, 治療に関する）
&lt;span class="spacer"&gt;&lt;/span&gt;名詞を作る-inaが付いて
medicina（医学, 治療, 薬）</t>
    <rPh sb="40" eb="43">
      <t>ケイヨウシ</t>
    </rPh>
    <rPh sb="44" eb="45">
      <t>ツク</t>
    </rPh>
    <rPh sb="51" eb="52">
      <t>ツ</t>
    </rPh>
    <rPh sb="106" eb="108">
      <t>メイシ</t>
    </rPh>
    <phoneticPr fontId="1"/>
  </si>
  <si>
    <t>medecine（医学, 治療, 薬）</t>
    <phoneticPr fontId="1"/>
  </si>
  <si>
    <t>1200年頃
医療, 治療
&lt;span class="spacer"&gt;&lt;/span&gt;14世紀初頭
薬用の飲み薬や軟膏
&lt;span class="spacer"&gt;&lt;/span&gt;14世紀半ば
医学</t>
    <rPh sb="4" eb="6">
      <t>ネンゴロ</t>
    </rPh>
    <rPh sb="7" eb="9">
      <t>イリョウ</t>
    </rPh>
    <rPh sb="44" eb="46">
      <t>セイキ</t>
    </rPh>
    <rPh sb="46" eb="48">
      <t>ショトウ</t>
    </rPh>
    <rPh sb="91" eb="92">
      <t>ナカ</t>
    </rPh>
    <rPh sb="94" eb="96">
      <t>イガク</t>
    </rPh>
    <phoneticPr fontId="1"/>
  </si>
  <si>
    <t>de（完全に）+taillier（切る）
detaillier（細かく切り分ける）
&lt;span class="spacer"&gt;&lt;/span&gt;名詞になって
detail（細かく切り分けたもの, 少量）</t>
    <rPh sb="70" eb="72">
      <t>メイシ</t>
    </rPh>
    <phoneticPr fontId="1"/>
  </si>
  <si>
    <t>détail（詳細, 細部）</t>
    <rPh sb="11" eb="13">
      <t>サイブ</t>
    </rPh>
    <phoneticPr fontId="1"/>
  </si>
  <si>
    <t>1600年代
個々の事柄への注意
&lt;span class="spacer"&gt;&lt;/span&gt;1690年代
詳細な説明
&lt;span class="spacer"&gt;&lt;/span&gt;1786年から
個々の部分
&lt;span class="spacer"&gt;&lt;/span&gt;1823年までに
細部（美術用語）</t>
    <rPh sb="137" eb="139">
      <t>サイブ</t>
    </rPh>
    <rPh sb="140" eb="144">
      <t>ビジュツヨウゴ</t>
    </rPh>
    <phoneticPr fontId="1"/>
  </si>
  <si>
    <t>faiture（行為, 形態, 顔つき）</t>
    <phoneticPr fontId="1"/>
  </si>
  <si>
    <t>feture</t>
    <phoneticPr fontId="1"/>
  </si>
  <si>
    <t>1690年代
物事を特徴づける部分</t>
    <phoneticPr fontId="1"/>
  </si>
  <si>
    <t>fonction（機能, 役割）</t>
    <phoneticPr fontId="1"/>
  </si>
  <si>
    <t>1530年代
特定の正しい仕方で行為する能力
&lt;span class="spacer"&gt;&lt;/span&gt;1692年代
数学の関数</t>
    <rPh sb="58" eb="60">
      <t>スウガク</t>
    </rPh>
    <rPh sb="61" eb="63">
      <t>カンスウ</t>
    </rPh>
    <phoneticPr fontId="1"/>
  </si>
  <si>
    <t>acces（襲撃, 攻撃, 病気の発症）</t>
    <phoneticPr fontId="1"/>
  </si>
  <si>
    <t>1600年頃
入口</t>
    <rPh sb="4" eb="6">
      <t>ネンコロ</t>
    </rPh>
    <rPh sb="7" eb="9">
      <t>イリグチ</t>
    </rPh>
    <phoneticPr fontId="1"/>
  </si>
  <si>
    <t>id（それ）
&lt;span class="spacer"&gt;&lt;/span&gt;ita（そのように）
&lt;span class="spacer"&gt;&lt;/span&gt;ita（そのように）+tem（副詞を作る）
item（同様に, さらに）</t>
    <phoneticPr fontId="1"/>
  </si>
  <si>
    <t>14世紀後期
さらに, 加えて</t>
    <rPh sb="2" eb="4">
      <t>セイキ</t>
    </rPh>
    <rPh sb="4" eb="6">
      <t>コウキ</t>
    </rPh>
    <rPh sb="12" eb="13">
      <t>クワ</t>
    </rPh>
    <phoneticPr fontId="1"/>
  </si>
  <si>
    <t>1570年頃
「さらに, その上」という意味から発展して、品目や項目を列挙する書類に書かれている一つひとつを指す名詞となる
品目, 項目
&lt;span class="spacer"&gt;&lt;/span&gt;1819年から
新聞における項目, 記事</t>
    <rPh sb="4" eb="6">
      <t>ネンコロ</t>
    </rPh>
    <rPh sb="15" eb="16">
      <t>ウエ</t>
    </rPh>
    <rPh sb="20" eb="22">
      <t>イミ</t>
    </rPh>
    <rPh sb="24" eb="26">
      <t>ハッテン</t>
    </rPh>
    <rPh sb="29" eb="31">
      <t>ヒンモク</t>
    </rPh>
    <rPh sb="32" eb="34">
      <t>コウモク</t>
    </rPh>
    <rPh sb="42" eb="43">
      <t>カ</t>
    </rPh>
    <rPh sb="101" eb="102">
      <t>ネン</t>
    </rPh>
    <rPh sb="105" eb="107">
      <t>シンブン</t>
    </rPh>
    <rPh sb="111" eb="113">
      <t>コウモク</t>
    </rPh>
    <rPh sb="115" eb="117">
      <t>キジレッキョショルイヒトサメイシヒンモクコウモク</t>
    </rPh>
    <phoneticPr fontId="1"/>
  </si>
  <si>
    <t>in（中に）+cuman（来る）
incuman（中に来る）</t>
    <rPh sb="3" eb="4">
      <t>ナカ</t>
    </rPh>
    <rPh sb="13" eb="14">
      <t>ク</t>
    </rPh>
    <rPh sb="25" eb="26">
      <t>ナカ</t>
    </rPh>
    <rPh sb="27" eb="28">
      <t>ク</t>
    </rPh>
    <phoneticPr fontId="1"/>
  </si>
  <si>
    <t>1300年頃
入ってくること, 到来</t>
    <rPh sb="4" eb="6">
      <t>ネンゴロ</t>
    </rPh>
    <rPh sb="7" eb="8">
      <t>ハイ</t>
    </rPh>
    <rPh sb="16" eb="18">
      <t>トウライ</t>
    </rPh>
    <phoneticPr fontId="1"/>
  </si>
  <si>
    <t>1600年頃
事業や労働によって得られる金銭
収入</t>
    <rPh sb="4" eb="6">
      <t>ネンコロ</t>
    </rPh>
    <rPh sb="20" eb="22">
      <t>キンセン</t>
    </rPh>
    <rPh sb="23" eb="25">
      <t>シュウニュウレッキョショルイヒトサメイシヒンモクコウモク</t>
    </rPh>
    <phoneticPr fontId="1"/>
  </si>
  <si>
    <t>aptus（適切な）</t>
    <rPh sb="6" eb="8">
      <t>テキセツ</t>
    </rPh>
    <phoneticPr fontId="1"/>
  </si>
  <si>
    <t>aptusに名詞を作る-tudoが付いて
aptitudo（適性）</t>
    <rPh sb="6" eb="8">
      <t>メイシ</t>
    </rPh>
    <rPh sb="9" eb="10">
      <t>ツク</t>
    </rPh>
    <rPh sb="17" eb="18">
      <t>ツ</t>
    </rPh>
    <rPh sb="30" eb="32">
      <t>テキセイ</t>
    </rPh>
    <phoneticPr fontId="1"/>
  </si>
  <si>
    <t>attitudine（適性, 配置, 姿勢）</t>
    <rPh sb="11" eb="13">
      <t>テキセイ</t>
    </rPh>
    <rPh sb="15" eb="17">
      <t>ハイチ</t>
    </rPh>
    <rPh sb="19" eb="21">
      <t>シセイ</t>
    </rPh>
    <phoneticPr fontId="1"/>
  </si>
  <si>
    <t>フランス語</t>
    <rPh sb="4" eb="5">
      <t>ゴ</t>
    </rPh>
    <phoneticPr fontId="1"/>
  </si>
  <si>
    <t>17世紀
attitude（姿勢, 態度）</t>
    <rPh sb="2" eb="4">
      <t>セイキ</t>
    </rPh>
    <rPh sb="14" eb="16">
      <t>シセイ</t>
    </rPh>
    <rPh sb="18" eb="20">
      <t>タイド</t>
    </rPh>
    <phoneticPr fontId="1"/>
  </si>
  <si>
    <t>1660年代
彫刻や絵画における人物の姿勢やポーズ
&lt;span class="spacer"&gt;&lt;/span&gt;1725年
心の状態を表す身体の姿勢
&lt;span class="spacer"&gt;&lt;/span&gt;1757年
心構え, 態度</t>
    <rPh sb="4" eb="6">
      <t>ネンダイ</t>
    </rPh>
    <rPh sb="58" eb="59">
      <t>ネンレッキョショルイヒトサメイシヒンモクコウモク</t>
    </rPh>
    <phoneticPr fontId="1"/>
  </si>
  <si>
    <t>site（場所, 位置）</t>
    <phoneticPr fontId="1"/>
  </si>
  <si>
    <t>14世紀後期
物が占めている場所, 位置
建物が建っている土地</t>
    <rPh sb="2" eb="4">
      <t>セイキ</t>
    </rPh>
    <rPh sb="4" eb="6">
      <t>コウキ</t>
    </rPh>
    <rPh sb="7" eb="8">
      <t>ブツ</t>
    </rPh>
    <rPh sb="9" eb="10">
      <t>シ</t>
    </rPh>
    <rPh sb="14" eb="16">
      <t>バショ</t>
    </rPh>
    <rPh sb="18" eb="20">
      <t>イチ</t>
    </rPh>
    <phoneticPr fontId="1"/>
  </si>
  <si>
    <t>14世紀後期
占星術用語で、地球から見た惑星同士の位置関係
互いがどのように見えているか
&lt;span class="spacer"&gt;&lt;/span&gt;15世紀初頭
物事の外観, 見え方</t>
    <rPh sb="2" eb="4">
      <t>セイキ</t>
    </rPh>
    <rPh sb="4" eb="6">
      <t>コウキ</t>
    </rPh>
    <rPh sb="7" eb="10">
      <t>センセイジュツ</t>
    </rPh>
    <rPh sb="10" eb="12">
      <t>ヨウゴ</t>
    </rPh>
    <rPh sb="14" eb="16">
      <t>チキュウ</t>
    </rPh>
    <rPh sb="18" eb="19">
      <t>ミ</t>
    </rPh>
    <rPh sb="20" eb="22">
      <t>ワクセイ</t>
    </rPh>
    <rPh sb="22" eb="24">
      <t>ドウシ</t>
    </rPh>
    <rPh sb="25" eb="27">
      <t>イチ</t>
    </rPh>
    <rPh sb="27" eb="29">
      <t>カンケイ</t>
    </rPh>
    <rPh sb="30" eb="31">
      <t>タガ</t>
    </rPh>
    <rPh sb="38" eb="39">
      <t>ミ</t>
    </rPh>
    <rPh sb="75" eb="77">
      <t>セイキ</t>
    </rPh>
    <rPh sb="77" eb="79">
      <t>ショトウ</t>
    </rPh>
    <phoneticPr fontId="1"/>
  </si>
  <si>
    <t>15世紀半ば
&lt;span class="obsolete"&gt;建築材料, 建てる行為や過程（現在は廃用）&lt;/span&gt;</t>
    <rPh sb="2" eb="4">
      <t>セイキ</t>
    </rPh>
    <rPh sb="4" eb="5">
      <t>ナカ</t>
    </rPh>
    <phoneticPr fontId="1"/>
  </si>
  <si>
    <t>1610年代
建てられたもの, 建築物
組織の枠組み, 体系
&lt;span class="spacer"&gt;&lt;/span&gt;17世紀後期
組み合わされてできたあらゆるもの
構造
&lt;span class="spacer"&gt;&lt;/span&gt;1746年から
作品の構造</t>
    <rPh sb="4" eb="6">
      <t>ネンダイ</t>
    </rPh>
    <rPh sb="28" eb="30">
      <t>タイケイ</t>
    </rPh>
    <rPh sb="61" eb="63">
      <t>セイキ</t>
    </rPh>
    <rPh sb="63" eb="65">
      <t>コウキ</t>
    </rPh>
    <rPh sb="83" eb="85">
      <t>コウゾウ</t>
    </rPh>
    <rPh sb="118" eb="119">
      <t>ネン</t>
    </rPh>
    <rPh sb="122" eb="124">
      <t>サクヒン</t>
    </rPh>
    <rPh sb="125" eb="127">
      <t>コウゾウレッキョショルイヒトサメイシヒンモクコウモク</t>
    </rPh>
    <phoneticPr fontId="1"/>
  </si>
  <si>
    <t>habit（衣服, 行動様式）</t>
    <phoneticPr fontId="1"/>
  </si>
  <si>
    <t>13世紀初期
聖職者の特徴的な服装
&lt;span class="spacer"&gt;&lt;/span&gt;14世紀初頭
慣習的行為</t>
    <rPh sb="2" eb="4">
      <t>セイキ</t>
    </rPh>
    <rPh sb="4" eb="6">
      <t>ショキ</t>
    </rPh>
    <rPh sb="48" eb="50">
      <t>セイキ</t>
    </rPh>
    <rPh sb="50" eb="52">
      <t>ショトウ</t>
    </rPh>
    <phoneticPr fontId="1"/>
  </si>
  <si>
    <t>北欧諸語</t>
    <phoneticPr fontId="1"/>
  </si>
  <si>
    <t>古ノルド語hlekkr（輪, 複数形で鎖）
&lt;span class="spacer"&gt;&lt;/span&gt;古スウェーデン語lænker（鎖）
&lt;span class="spacer"&gt;&lt;/span&gt;ノルウェー語lenke（輪）
&lt;span class="spacer"&gt;&lt;/span&gt;デンマーク語læ nke（鎖）</t>
    <rPh sb="15" eb="18">
      <t>フクスウケイ</t>
    </rPh>
    <rPh sb="65" eb="66">
      <t>クサリ</t>
    </rPh>
    <rPh sb="108" eb="109">
      <t>ワ</t>
    </rPh>
    <rPh sb="152" eb="153">
      <t>クサリ</t>
    </rPh>
    <phoneticPr fontId="1"/>
  </si>
  <si>
    <t>15世紀初期
鎖を構成する輪
&lt;span class="spacer"&gt;&lt;/span&gt;15世紀半ば
連続した鎖状のソーセージの一区切り</t>
    <rPh sb="2" eb="4">
      <t>セイキ</t>
    </rPh>
    <rPh sb="4" eb="6">
      <t>ショキ</t>
    </rPh>
    <rPh sb="45" eb="47">
      <t>セイキ</t>
    </rPh>
    <rPh sb="47" eb="48">
      <t>ナカ</t>
    </rPh>
    <phoneticPr fontId="1"/>
  </si>
  <si>
    <t>1540年代
ある物や部分を別の物や部分につなぐ役割を果たすもの</t>
    <rPh sb="4" eb="6">
      <t>ネンダイレッキョショルイヒトサメイシヒンモクコウモク</t>
    </rPh>
    <phoneticPr fontId="1"/>
  </si>
  <si>
    <t>in（近くに）+stare（立つ）
instare（近くに立つ, 切迫する）</t>
    <phoneticPr fontId="1"/>
  </si>
  <si>
    <t>instance（切迫）</t>
    <phoneticPr fontId="1"/>
  </si>
  <si>
    <t>14世紀後期
&lt;span class="obsolete"&gt;切迫（現在は廃用）&lt;/span&gt;
&lt;span class="spacer"&gt;&lt;/span&gt;15世紀初期
中世ラテン語で使われていた論理学における事例, 例</t>
    <rPh sb="2" eb="4">
      <t>セイキ</t>
    </rPh>
    <rPh sb="4" eb="6">
      <t>コウキ</t>
    </rPh>
    <rPh sb="77" eb="79">
      <t>セイキ</t>
    </rPh>
    <rPh sb="79" eb="81">
      <t>ショキ</t>
    </rPh>
    <rPh sb="82" eb="84">
      <t>チュウセイ</t>
    </rPh>
    <rPh sb="87" eb="88">
      <t>ゴ</t>
    </rPh>
    <rPh sb="89" eb="90">
      <t>ツカ</t>
    </rPh>
    <rPh sb="95" eb="98">
      <t>ロンリガク</t>
    </rPh>
    <rPh sb="102" eb="104">
      <t>ジレイ</t>
    </rPh>
    <rPh sb="106" eb="107">
      <t>レイ</t>
    </rPh>
    <phoneticPr fontId="1"/>
  </si>
  <si>
    <t>1650年代
for instance（例えば, 例として）
&lt;span class="spacer"&gt;&lt;/span&gt;19世紀
一般的に使われる例, 事例</t>
    <rPh sb="4" eb="6">
      <t>ネンダイ</t>
    </rPh>
    <rPh sb="20" eb="21">
      <t>タト</t>
    </rPh>
    <rPh sb="25" eb="26">
      <t>レイ</t>
    </rPh>
    <rPh sb="64" eb="67">
      <t>イッパンテキ</t>
    </rPh>
    <rPh sb="68" eb="69">
      <t>ツカ</t>
    </rPh>
    <rPh sb="72" eb="73">
      <t>レイ</t>
    </rPh>
    <rPh sb="75" eb="77">
      <t>ジレイレッキョショルイヒトサメイシヒンモクコウモク</t>
    </rPh>
    <phoneticPr fontId="1"/>
  </si>
  <si>
    <t>positif（確定した）</t>
    <phoneticPr fontId="1"/>
  </si>
  <si>
    <t>14世紀初期
もともとは法律用語
権威によって制定された
&lt;span class="spacer"&gt;&lt;/span&gt;15世紀半ば
絶対的な</t>
    <rPh sb="2" eb="4">
      <t>セイキ</t>
    </rPh>
    <rPh sb="4" eb="6">
      <t>ショキ</t>
    </rPh>
    <rPh sb="12" eb="14">
      <t>ホウリツ</t>
    </rPh>
    <rPh sb="14" eb="16">
      <t>ヨウゴ</t>
    </rPh>
    <rPh sb="17" eb="19">
      <t>ケンイ</t>
    </rPh>
    <rPh sb="23" eb="25">
      <t>セイテイ</t>
    </rPh>
    <rPh sb="59" eb="61">
      <t>セイキ</t>
    </rPh>
    <rPh sb="61" eb="62">
      <t>ナカ</t>
    </rPh>
    <phoneticPr fontId="1"/>
  </si>
  <si>
    <t>1660年代
自分の意見に自信のある</t>
    <rPh sb="4" eb="6">
      <t>ネンダイレッキョショルイヒトサメイシヒンモクコウモク</t>
    </rPh>
    <phoneticPr fontId="1"/>
  </si>
  <si>
    <t>negatif（否定の）</t>
    <rPh sb="8" eb="10">
      <t>ヒテイ</t>
    </rPh>
    <phoneticPr fontId="1"/>
  </si>
  <si>
    <t>negatif</t>
    <phoneticPr fontId="1"/>
  </si>
  <si>
    <t>1400年頃
否定を表す</t>
    <rPh sb="4" eb="6">
      <t>ネンゴロ</t>
    </rPh>
    <rPh sb="7" eb="9">
      <t>ヒテイ</t>
    </rPh>
    <rPh sb="10" eb="11">
      <t>アラワ</t>
    </rPh>
    <phoneticPr fontId="1"/>
  </si>
  <si>
    <t>1560年代
否定的な, 消極的な</t>
    <rPh sb="4" eb="6">
      <t>ネンダイ</t>
    </rPh>
    <rPh sb="7" eb="10">
      <t>ヒテイテキ</t>
    </rPh>
    <rPh sb="13" eb="16">
      <t>ショウキョクテキレッキョショルイヒトサメイシヒンモクコウモク</t>
    </rPh>
    <phoneticPr fontId="1"/>
  </si>
  <si>
    <t>complexe（込み入った, 複雑な）</t>
    <rPh sb="9" eb="10">
      <t>コ</t>
    </rPh>
    <rPh sb="11" eb="12">
      <t>イ</t>
    </rPh>
    <rPh sb="16" eb="18">
      <t>フクザツ</t>
    </rPh>
    <phoneticPr fontId="1"/>
  </si>
  <si>
    <t>1650年代
要素の組み合わせでなるもの
&lt;span class="spacer"&gt;&lt;/span&gt;1715年
入り組んだ, 複雑な</t>
    <rPh sb="4" eb="6">
      <t>ネンダイ</t>
    </rPh>
    <rPh sb="7" eb="9">
      <t>ヨウソ</t>
    </rPh>
    <rPh sb="10" eb="11">
      <t>ク</t>
    </rPh>
    <rPh sb="12" eb="13">
      <t>ア</t>
    </rPh>
    <rPh sb="53" eb="54">
      <t>ネン</t>
    </rPh>
    <rPh sb="55" eb="56">
      <t>イ</t>
    </rPh>
    <rPh sb="57" eb="58">
      <t>ク</t>
    </rPh>
    <rPh sb="62" eb="64">
      <t>フクザツ</t>
    </rPh>
    <phoneticPr fontId="1"/>
  </si>
  <si>
    <t>currere（走る）</t>
    <phoneticPr fontId="1"/>
  </si>
  <si>
    <t>corre（走る）
&lt;span class="spacer"&gt;&lt;/span&gt;現在分詞corant（走っている）</t>
    <rPh sb="6" eb="7">
      <t>ハシ</t>
    </rPh>
    <rPh sb="38" eb="42">
      <t>ゲンザイブンシ</t>
    </rPh>
    <rPh sb="49" eb="50">
      <t>ハシ</t>
    </rPh>
    <phoneticPr fontId="1"/>
  </si>
  <si>
    <t>1300年頃
走っている, 流れている
&lt;span class="spacer"&gt;&lt;/span&gt;15世紀半ば
現行の, 現在有効な
&lt;span class="spacer"&gt;&lt;/span&gt;15世紀後半
貨幣が流通している</t>
    <rPh sb="4" eb="6">
      <t>ネンゴロ</t>
    </rPh>
    <rPh sb="7" eb="8">
      <t>ハシ</t>
    </rPh>
    <rPh sb="14" eb="15">
      <t>ナガ</t>
    </rPh>
    <rPh sb="50" eb="52">
      <t>セイキ</t>
    </rPh>
    <rPh sb="52" eb="53">
      <t>ナカ</t>
    </rPh>
    <rPh sb="55" eb="57">
      <t>ゲンコウ</t>
    </rPh>
    <rPh sb="60" eb="64">
      <t>ゲンザイユウコウ</t>
    </rPh>
    <rPh sb="98" eb="100">
      <t>コウハン</t>
    </rPh>
    <rPh sb="101" eb="103">
      <t>カヘイ</t>
    </rPh>
    <rPh sb="104" eb="106">
      <t>リュウツウ</t>
    </rPh>
    <phoneticPr fontId="1"/>
  </si>
  <si>
    <t>近代英語</t>
    <rPh sb="2" eb="4">
      <t>セイキ</t>
    </rPh>
    <phoneticPr fontId="1"/>
  </si>
  <si>
    <t>1560年代
広く行き渡っている
&lt;span class="spacer"&gt;&lt;/span&gt;1600年代
現在進行中の, 現時点の</t>
    <rPh sb="4" eb="6">
      <t>ネンダイ</t>
    </rPh>
    <rPh sb="7" eb="8">
      <t>ヒロ</t>
    </rPh>
    <rPh sb="9" eb="10">
      <t>イ</t>
    </rPh>
    <rPh sb="11" eb="12">
      <t>ワタ</t>
    </rPh>
    <rPh sb="49" eb="51">
      <t>ネンダイ</t>
    </rPh>
    <rPh sb="52" eb="54">
      <t>ゲンザイ</t>
    </rPh>
    <rPh sb="54" eb="57">
      <t>シンコウチュウ</t>
    </rPh>
    <rPh sb="60" eb="63">
      <t>ゲンジテン</t>
    </rPh>
    <phoneticPr fontId="1"/>
  </si>
  <si>
    <t>mens（心）</t>
    <phoneticPr fontId="1"/>
  </si>
  <si>
    <t>15世紀初頭
心の, 精神の</t>
    <rPh sb="2" eb="4">
      <t>セイキ</t>
    </rPh>
    <rPh sb="4" eb="6">
      <t>ショトウ</t>
    </rPh>
    <rPh sb="7" eb="8">
      <t>ココロ</t>
    </rPh>
    <rPh sb="11" eb="13">
      <t>セイシン</t>
    </rPh>
    <phoneticPr fontId="1"/>
  </si>
  <si>
    <t>species（種類）+facere（作る, する）</t>
    <phoneticPr fontId="1"/>
  </si>
  <si>
    <t>specificus（ある種類を構成する, 種に固有の）</t>
    <phoneticPr fontId="1"/>
  </si>
  <si>
    <t>spécifique（特定の, 固有の）</t>
    <rPh sb="11" eb="13">
      <t>トクテイ</t>
    </rPh>
    <rPh sb="16" eb="18">
      <t>コユウ</t>
    </rPh>
    <phoneticPr fontId="1"/>
  </si>
  <si>
    <t>15世紀初頭
特定の, 狭い意味の, 限定された</t>
    <rPh sb="2" eb="4">
      <t>セイキ</t>
    </rPh>
    <rPh sb="4" eb="6">
      <t>ショトウ</t>
    </rPh>
    <rPh sb="7" eb="9">
      <t>トクテイ</t>
    </rPh>
    <rPh sb="12" eb="13">
      <t>セマ</t>
    </rPh>
    <rPh sb="14" eb="16">
      <t>イミ</t>
    </rPh>
    <rPh sb="19" eb="21">
      <t>ゲンテイ</t>
    </rPh>
    <phoneticPr fontId="1"/>
  </si>
  <si>
    <t>signum（印）+facere（作る, する）
significare（印をつける, 示す, 意味する）
&lt;span class="spacer"&gt;&lt;/span&gt;現在分詞significans（示している, 意味している）</t>
    <rPh sb="37" eb="38">
      <t>シルシ</t>
    </rPh>
    <rPh sb="44" eb="45">
      <t>シメ</t>
    </rPh>
    <rPh sb="48" eb="50">
      <t>イミ</t>
    </rPh>
    <rPh sb="98" eb="99">
      <t>シメ</t>
    </rPh>
    <rPh sb="105" eb="107">
      <t>イミ</t>
    </rPh>
    <phoneticPr fontId="1"/>
  </si>
  <si>
    <t>1570年代
意味を持つ
&lt;span class="spacer"&gt;&lt;/span&gt;1590年代から
しるしや指標として機能する
&lt;span class="spacer"&gt;&lt;/span&gt;1590年代から
隠れた意味を持つ
重要な, 重みのある</t>
    <rPh sb="4" eb="6">
      <t>ネンダイ</t>
    </rPh>
    <rPh sb="7" eb="9">
      <t>イミ</t>
    </rPh>
    <rPh sb="10" eb="11">
      <t>モ</t>
    </rPh>
    <rPh sb="45" eb="47">
      <t>ネンダイ</t>
    </rPh>
    <rPh sb="54" eb="56">
      <t>シヒョウ</t>
    </rPh>
    <rPh sb="59" eb="61">
      <t>キノウ</t>
    </rPh>
    <rPh sb="101" eb="102">
      <t>カク</t>
    </rPh>
    <rPh sb="104" eb="106">
      <t>イミ</t>
    </rPh>
    <rPh sb="107" eb="108">
      <t>モ</t>
    </rPh>
    <rPh sb="110" eb="112">
      <t>ジュウヨウ</t>
    </rPh>
    <rPh sb="115" eb="116">
      <t>オモ</t>
    </rPh>
    <phoneticPr fontId="1"/>
  </si>
  <si>
    <t>esse（存在する）</t>
    <phoneticPr fontId="1"/>
  </si>
  <si>
    <t>本質的にそのようになっている
&lt;span class="spacer"&gt;&lt;/span&gt;14世紀後期から
本質的な
&lt;span class="spacer"&gt;&lt;/span&gt;1520年代から
必要不可欠な</t>
    <rPh sb="0" eb="3">
      <t>ホンシツテキ</t>
    </rPh>
    <rPh sb="45" eb="47">
      <t>セイキ</t>
    </rPh>
    <rPh sb="47" eb="49">
      <t>コウキ</t>
    </rPh>
    <rPh sb="52" eb="55">
      <t>ホンシツテキ</t>
    </rPh>
    <rPh sb="89" eb="91">
      <t>ネンダイ</t>
    </rPh>
    <rPh sb="94" eb="99">
      <t>ヒツヨウフカケツ</t>
    </rPh>
    <phoneticPr fontId="1"/>
  </si>
  <si>
    <t>形容詞を作る-alisが付いて
officialis（職務に関する）</t>
    <rPh sb="27" eb="29">
      <t>ショクム</t>
    </rPh>
    <rPh sb="30" eb="31">
      <t>カン</t>
    </rPh>
    <phoneticPr fontId="1"/>
  </si>
  <si>
    <t>oficial（公的な, 正式な）</t>
    <rPh sb="8" eb="10">
      <t>コウテキ</t>
    </rPh>
    <rPh sb="13" eb="15">
      <t>セイシキ</t>
    </rPh>
    <phoneticPr fontId="1"/>
  </si>
  <si>
    <t>14世紀後期
&lt;span class="obsolete"&gt;奉仕を行う（現在は廃用）&lt;/span&gt;
&lt;span class="spacer"&gt;&lt;/span&gt;1400年頃
義務によって要求される</t>
    <rPh sb="2" eb="4">
      <t>セイキ</t>
    </rPh>
    <rPh sb="4" eb="6">
      <t>コウキ</t>
    </rPh>
    <rPh sb="30" eb="32">
      <t>ホウシ</t>
    </rPh>
    <rPh sb="33" eb="34">
      <t>オコナ</t>
    </rPh>
    <phoneticPr fontId="1"/>
  </si>
  <si>
    <t>1600年代
公的地位に関する
&lt;span class="spacer"&gt;&lt;/span&gt;1854年までに
正当な職務によって派生したもの
公式の</t>
    <rPh sb="4" eb="6">
      <t>ネンダイ</t>
    </rPh>
    <rPh sb="7" eb="9">
      <t>コウテキ</t>
    </rPh>
    <rPh sb="9" eb="11">
      <t>チイ</t>
    </rPh>
    <rPh sb="12" eb="13">
      <t>カン</t>
    </rPh>
    <rPh sb="48" eb="49">
      <t>ネン</t>
    </rPh>
    <rPh sb="53" eb="55">
      <t>セイトウ</t>
    </rPh>
    <rPh sb="56" eb="58">
      <t>ショクム</t>
    </rPh>
    <rPh sb="62" eb="64">
      <t>ハセイ</t>
    </rPh>
    <rPh sb="69" eb="71">
      <t>コウシキ</t>
    </rPh>
    <phoneticPr fontId="1"/>
  </si>
  <si>
    <t>1769年
finance（財政）+ial（形容詞を作る）</t>
    <rPh sb="4" eb="5">
      <t>ネン</t>
    </rPh>
    <rPh sb="14" eb="16">
      <t>ザイセイ</t>
    </rPh>
    <rPh sb="22" eb="25">
      <t>ケイヨウシ</t>
    </rPh>
    <rPh sb="26" eb="27">
      <t>ツク</t>
    </rPh>
    <phoneticPr fontId="1"/>
  </si>
  <si>
    <t>Akadēmeia（アカデメイア, 学園, アカデーモスの森）
アカデーモスという伝説上の人物の名前がついた森でプラトンが弟子に教えたことから学園となる</t>
    <rPh sb="18" eb="20">
      <t>ガクエン</t>
    </rPh>
    <rPh sb="29" eb="30">
      <t>モリ</t>
    </rPh>
    <rPh sb="41" eb="43">
      <t>デンセツ</t>
    </rPh>
    <rPh sb="43" eb="44">
      <t>ジョウ</t>
    </rPh>
    <rPh sb="45" eb="47">
      <t>ジンブツ</t>
    </rPh>
    <rPh sb="48" eb="50">
      <t>ナマエ</t>
    </rPh>
    <rPh sb="54" eb="55">
      <t>モリ</t>
    </rPh>
    <rPh sb="61" eb="63">
      <t>デシ</t>
    </rPh>
    <rPh sb="64" eb="65">
      <t>オシ</t>
    </rPh>
    <rPh sb="71" eb="73">
      <t>ガクエン</t>
    </rPh>
    <phoneticPr fontId="1"/>
  </si>
  <si>
    <t>Academia（アカデメイア）
&lt;span class="spacer"&gt;&lt;/span&gt;形容詞を作る-icusが付いて
academicus（アカデメイアの）</t>
    <rPh sb="45" eb="48">
      <t>ケイヨウシ</t>
    </rPh>
    <phoneticPr fontId="1"/>
  </si>
  <si>
    <t>1580年代
アカデメイアに関する
大学の, 学問的な</t>
    <rPh sb="4" eb="6">
      <t>ネンダイ</t>
    </rPh>
    <rPh sb="14" eb="15">
      <t>カン</t>
    </rPh>
    <rPh sb="18" eb="20">
      <t>ダイガク</t>
    </rPh>
    <rPh sb="23" eb="26">
      <t>ガクモンテキ</t>
    </rPh>
    <phoneticPr fontId="1"/>
  </si>
  <si>
    <t>印欧祖語</t>
    <rPh sb="0" eb="4">
      <t>インオウソゴ</t>
    </rPh>
    <phoneticPr fontId="1"/>
  </si>
  <si>
    <t>*wer-（注意して見る, 警戒する）</t>
    <rPh sb="6" eb="8">
      <t>チュウイ</t>
    </rPh>
    <rPh sb="10" eb="11">
      <t>ミ</t>
    </rPh>
    <rPh sb="14" eb="16">
      <t>ケイカイ</t>
    </rPh>
    <phoneticPr fontId="1"/>
  </si>
  <si>
    <t>aware（気づいて, 注意して）</t>
    <rPh sb="6" eb="7">
      <t>キ</t>
    </rPh>
    <rPh sb="12" eb="14">
      <t>チュウイ</t>
    </rPh>
    <phoneticPr fontId="1"/>
  </si>
  <si>
    <t>weorþ（価値がある, ふさわしい）</t>
    <rPh sb="6" eb="8">
      <t>カチ</t>
    </rPh>
    <phoneticPr fontId="1"/>
  </si>
  <si>
    <t>1200年頃
準前置詞的用法：worth+名詞/doing
～の価値がある, ～に値する</t>
    <rPh sb="4" eb="5">
      <t>ネン</t>
    </rPh>
    <rPh sb="5" eb="6">
      <t>コロ</t>
    </rPh>
    <rPh sb="7" eb="8">
      <t>ジュン</t>
    </rPh>
    <rPh sb="8" eb="11">
      <t>ゼンチシ</t>
    </rPh>
    <rPh sb="11" eb="12">
      <t>テキ</t>
    </rPh>
    <rPh sb="12" eb="14">
      <t>ヨウホウ</t>
    </rPh>
    <rPh sb="21" eb="23">
      <t>メイシ</t>
    </rPh>
    <rPh sb="32" eb="34">
      <t>カチ</t>
    </rPh>
    <rPh sb="41" eb="42">
      <t>アタイ</t>
    </rPh>
    <phoneticPr fontId="1"/>
  </si>
  <si>
    <t>&lt;span class="spacer"&gt;&lt;/span&gt;形容詞を作る-alisが付いて
potentialis（可能な, 潜在的な）</t>
    <rPh sb="56" eb="58">
      <t>カノウ</t>
    </rPh>
    <rPh sb="61" eb="64">
      <t>センザイテキ</t>
    </rPh>
    <phoneticPr fontId="1"/>
  </si>
  <si>
    <t>potenciel（可能な, 潜在的な）</t>
    <rPh sb="10" eb="12">
      <t>カノウ</t>
    </rPh>
    <rPh sb="15" eb="18">
      <t>センザイテキ</t>
    </rPh>
    <phoneticPr fontId="1"/>
  </si>
  <si>
    <t>14世紀後期
可能な（現実や事実の反対）
ありうる</t>
    <rPh sb="2" eb="4">
      <t>セイキ</t>
    </rPh>
    <rPh sb="4" eb="6">
      <t>コウキ</t>
    </rPh>
    <rPh sb="7" eb="9">
      <t>カノウ</t>
    </rPh>
    <rPh sb="11" eb="13">
      <t>ゲンジツ</t>
    </rPh>
    <rPh sb="14" eb="16">
      <t>ジジツ</t>
    </rPh>
    <rPh sb="17" eb="19">
      <t>ハンタイ</t>
    </rPh>
    <phoneticPr fontId="1"/>
  </si>
  <si>
    <t>agere（行う, 駆り立てる）
&lt;span class="spacer"&gt;&lt;/span&gt;過去分詞actus（行為）
&lt;span class="spacer"&gt;&lt;/span&gt;名詞を作る-ivusが付いて
activus（行為に関する）</t>
    <rPh sb="6" eb="7">
      <t>オコナ</t>
    </rPh>
    <rPh sb="10" eb="11">
      <t>カ</t>
    </rPh>
    <rPh sb="12" eb="13">
      <t>タ</t>
    </rPh>
    <rPh sb="45" eb="49">
      <t>カコブンシ</t>
    </rPh>
    <rPh sb="55" eb="57">
      <t>コウイ</t>
    </rPh>
    <rPh sb="87" eb="89">
      <t>メイシ</t>
    </rPh>
    <rPh sb="90" eb="91">
      <t>ツク</t>
    </rPh>
    <rPh sb="98" eb="99">
      <t>ツ</t>
    </rPh>
    <rPh sb="110" eb="112">
      <t>コウイ</t>
    </rPh>
    <rPh sb="113" eb="114">
      <t>カン</t>
    </rPh>
    <phoneticPr fontId="1"/>
  </si>
  <si>
    <t>actif（活動的な）</t>
    <rPh sb="6" eb="8">
      <t>カツドウ</t>
    </rPh>
    <rPh sb="8" eb="9">
      <t>テキ</t>
    </rPh>
    <phoneticPr fontId="1"/>
  </si>
  <si>
    <t>active
&lt;span class="spacer"&gt;&lt;/span&gt;14世紀後期
行動する能力を持つ</t>
    <rPh sb="39" eb="41">
      <t>コウキ</t>
    </rPh>
    <rPh sb="42" eb="44">
      <t>コウドウ</t>
    </rPh>
    <rPh sb="46" eb="48">
      <t>ノウリョク</t>
    </rPh>
    <rPh sb="49" eb="50">
      <t>モ</t>
    </rPh>
    <phoneticPr fontId="1"/>
  </si>
  <si>
    <t>1590年代から
積極的な
&lt;span class="spacer"&gt;&lt;/span&gt;1640年代から
活動的な, 機能している, 効力のある</t>
    <rPh sb="4" eb="6">
      <t>ネンダイ</t>
    </rPh>
    <rPh sb="9" eb="12">
      <t>セッキョクテキ</t>
    </rPh>
    <rPh sb="46" eb="48">
      <t>ネンダイ</t>
    </rPh>
    <rPh sb="51" eb="54">
      <t>カツドウテキ</t>
    </rPh>
    <rPh sb="57" eb="59">
      <t>キノウ</t>
    </rPh>
    <rPh sb="65" eb="67">
      <t>コウリョク</t>
    </rPh>
    <phoneticPr fontId="1"/>
  </si>
  <si>
    <t>digitus（指）
&lt;span class="spacer"&gt;&lt;/span&gt;名詞を作る-alisが付いて
digitalis（指に関する）</t>
    <rPh sb="8" eb="9">
      <t>ユビ</t>
    </rPh>
    <rPh sb="39" eb="41">
      <t>メイシ</t>
    </rPh>
    <rPh sb="42" eb="43">
      <t>ツク</t>
    </rPh>
    <rPh sb="50" eb="51">
      <t>ツ</t>
    </rPh>
    <rPh sb="64" eb="65">
      <t>ユビ</t>
    </rPh>
    <rPh sb="66" eb="67">
      <t>カン</t>
    </rPh>
    <phoneticPr fontId="1"/>
  </si>
  <si>
    <t>15世紀半ば
数を数える際に10本の指を使うことから
1ケタの数字＝10未満の数に関する
&lt;span class="spacer"&gt;&lt;/span&gt;1650年代
指に関する</t>
    <rPh sb="4" eb="5">
      <t>ナカ</t>
    </rPh>
    <rPh sb="7" eb="8">
      <t>カズ</t>
    </rPh>
    <rPh sb="9" eb="10">
      <t>カゾ</t>
    </rPh>
    <rPh sb="12" eb="13">
      <t>サイ</t>
    </rPh>
    <rPh sb="16" eb="17">
      <t>ポン</t>
    </rPh>
    <rPh sb="18" eb="19">
      <t>ユビ</t>
    </rPh>
    <rPh sb="20" eb="21">
      <t>ツカ</t>
    </rPh>
    <rPh sb="31" eb="33">
      <t>スウジ</t>
    </rPh>
    <rPh sb="36" eb="38">
      <t>ミマン</t>
    </rPh>
    <rPh sb="39" eb="40">
      <t>カズ</t>
    </rPh>
    <rPh sb="41" eb="42">
      <t>カン</t>
    </rPh>
    <rPh sb="80" eb="81">
      <t>ユビ</t>
    </rPh>
    <rPh sb="82" eb="83">
      <t>カン</t>
    </rPh>
    <phoneticPr fontId="1"/>
  </si>
  <si>
    <t>1945年以降
コンピュータにおいて数字でデータを処理する
&lt;span class="spacer"&gt;&lt;/span&gt;1960年から
録音や放送においてデジタル方式の</t>
    <rPh sb="4" eb="5">
      <t>ネン</t>
    </rPh>
    <rPh sb="5" eb="7">
      <t>イコウ</t>
    </rPh>
    <rPh sb="18" eb="20">
      <t>スウジ</t>
    </rPh>
    <rPh sb="25" eb="27">
      <t>ショリ</t>
    </rPh>
    <rPh sb="66" eb="68">
      <t>ロクオン</t>
    </rPh>
    <rPh sb="69" eb="71">
      <t>ホウソウ</t>
    </rPh>
    <rPh sb="79" eb="81">
      <t>ホウシキ</t>
    </rPh>
    <phoneticPr fontId="1"/>
  </si>
  <si>
    <t>mobile（可動の）</t>
    <rPh sb="7" eb="9">
      <t>カドウ</t>
    </rPh>
    <phoneticPr fontId="1"/>
  </si>
  <si>
    <t>15世紀後期
動かすことできる, 固定されていない</t>
    <rPh sb="2" eb="4">
      <t>セイキ</t>
    </rPh>
    <rPh sb="4" eb="6">
      <t>コウキ</t>
    </rPh>
    <rPh sb="7" eb="8">
      <t>ウゴ</t>
    </rPh>
    <rPh sb="17" eb="19">
      <t>コテイ</t>
    </rPh>
    <phoneticPr fontId="1"/>
  </si>
  <si>
    <t>novus（新しい）</t>
    <rPh sb="6" eb="7">
      <t>アタラ</t>
    </rPh>
    <phoneticPr fontId="1"/>
  </si>
  <si>
    <t>novusに小さいことを表すellusが付いて
novellus（ちょっとした新しい）</t>
    <rPh sb="6" eb="7">
      <t>チイ</t>
    </rPh>
    <rPh sb="12" eb="13">
      <t>アラワ</t>
    </rPh>
    <rPh sb="20" eb="21">
      <t>ツ</t>
    </rPh>
    <rPh sb="39" eb="40">
      <t>アタラ</t>
    </rPh>
    <phoneticPr fontId="1"/>
  </si>
  <si>
    <t>novel（新しい）</t>
    <rPh sb="6" eb="7">
      <t>アタラ</t>
    </rPh>
    <phoneticPr fontId="1"/>
  </si>
  <si>
    <t>15世紀半ば
新しい, 物珍しい</t>
    <rPh sb="2" eb="4">
      <t>セイキ</t>
    </rPh>
    <rPh sb="4" eb="5">
      <t>ナカ</t>
    </rPh>
    <rPh sb="7" eb="8">
      <t>アタラ</t>
    </rPh>
    <rPh sb="12" eb="14">
      <t>モノメズラ</t>
    </rPh>
    <phoneticPr fontId="1"/>
  </si>
  <si>
    <t>plassein（こねて作る）
&lt;span class="spacer"&gt;&lt;/span&gt;plastos（成形された）
&lt;span class="spacer"&gt;&lt;/span&gt;形容詞を作る-ikosが付いて
plastikos（成形された）</t>
    <rPh sb="12" eb="13">
      <t>ツク</t>
    </rPh>
    <rPh sb="52" eb="54">
      <t>セイケイ</t>
    </rPh>
    <rPh sb="87" eb="90">
      <t>ケイヨウシ</t>
    </rPh>
    <rPh sb="91" eb="92">
      <t>ツク</t>
    </rPh>
    <rPh sb="99" eb="100">
      <t>ツ</t>
    </rPh>
    <phoneticPr fontId="1"/>
  </si>
  <si>
    <t>plasticus（成形可能な）</t>
    <rPh sb="10" eb="12">
      <t>セイケイ</t>
    </rPh>
    <rPh sb="12" eb="14">
      <t>カノウ</t>
    </rPh>
    <phoneticPr fontId="1"/>
  </si>
  <si>
    <t>1630年代
物質の塊を形作る
成形することができる</t>
    <rPh sb="4" eb="6">
      <t>ネンダイ</t>
    </rPh>
    <rPh sb="7" eb="9">
      <t>ブッシツ</t>
    </rPh>
    <rPh sb="10" eb="11">
      <t>カタマリ</t>
    </rPh>
    <rPh sb="12" eb="14">
      <t>カタチツク</t>
    </rPh>
    <rPh sb="16" eb="18">
      <t>セイケイ</t>
    </rPh>
    <phoneticPr fontId="1"/>
  </si>
  <si>
    <t>1909年から
プラスチック製の</t>
    <rPh sb="4" eb="5">
      <t>ネン</t>
    </rPh>
    <rPh sb="14" eb="15">
      <t>セイ</t>
    </rPh>
    <phoneticPr fontId="1"/>
  </si>
  <si>
    <t>アラビア語</t>
    <phoneticPr fontId="1"/>
  </si>
  <si>
    <t>alkimia（錬金術）</t>
    <phoneticPr fontId="1"/>
  </si>
  <si>
    <t>13世紀
alquemie（錬金術）</t>
    <rPh sb="2" eb="4">
      <t>セイキ</t>
    </rPh>
    <phoneticPr fontId="1"/>
  </si>
  <si>
    <t>1570年代
chemicに形容詞を作るalが付いて
chemical（化学の, 錬金術の）
&lt;span class="spacer"&gt;&lt;/span&gt;1600年以降
化学の（現代の意味）</t>
    <rPh sb="4" eb="6">
      <t>ネンダイ</t>
    </rPh>
    <rPh sb="14" eb="17">
      <t>ケイヨウシ</t>
    </rPh>
    <rPh sb="18" eb="19">
      <t>ツク</t>
    </rPh>
    <rPh sb="23" eb="24">
      <t>ツ</t>
    </rPh>
    <rPh sb="36" eb="38">
      <t>カガク</t>
    </rPh>
    <rPh sb="41" eb="44">
      <t>レンキンジュツ</t>
    </rPh>
    <rPh sb="79" eb="82">
      <t>ネンイコウ</t>
    </rPh>
    <rPh sb="83" eb="85">
      <t>カガク</t>
    </rPh>
    <phoneticPr fontId="1"/>
  </si>
  <si>
    <t>ne（否定）+cedere（退く, 去る）
necesse（退くことができない, 避けられない）
&lt;span class="spacer"&gt;&lt;/span&gt;形容詞を作る-ariusが付いて
necessarius（避けられない, 不可欠な）</t>
    <rPh sb="106" eb="107">
      <t>サ</t>
    </rPh>
    <rPh sb="114" eb="117">
      <t>フカケツ</t>
    </rPh>
    <phoneticPr fontId="1"/>
  </si>
  <si>
    <t>13世紀
necessaire（必要な）</t>
    <rPh sb="2" eb="4">
      <t>セイキ</t>
    </rPh>
    <rPh sb="16" eb="18">
      <t>ヒツヨウ</t>
    </rPh>
    <phoneticPr fontId="1"/>
  </si>
  <si>
    <t>necessarie
&lt;span class="spacer"&gt;&lt;/span&gt;14世紀後期
必要な, 不可欠な</t>
    <rPh sb="41" eb="43">
      <t>セイキ</t>
    </rPh>
    <rPh sb="43" eb="45">
      <t>コウキ</t>
    </rPh>
    <rPh sb="46" eb="48">
      <t>ヒツヨウ</t>
    </rPh>
    <rPh sb="51" eb="54">
      <t>フカケツ</t>
    </rPh>
    <phoneticPr fontId="1"/>
  </si>
  <si>
    <t>古典ラテン語（eventの語源）</t>
    <phoneticPr fontId="1"/>
  </si>
  <si>
    <t>ex（外に）+venire（来る）
evenire（外に出る, 起こる, 結果として生じる）
&lt;span class="spacer"&gt;&lt;/span&gt;過去分詞eventus（出来事, 結果）</t>
    <rPh sb="3" eb="4">
      <t>ソト</t>
    </rPh>
    <rPh sb="14" eb="15">
      <t>ク</t>
    </rPh>
    <rPh sb="26" eb="27">
      <t>ソト</t>
    </rPh>
    <rPh sb="28" eb="29">
      <t>デ</t>
    </rPh>
    <rPh sb="32" eb="33">
      <t>オ</t>
    </rPh>
    <rPh sb="37" eb="39">
      <t>ケッカ</t>
    </rPh>
    <rPh sb="42" eb="43">
      <t>ショウ</t>
    </rPh>
    <rPh sb="75" eb="79">
      <t>カコブンシ</t>
    </rPh>
    <rPh sb="87" eb="90">
      <t>デキゴト</t>
    </rPh>
    <rPh sb="92" eb="94">
      <t>ケッカ</t>
    </rPh>
    <phoneticPr fontId="1"/>
  </si>
  <si>
    <t>フランス語（eventの語源）</t>
    <phoneticPr fontId="1"/>
  </si>
  <si>
    <t>event
&lt;span class="spacer"&gt;&lt;/span&gt;形容詞を作る-uelが付いて
éventuel</t>
    <rPh sb="34" eb="37">
      <t>ケイヨウシ</t>
    </rPh>
    <rPh sb="38" eb="39">
      <t>ツク</t>
    </rPh>
    <rPh sb="45" eb="46">
      <t>ツ</t>
    </rPh>
    <phoneticPr fontId="1"/>
  </si>
  <si>
    <t>近代英語（eventuallyへの発展）</t>
    <rPh sb="0" eb="4">
      <t>キンダイエイゴ</t>
    </rPh>
    <rPh sb="17" eb="19">
      <t>ハッテン</t>
    </rPh>
    <phoneticPr fontId="1"/>
  </si>
  <si>
    <t>1610年代
eventual（出来事に関する, 結果に関する）
&lt;span class="spacer"&gt;&lt;/span&gt;1670年代、副詞を作るlyが付いて
eventually（結果的に, 最終的に, 結局）</t>
    <rPh sb="16" eb="19">
      <t>デキゴト</t>
    </rPh>
    <rPh sb="20" eb="21">
      <t>カン</t>
    </rPh>
    <rPh sb="25" eb="27">
      <t>ケッカ</t>
    </rPh>
    <rPh sb="28" eb="29">
      <t>カン</t>
    </rPh>
    <rPh sb="45" eb="47">
      <t>ネンダイ</t>
    </rPh>
    <rPh sb="60" eb="62">
      <t>フクシ</t>
    </rPh>
    <rPh sb="63" eb="64">
      <t>ツク</t>
    </rPh>
    <rPh sb="68" eb="70">
      <t>フクシ</t>
    </rPh>
    <rPh sb="71" eb="72">
      <t>ツク</t>
    </rPh>
    <rPh sb="91" eb="94">
      <t>ケッカテキ</t>
    </rPh>
    <phoneticPr fontId="1"/>
  </si>
  <si>
    <t>古フランス語</t>
    <rPh sb="0" eb="3">
      <t>ドウイツセイ</t>
    </rPh>
    <phoneticPr fontId="1"/>
  </si>
  <si>
    <t>identité（同一性）</t>
    <rPh sb="9" eb="12">
      <t>ドウイツセイ</t>
    </rPh>
    <phoneticPr fontId="1"/>
  </si>
  <si>
    <t>identifier（同一であるとみなす, 同一視する）</t>
    <rPh sb="11" eb="13">
      <t>ドウイツ</t>
    </rPh>
    <rPh sb="22" eb="25">
      <t>ドウイツシ</t>
    </rPh>
    <phoneticPr fontId="1"/>
  </si>
  <si>
    <t>1640年代
同じとみなす</t>
    <rPh sb="7" eb="8">
      <t>オナ</t>
    </rPh>
    <phoneticPr fontId="1"/>
  </si>
  <si>
    <t>prae（前に）+esse（存在する）
praeesse（目の前に存在する）
&lt;span class="spacer"&gt;&lt;/span&gt;現在分詞praesens（目の前にある, 現在の）
&lt;span class="spacer"&gt;&lt;/span&gt;動詞になって
praesentare（前に置く）
&lt;span class="spacer"&gt;&lt;/span&gt;re（強意）+praesentare（前に置く）
repraesentare（表す）</t>
    <rPh sb="5" eb="6">
      <t>マエ</t>
    </rPh>
    <rPh sb="14" eb="16">
      <t>ソンザイ</t>
    </rPh>
    <rPh sb="29" eb="30">
      <t>メ</t>
    </rPh>
    <rPh sb="31" eb="32">
      <t>マエ</t>
    </rPh>
    <rPh sb="33" eb="35">
      <t>ソンザイ</t>
    </rPh>
    <rPh sb="67" eb="71">
      <t>ゲンザイブンシ</t>
    </rPh>
    <rPh sb="80" eb="81">
      <t>メ</t>
    </rPh>
    <rPh sb="82" eb="83">
      <t>マエ</t>
    </rPh>
    <rPh sb="88" eb="90">
      <t>ゲンザイ</t>
    </rPh>
    <rPh sb="121" eb="123">
      <t>ドウシ</t>
    </rPh>
    <rPh sb="140" eb="141">
      <t>マエ</t>
    </rPh>
    <rPh sb="142" eb="143">
      <t>オ</t>
    </rPh>
    <rPh sb="177" eb="179">
      <t>キョウイ</t>
    </rPh>
    <phoneticPr fontId="1"/>
  </si>
  <si>
    <t>representer（示す）</t>
    <rPh sb="12" eb="13">
      <t>シメ</t>
    </rPh>
    <phoneticPr fontId="1"/>
  </si>
  <si>
    <t>representen
&lt;span class="spacer"&gt;&lt;/span&gt;14世紀後期
示す, 象徴する, 代表する</t>
    <rPh sb="42" eb="44">
      <t>セイキ</t>
    </rPh>
    <rPh sb="44" eb="46">
      <t>コウキ</t>
    </rPh>
    <rPh sb="47" eb="48">
      <t>シメ</t>
    </rPh>
    <rPh sb="51" eb="53">
      <t>ショウチョウ</t>
    </rPh>
    <rPh sb="57" eb="59">
      <t>ダイヒョウ</t>
    </rPh>
    <phoneticPr fontId="1"/>
  </si>
  <si>
    <t>in（中に）+dicare（宣言する, 示す）
indicare（中に向かって宣言する, 指し示す）
&lt;span class="spacer"&gt;&lt;/span&gt;過去分詞indicatus（示された）</t>
    <rPh sb="3" eb="4">
      <t>ナカ</t>
    </rPh>
    <rPh sb="14" eb="16">
      <t>センゲン</t>
    </rPh>
    <rPh sb="20" eb="21">
      <t>シメ</t>
    </rPh>
    <rPh sb="33" eb="34">
      <t>ナカ</t>
    </rPh>
    <rPh sb="35" eb="36">
      <t>ム</t>
    </rPh>
    <rPh sb="39" eb="41">
      <t>センゲン</t>
    </rPh>
    <rPh sb="45" eb="48">
      <t>サシシメ</t>
    </rPh>
    <rPh sb="93" eb="94">
      <t>シメ</t>
    </rPh>
    <phoneticPr fontId="1"/>
  </si>
  <si>
    <t>1650年代
指し示す</t>
    <rPh sb="4" eb="6">
      <t>ネンダイ</t>
    </rPh>
    <rPh sb="7" eb="10">
      <t>サシシメ</t>
    </rPh>
    <phoneticPr fontId="1"/>
  </si>
  <si>
    <t>イタリア語</t>
    <rPh sb="4" eb="5">
      <t>ゴ</t>
    </rPh>
    <phoneticPr fontId="1"/>
  </si>
  <si>
    <t>maneggiare（手で扱う, 馬を操る）</t>
    <rPh sb="11" eb="12">
      <t>テ</t>
    </rPh>
    <rPh sb="13" eb="14">
      <t>アツカ</t>
    </rPh>
    <rPh sb="17" eb="18">
      <t>ウマ</t>
    </rPh>
    <rPh sb="19" eb="20">
      <t>アヤツ</t>
    </rPh>
    <phoneticPr fontId="1"/>
  </si>
  <si>
    <t>manège（馬術）</t>
    <rPh sb="7" eb="9">
      <t>バジュツ</t>
    </rPh>
    <phoneticPr fontId="1"/>
  </si>
  <si>
    <t>1560年代
&lt;span class="obsolete"&gt;馬の扱い（現在は廃用）&lt;/span&gt;
&lt;span class="spacer"&gt;&lt;/span&gt;1570年代までに
管理する
&lt;span class="spacer"&gt;&lt;/span&gt;1650年代までに
やりくりする
&lt;span class="spacer"&gt;&lt;/span&gt;1732年までに
努力によって成し遂げる</t>
    <rPh sb="4" eb="6">
      <t>ネンダイ</t>
    </rPh>
    <rPh sb="81" eb="83">
      <t>ネンダイ</t>
    </rPh>
    <rPh sb="87" eb="89">
      <t>カンリ</t>
    </rPh>
    <rPh sb="174" eb="176">
      <t>ドリョク</t>
    </rPh>
    <rPh sb="180" eb="181">
      <t>ナ</t>
    </rPh>
    <rPh sb="182" eb="183">
      <t>ト</t>
    </rPh>
    <phoneticPr fontId="1"/>
  </si>
  <si>
    <t>ad（～へ）+tendere（伸ばす）
attendere（～に向かって伸ばす, 注意を向ける）</t>
    <rPh sb="15" eb="16">
      <t>ノ</t>
    </rPh>
    <rPh sb="32" eb="33">
      <t>ム</t>
    </rPh>
    <rPh sb="36" eb="37">
      <t>ノ</t>
    </rPh>
    <rPh sb="41" eb="43">
      <t>チュウイ</t>
    </rPh>
    <rPh sb="44" eb="45">
      <t>ム</t>
    </rPh>
    <phoneticPr fontId="1"/>
  </si>
  <si>
    <t>atendre（注意を払う）</t>
    <rPh sb="8" eb="10">
      <t>チュウイ</t>
    </rPh>
    <rPh sb="11" eb="12">
      <t>ハラ</t>
    </rPh>
    <phoneticPr fontId="1"/>
  </si>
  <si>
    <t>manus（手）+tenere（保つ, 握る）
manu tenere（手で持つ）</t>
    <rPh sb="6" eb="7">
      <t>テ</t>
    </rPh>
    <rPh sb="36" eb="37">
      <t>テ</t>
    </rPh>
    <rPh sb="38" eb="39">
      <t>モ</t>
    </rPh>
    <phoneticPr fontId="1"/>
  </si>
  <si>
    <t>maintenir</t>
    <phoneticPr fontId="1"/>
  </si>
  <si>
    <t>meintenir（支える, 堅持する）</t>
    <rPh sb="10" eb="11">
      <t>ササ</t>
    </rPh>
    <rPh sb="15" eb="17">
      <t>ケンジ</t>
    </rPh>
    <phoneticPr fontId="1"/>
  </si>
  <si>
    <t>1300年頃
支える, しっかり保持する
&lt;span class="spacer"&gt;&lt;/span&gt;14世紀初頭
既存の状態や条件を保持する
持続させる
&lt;span class="spacer"&gt;&lt;/span&gt;14世紀半ば
主張によって擁護する</t>
    <rPh sb="4" eb="6">
      <t>ネンゴロ</t>
    </rPh>
    <rPh sb="7" eb="8">
      <t>ササ</t>
    </rPh>
    <rPh sb="16" eb="18">
      <t>ホジ</t>
    </rPh>
    <rPh sb="51" eb="53">
      <t>セイキ</t>
    </rPh>
    <rPh sb="53" eb="55">
      <t>ショトウ</t>
    </rPh>
    <rPh sb="56" eb="58">
      <t>キゾン</t>
    </rPh>
    <rPh sb="59" eb="61">
      <t>ジョウタイ</t>
    </rPh>
    <rPh sb="62" eb="64">
      <t>ジョウケン</t>
    </rPh>
    <rPh sb="65" eb="67">
      <t>ホジ</t>
    </rPh>
    <rPh sb="70" eb="72">
      <t>ジゾク</t>
    </rPh>
    <rPh sb="108" eb="109">
      <t>ナカ</t>
    </rPh>
    <rPh sb="111" eb="113">
      <t>シュチョウ</t>
    </rPh>
    <rPh sb="117" eb="119">
      <t>ヨウゴ</t>
    </rPh>
    <phoneticPr fontId="1"/>
  </si>
  <si>
    <t>super（上に, 超えて）+videre（見る）</t>
    <phoneticPr fontId="1"/>
  </si>
  <si>
    <t>supervidere（監督する, 検査する）</t>
    <phoneticPr fontId="1"/>
  </si>
  <si>
    <t>sorveoir（上から見る, 気づく, 見張る）</t>
    <rPh sb="9" eb="10">
      <t>ウエ</t>
    </rPh>
    <rPh sb="16" eb="17">
      <t>キ</t>
    </rPh>
    <rPh sb="21" eb="23">
      <t>ミハ</t>
    </rPh>
    <phoneticPr fontId="1"/>
  </si>
  <si>
    <t>surveier（支える, 堅持する）</t>
    <rPh sb="9" eb="10">
      <t>ササ</t>
    </rPh>
    <rPh sb="14" eb="16">
      <t>ケンジ</t>
    </rPh>
    <phoneticPr fontId="1"/>
  </si>
  <si>
    <t>surveien
&lt;span class="spacer"&gt;&lt;/span&gt;1400年頃
考慮する
&lt;span class="spacer"&gt;&lt;/span&gt;15世紀半ば
状態や価値を考慮して調査する</t>
    <rPh sb="41" eb="43">
      <t>ネンゴロ</t>
    </rPh>
    <rPh sb="44" eb="46">
      <t>コウリョ</t>
    </rPh>
    <rPh sb="79" eb="81">
      <t>セイキ</t>
    </rPh>
    <rPh sb="81" eb="82">
      <t>ナカ</t>
    </rPh>
    <rPh sb="84" eb="86">
      <t>ジョウタイ</t>
    </rPh>
    <rPh sb="87" eb="89">
      <t>カチ</t>
    </rPh>
    <rPh sb="90" eb="92">
      <t>コウリョ</t>
    </rPh>
    <rPh sb="94" eb="96">
      <t>チョウサ</t>
    </rPh>
    <phoneticPr fontId="1"/>
  </si>
  <si>
    <t>1560年代
全体的な見通しを持つ
概観する</t>
    <rPh sb="4" eb="6">
      <t>ネンダイ</t>
    </rPh>
    <rPh sb="7" eb="10">
      <t>ゼンタイテキ</t>
    </rPh>
    <rPh sb="11" eb="13">
      <t>ミトオ</t>
    </rPh>
    <rPh sb="15" eb="16">
      <t>モ</t>
    </rPh>
    <rPh sb="18" eb="20">
      <t>ガイカン</t>
    </rPh>
    <phoneticPr fontId="1"/>
  </si>
  <si>
    <t>re（再び）+place（その場所に置く）
&lt;span class="spacer"&gt;&lt;/span&gt;1590年代
以前の場所に置く
&lt;span class="spacer"&gt;&lt;/span&gt;1753年から
～にとって代わる</t>
    <rPh sb="54" eb="56">
      <t>ネンダイ</t>
    </rPh>
    <rPh sb="57" eb="59">
      <t>イゼン</t>
    </rPh>
    <rPh sb="60" eb="62">
      <t>バショ</t>
    </rPh>
    <rPh sb="63" eb="64">
      <t>オ</t>
    </rPh>
    <rPh sb="107" eb="108">
      <t>カ</t>
    </rPh>
    <phoneticPr fontId="1"/>
  </si>
  <si>
    <t>con（共に）+ducere（導く）
conducere（共に導く）
&lt;span class="spacer"&gt;&lt;/span&gt;過去分詞conductus（導かれた）</t>
    <rPh sb="29" eb="30">
      <t>トモ</t>
    </rPh>
    <rPh sb="31" eb="32">
      <t>ミチビ</t>
    </rPh>
    <rPh sb="63" eb="67">
      <t>カコブンシ</t>
    </rPh>
    <rPh sb="77" eb="78">
      <t>ミチビ</t>
    </rPh>
    <phoneticPr fontId="1"/>
  </si>
  <si>
    <t>conducten
&lt;span class="spacer"&gt;&lt;/span&gt;15世紀初頭
導く, 同行して道を示す
&lt;span class="spacer"&gt;&lt;/span&gt;15世紀半ば
率いる, 指揮する</t>
    <rPh sb="40" eb="42">
      <t>セイキ</t>
    </rPh>
    <rPh sb="42" eb="44">
      <t>ショトウ</t>
    </rPh>
    <rPh sb="45" eb="46">
      <t>ミチビ</t>
    </rPh>
    <rPh sb="49" eb="51">
      <t>ドウコウ</t>
    </rPh>
    <rPh sb="53" eb="54">
      <t>ミチ</t>
    </rPh>
    <rPh sb="55" eb="56">
      <t>シメ</t>
    </rPh>
    <rPh sb="90" eb="91">
      <t>ナカ</t>
    </rPh>
    <rPh sb="93" eb="94">
      <t>ヒキ</t>
    </rPh>
    <rPh sb="98" eb="100">
      <t>シキ</t>
    </rPh>
    <phoneticPr fontId="1"/>
  </si>
  <si>
    <t>1630年代までに
指揮者として行動する, 管理する
&lt;span class="spacer"&gt;&lt;/span&gt;1791年
音楽演奏を指揮する</t>
    <rPh sb="4" eb="5">
      <t>ネン</t>
    </rPh>
    <rPh sb="5" eb="6">
      <t>ダイ</t>
    </rPh>
    <rPh sb="10" eb="13">
      <t>シキシャ</t>
    </rPh>
    <rPh sb="16" eb="18">
      <t>コウドウ</t>
    </rPh>
    <rPh sb="22" eb="24">
      <t>カンリ</t>
    </rPh>
    <rPh sb="59" eb="60">
      <t>ネン</t>
    </rPh>
    <rPh sb="61" eb="65">
      <t>オンガクエンソウ</t>
    </rPh>
    <rPh sb="66" eb="68">
      <t>シキ</t>
    </rPh>
    <phoneticPr fontId="1"/>
  </si>
  <si>
    <t>socius（仲間）
&lt;span class="spacer"&gt;&lt;/span&gt;動詞になって
sociare（結びつける）
&lt;span class="spacer"&gt;&lt;/span&gt;ad（～へ）+sociare（結びつける）
associare（何かへ結びつける）
&lt;span class="spacer"&gt;&lt;/span&gt;過去分詞associatus</t>
    <rPh sb="7" eb="9">
      <t>ナカマ</t>
    </rPh>
    <rPh sb="39" eb="41">
      <t>ドウシ</t>
    </rPh>
    <rPh sb="54" eb="55">
      <t>ムス</t>
    </rPh>
    <rPh sb="121" eb="122">
      <t>ナニ</t>
    </rPh>
    <rPh sb="124" eb="125">
      <t>ムス</t>
    </rPh>
    <rPh sb="159" eb="163">
      <t>カコブンシ</t>
    </rPh>
    <phoneticPr fontId="1"/>
  </si>
  <si>
    <t>associier（結びつける）</t>
    <rPh sb="10" eb="11">
      <t>ムス</t>
    </rPh>
    <phoneticPr fontId="1"/>
  </si>
  <si>
    <t>14世紀半ば
仲間として結びつける</t>
    <rPh sb="2" eb="4">
      <t>セイキ</t>
    </rPh>
    <rPh sb="4" eb="5">
      <t>ナカ</t>
    </rPh>
    <rPh sb="7" eb="9">
      <t>ナカマ</t>
    </rPh>
    <rPh sb="12" eb="13">
      <t>ムス</t>
    </rPh>
    <phoneticPr fontId="1"/>
  </si>
  <si>
    <t>ad（～へ）+temptare（試す）
attemptare（試みる）</t>
    <rPh sb="16" eb="17">
      <t>タメ</t>
    </rPh>
    <rPh sb="31" eb="32">
      <t>ココロ</t>
    </rPh>
    <phoneticPr fontId="1"/>
  </si>
  <si>
    <t>atempter（試みる, 企てる）</t>
    <rPh sb="9" eb="10">
      <t>ココロ</t>
    </rPh>
    <rPh sb="14" eb="15">
      <t>クワダ</t>
    </rPh>
    <phoneticPr fontId="1"/>
  </si>
  <si>
    <t>14世紀後期
試みる
何かをしようとする</t>
    <rPh sb="2" eb="4">
      <t>セイキ</t>
    </rPh>
    <rPh sb="4" eb="6">
      <t>コウキ</t>
    </rPh>
    <rPh sb="7" eb="8">
      <t>ココロ</t>
    </rPh>
    <rPh sb="11" eb="12">
      <t>ナニ</t>
    </rPh>
    <phoneticPr fontId="1"/>
  </si>
  <si>
    <t>pro（前へ）+movere（動かす）
promovere（前へ動かす, 前進する）
&lt;span class="spacer"&gt;&lt;/span&gt;過去分詞promotus</t>
    <rPh sb="30" eb="31">
      <t>マエ</t>
    </rPh>
    <rPh sb="32" eb="33">
      <t>ウゴ</t>
    </rPh>
    <rPh sb="37" eb="39">
      <t>ゼンシン</t>
    </rPh>
    <phoneticPr fontId="1"/>
  </si>
  <si>
    <t>promoter</t>
    <phoneticPr fontId="1"/>
  </si>
  <si>
    <t>14世紀後期
昇進させる
&lt;span class="spacer"&gt;&lt;/span&gt;15世紀初頭
促進させる</t>
    <rPh sb="2" eb="4">
      <t>セイキ</t>
    </rPh>
    <rPh sb="4" eb="6">
      <t>コウキ</t>
    </rPh>
    <rPh sb="7" eb="9">
      <t>ショウシン</t>
    </rPh>
    <rPh sb="43" eb="45">
      <t>セイキ</t>
    </rPh>
    <rPh sb="45" eb="47">
      <t>ショトウ</t>
    </rPh>
    <rPh sb="48" eb="50">
      <t>ソクシン</t>
    </rPh>
    <phoneticPr fontId="1"/>
  </si>
  <si>
    <t>*es-en-（収穫, 秋）</t>
    <rPh sb="8" eb="10">
      <t>シュウカク</t>
    </rPh>
    <rPh sb="12" eb="13">
      <t>アキ</t>
    </rPh>
    <phoneticPr fontId="1"/>
  </si>
  <si>
    <t>ゲルマン祖語</t>
    <rPh sb="4" eb="6">
      <t>ソゴ</t>
    </rPh>
    <phoneticPr fontId="1"/>
  </si>
  <si>
    <t>*azno（労働, 農作業, 畑仕事）</t>
    <rPh sb="6" eb="8">
      <t>ロウドウ</t>
    </rPh>
    <rPh sb="10" eb="13">
      <t>ノウサギョウ</t>
    </rPh>
    <rPh sb="15" eb="18">
      <t>ハタケシゴト</t>
    </rPh>
    <phoneticPr fontId="1"/>
  </si>
  <si>
    <t>古英語</t>
    <rPh sb="0" eb="3">
      <t>コエイゴ</t>
    </rPh>
    <phoneticPr fontId="1"/>
  </si>
  <si>
    <t>unus（一つ）</t>
    <rPh sb="5" eb="6">
      <t>ヒト</t>
    </rPh>
    <phoneticPr fontId="1"/>
  </si>
  <si>
    <t>unire（一つにする, 結合させる）
&lt;span class="spacer"&gt;&lt;/span&gt;過去分詞unitus（結合された, 一体となった）</t>
    <rPh sb="13" eb="15">
      <t>ケツゴウ</t>
    </rPh>
    <rPh sb="59" eb="61">
      <t>ケツゴウ</t>
    </rPh>
    <rPh sb="66" eb="68">
      <t>イッタイ</t>
    </rPh>
    <phoneticPr fontId="1"/>
  </si>
  <si>
    <t>fedan（食べ物を与える）</t>
    <rPh sb="6" eb="7">
      <t>タ</t>
    </rPh>
    <rPh sb="8" eb="9">
      <t>モノ</t>
    </rPh>
    <rPh sb="10" eb="11">
      <t>アタ</t>
    </rPh>
    <phoneticPr fontId="1"/>
  </si>
  <si>
    <t>14世紀後期
食事をとる</t>
    <rPh sb="2" eb="4">
      <t>セイキ</t>
    </rPh>
    <rPh sb="4" eb="6">
      <t>コウキ</t>
    </rPh>
    <rPh sb="7" eb="9">
      <t>ショクジ</t>
    </rPh>
    <phoneticPr fontId="1"/>
  </si>
  <si>
    <t>1818年から
食物として供給する</t>
    <rPh sb="4" eb="5">
      <t>ネン</t>
    </rPh>
    <rPh sb="8" eb="10">
      <t>ショクモツ</t>
    </rPh>
    <rPh sb="13" eb="15">
      <t>キョウキュウ</t>
    </rPh>
    <phoneticPr fontId="1"/>
  </si>
  <si>
    <t>secan（探す, 追い求める）</t>
    <rPh sb="6" eb="7">
      <t>サガ</t>
    </rPh>
    <rPh sb="10" eb="11">
      <t>オ</t>
    </rPh>
    <rPh sb="12" eb="13">
      <t>モト</t>
    </rPh>
    <phoneticPr fontId="1"/>
  </si>
  <si>
    <t>sēchen
探し求めていく</t>
    <rPh sb="7" eb="8">
      <t>サガ</t>
    </rPh>
    <rPh sb="9" eb="10">
      <t>モト</t>
    </rPh>
    <phoneticPr fontId="1"/>
  </si>
  <si>
    <t>observer（観察する, 見張る）</t>
    <rPh sb="9" eb="11">
      <t>カンサツ</t>
    </rPh>
    <rPh sb="15" eb="17">
      <t>ミハ</t>
    </rPh>
    <phoneticPr fontId="1"/>
  </si>
  <si>
    <t>observen
&lt;span class="spacer"&gt;&lt;/span&gt;14世紀後期
守る, 遵守する</t>
    <rPh sb="39" eb="41">
      <t>セイキ</t>
    </rPh>
    <rPh sb="41" eb="43">
      <t>コウキ</t>
    </rPh>
    <rPh sb="44" eb="45">
      <t>マモ</t>
    </rPh>
    <rPh sb="48" eb="50">
      <t>ジュンシュ</t>
    </rPh>
    <phoneticPr fontId="1"/>
  </si>
  <si>
    <t>1560年代から
見る, 気づく</t>
    <rPh sb="4" eb="6">
      <t>ネンダイ</t>
    </rPh>
    <rPh sb="9" eb="10">
      <t>ミ</t>
    </rPh>
    <rPh sb="13" eb="14">
      <t>キ</t>
    </rPh>
    <phoneticPr fontId="1"/>
  </si>
  <si>
    <t>reveler（明らかにする）</t>
    <rPh sb="8" eb="9">
      <t>アキ</t>
    </rPh>
    <phoneticPr fontId="1"/>
  </si>
  <si>
    <t>revelen
&lt;span class="spacer"&gt;&lt;/span&gt;1400年頃
明らかにする
&lt;span class="spacer"&gt;&lt;/span&gt;1500年頃
はっきり見せる</t>
    <rPh sb="40" eb="41">
      <t>ネン</t>
    </rPh>
    <rPh sb="41" eb="42">
      <t>コロ</t>
    </rPh>
    <rPh sb="43" eb="44">
      <t>アキ</t>
    </rPh>
    <rPh sb="89" eb="90">
      <t>ミ</t>
    </rPh>
    <phoneticPr fontId="1"/>
  </si>
  <si>
    <t>aestimare（価値を定める）
&lt;span class="spacer"&gt;&lt;/span&gt;過去分詞aestimatus（価値を定められた）</t>
    <rPh sb="46" eb="50">
      <t>カコブンシ</t>
    </rPh>
    <rPh sb="61" eb="63">
      <t>カチ</t>
    </rPh>
    <rPh sb="64" eb="65">
      <t>サダ</t>
    </rPh>
    <phoneticPr fontId="1"/>
  </si>
  <si>
    <t>1530年代
価値を評価する
&lt;span class="spacer"&gt;&lt;/span&gt;1660年代
概算する, 見積もる</t>
    <rPh sb="4" eb="6">
      <t>ネンダイ</t>
    </rPh>
    <rPh sb="7" eb="9">
      <t>カチ</t>
    </rPh>
    <rPh sb="10" eb="12">
      <t>ヒョウカ</t>
    </rPh>
    <rPh sb="47" eb="49">
      <t>ネンダイ</t>
    </rPh>
    <rPh sb="50" eb="52">
      <t>ガイサン</t>
    </rPh>
    <rPh sb="56" eb="58">
      <t>ミツ</t>
    </rPh>
    <phoneticPr fontId="1"/>
  </si>
  <si>
    <t>re（後ろに, 元へ）+flectere（曲げる）
reflectere（後ろへ曲げる, そらす）</t>
    <rPh sb="3" eb="4">
      <t>ウシ</t>
    </rPh>
    <rPh sb="8" eb="9">
      <t>モト</t>
    </rPh>
    <rPh sb="37" eb="38">
      <t>ウシ</t>
    </rPh>
    <rPh sb="40" eb="41">
      <t>マ</t>
    </rPh>
    <phoneticPr fontId="1"/>
  </si>
  <si>
    <t>reflecter（反転させる）</t>
    <rPh sb="10" eb="12">
      <t>ハンテン</t>
    </rPh>
    <phoneticPr fontId="1"/>
  </si>
  <si>
    <t>reflecten
&lt;span class="spacer"&gt;&lt;/span&gt;14世紀後期
折り返す, 逆にする
&lt;span class="spacer"&gt;&lt;/span&gt;15世紀初頭
光などを反射する
&lt;span class="spacer"&gt;&lt;/span&gt;1600年頃から
思考を振り返る
熟考する</t>
    <rPh sb="40" eb="42">
      <t>セイキ</t>
    </rPh>
    <rPh sb="42" eb="44">
      <t>コウキ</t>
    </rPh>
    <rPh sb="45" eb="46">
      <t>オ</t>
    </rPh>
    <rPh sb="47" eb="48">
      <t>カエ</t>
    </rPh>
    <rPh sb="51" eb="52">
      <t>ギャク</t>
    </rPh>
    <rPh sb="86" eb="88">
      <t>セイキ</t>
    </rPh>
    <rPh sb="88" eb="90">
      <t>ショトウ</t>
    </rPh>
    <rPh sb="91" eb="92">
      <t>ヒカリ</t>
    </rPh>
    <rPh sb="95" eb="97">
      <t>ハンシャ</t>
    </rPh>
    <rPh sb="132" eb="134">
      <t>ネンコロ</t>
    </rPh>
    <rPh sb="137" eb="139">
      <t>シコウ</t>
    </rPh>
    <rPh sb="140" eb="141">
      <t>フ</t>
    </rPh>
    <rPh sb="142" eb="143">
      <t>カエ</t>
    </rPh>
    <rPh sb="145" eb="147">
      <t>ジュッコウ</t>
    </rPh>
    <phoneticPr fontId="1"/>
  </si>
  <si>
    <t>ad（～へ）+trahere（引く）
attrahere（～へ引く 引き寄せる）
&lt;span class="spacer"&gt;&lt;/span&gt;過去分詞attractus（引き寄せられた）</t>
    <rPh sb="15" eb="16">
      <t>ヒ</t>
    </rPh>
    <rPh sb="31" eb="32">
      <t>ヒ</t>
    </rPh>
    <rPh sb="34" eb="35">
      <t>ヒ</t>
    </rPh>
    <rPh sb="36" eb="37">
      <t>ヨ</t>
    </rPh>
    <rPh sb="83" eb="84">
      <t>ヒ</t>
    </rPh>
    <rPh sb="85" eb="86">
      <t>ヨ</t>
    </rPh>
    <phoneticPr fontId="1"/>
  </si>
  <si>
    <t>attracten
&lt;span class="spacer"&gt;&lt;/span&gt;15世紀初頭
物や人を自分の方に引き寄せる</t>
    <rPh sb="40" eb="42">
      <t>セイキ</t>
    </rPh>
    <rPh sb="42" eb="44">
      <t>ショトウ</t>
    </rPh>
    <rPh sb="45" eb="46">
      <t>モノ</t>
    </rPh>
    <rPh sb="47" eb="48">
      <t>ヒト</t>
    </rPh>
    <rPh sb="49" eb="51">
      <t>ジブン</t>
    </rPh>
    <rPh sb="52" eb="53">
      <t>ホウ</t>
    </rPh>
    <rPh sb="54" eb="55">
      <t>ヒ</t>
    </rPh>
    <rPh sb="56" eb="57">
      <t>ヨ</t>
    </rPh>
    <phoneticPr fontId="1"/>
  </si>
  <si>
    <t>17世紀
物理的に引き寄せる
&lt;span class="spacer"&gt;&lt;/span&gt;1690年代から
他人の視線や注意を引き付ける
魅力がある</t>
    <rPh sb="2" eb="4">
      <t>セイキ</t>
    </rPh>
    <rPh sb="5" eb="8">
      <t>ブツリテキ</t>
    </rPh>
    <rPh sb="9" eb="10">
      <t>ヒ</t>
    </rPh>
    <rPh sb="11" eb="12">
      <t>ヨ</t>
    </rPh>
    <rPh sb="47" eb="49">
      <t>ネンダイ</t>
    </rPh>
    <rPh sb="52" eb="54">
      <t>タニン</t>
    </rPh>
    <rPh sb="55" eb="57">
      <t>シセン</t>
    </rPh>
    <rPh sb="58" eb="60">
      <t>チュウイ</t>
    </rPh>
    <rPh sb="61" eb="62">
      <t>ヒ</t>
    </rPh>
    <rPh sb="63" eb="64">
      <t>ツ</t>
    </rPh>
    <rPh sb="67" eb="69">
      <t>ミリョク</t>
    </rPh>
    <phoneticPr fontId="1"/>
  </si>
  <si>
    <t>de（～へ）+crescere（成長する）
decrescere（減少する, 小さくなる）</t>
    <rPh sb="16" eb="18">
      <t>セイチョウ</t>
    </rPh>
    <rPh sb="33" eb="35">
      <t>ゲンショウ</t>
    </rPh>
    <rPh sb="39" eb="40">
      <t>チイ</t>
    </rPh>
    <phoneticPr fontId="1"/>
  </si>
  <si>
    <t>descroistre（減少する）</t>
    <rPh sb="12" eb="14">
      <t>ゲンショウ</t>
    </rPh>
    <phoneticPr fontId="1"/>
  </si>
  <si>
    <t>decreistre</t>
    <phoneticPr fontId="1"/>
  </si>
  <si>
    <t>decresen
&lt;span class="spacer"&gt;&lt;/span&gt;15世紀初頭
減少する
&lt;span class="spacer"&gt;&lt;/span&gt;15世紀後期
減らす</t>
    <rPh sb="39" eb="41">
      <t>セイキ</t>
    </rPh>
    <rPh sb="41" eb="43">
      <t>ショトウ</t>
    </rPh>
    <rPh sb="44" eb="46">
      <t>ゲンショウ</t>
    </rPh>
    <rPh sb="81" eb="83">
      <t>コウキ</t>
    </rPh>
    <rPh sb="84" eb="85">
      <t>ヘ</t>
    </rPh>
    <phoneticPr fontId="1"/>
  </si>
  <si>
    <t>in（否定）+gnarus（知っている）
ignorare（知らない, 無視する）</t>
    <rPh sb="3" eb="5">
      <t>ヒテイ</t>
    </rPh>
    <rPh sb="30" eb="31">
      <t>シ</t>
    </rPh>
    <rPh sb="36" eb="38">
      <t>ムシ</t>
    </rPh>
    <phoneticPr fontId="1"/>
  </si>
  <si>
    <t>ignorer（気づいていない）</t>
    <rPh sb="8" eb="9">
      <t>キ</t>
    </rPh>
    <phoneticPr fontId="1"/>
  </si>
  <si>
    <t>1610年代
&lt;span class="obsolete"&gt;知らない（現在は廃用）&lt;/span&gt;
&lt;span class="spacer"&gt;&lt;/span&gt;1801年
無視する</t>
    <rPh sb="4" eb="6">
      <t>ネンダイ</t>
    </rPh>
    <rPh sb="30" eb="31">
      <t>シ</t>
    </rPh>
    <rPh sb="83" eb="85">
      <t>ムシ</t>
    </rPh>
    <phoneticPr fontId="1"/>
  </si>
  <si>
    <t>mæcca（他と釣り合う者, 同等の者, 対になる者）</t>
    <rPh sb="6" eb="7">
      <t>ホカ</t>
    </rPh>
    <rPh sb="8" eb="9">
      <t>ツ</t>
    </rPh>
    <rPh sb="10" eb="11">
      <t>ア</t>
    </rPh>
    <rPh sb="12" eb="13">
      <t>モノ</t>
    </rPh>
    <rPh sb="15" eb="17">
      <t>ドウトウ</t>
    </rPh>
    <rPh sb="18" eb="19">
      <t>モノ</t>
    </rPh>
    <rPh sb="21" eb="22">
      <t>ツイ</t>
    </rPh>
    <rPh sb="25" eb="26">
      <t>モノ</t>
    </rPh>
    <phoneticPr fontId="1"/>
  </si>
  <si>
    <t>14世紀半ば
macchen（相手と釣り合える, 十分な競争相手である）
&lt;span class="spacer"&gt;&lt;/span&gt;14世紀後期
結婚させる
&lt;span class="spacer"&gt;&lt;/span&gt;1400年代から
対決させる</t>
    <rPh sb="2" eb="4">
      <t>セイキ</t>
    </rPh>
    <rPh sb="4" eb="5">
      <t>ナカ</t>
    </rPh>
    <rPh sb="15" eb="17">
      <t>アイテ</t>
    </rPh>
    <rPh sb="18" eb="19">
      <t>ツ</t>
    </rPh>
    <rPh sb="20" eb="21">
      <t>ア</t>
    </rPh>
    <rPh sb="25" eb="27">
      <t>ジュウブン</t>
    </rPh>
    <rPh sb="28" eb="32">
      <t>キョウソウアイテ</t>
    </rPh>
    <rPh sb="67" eb="69">
      <t>セイキ</t>
    </rPh>
    <rPh sb="69" eb="71">
      <t>コウキ</t>
    </rPh>
    <rPh sb="72" eb="74">
      <t>ケッコン</t>
    </rPh>
    <rPh sb="110" eb="112">
      <t>ネンダイ</t>
    </rPh>
    <rPh sb="115" eb="117">
      <t>タイケツ</t>
    </rPh>
    <phoneticPr fontId="1"/>
  </si>
  <si>
    <t>1520年代から
合う
&lt;span class="spacer"&gt;&lt;/span&gt;1590年代から
匹敵する</t>
    <phoneticPr fontId="1"/>
  </si>
  <si>
    <t>finis（境界, 終わり）
&lt;span class="spacer"&gt;&lt;/span&gt;動詞になって
finire（境界を定める）
&lt;span class="spacer"&gt;&lt;/span&gt;de（完全に）+finire（境界を定める）
definire（制限する）</t>
    <rPh sb="6" eb="8">
      <t>キョウカイ</t>
    </rPh>
    <rPh sb="10" eb="11">
      <t>オ</t>
    </rPh>
    <rPh sb="43" eb="45">
      <t>ドウシ</t>
    </rPh>
    <rPh sb="57" eb="59">
      <t>キョウカイ</t>
    </rPh>
    <rPh sb="60" eb="61">
      <t>サダ</t>
    </rPh>
    <rPh sb="96" eb="98">
      <t>カンゼン</t>
    </rPh>
    <rPh sb="125" eb="127">
      <t>セイゲン</t>
    </rPh>
    <phoneticPr fontId="1"/>
  </si>
  <si>
    <t>definire（厳密に定める, 定義する）</t>
    <rPh sb="9" eb="11">
      <t>ゲンミツ</t>
    </rPh>
    <rPh sb="12" eb="13">
      <t>サダ</t>
    </rPh>
    <rPh sb="17" eb="19">
      <t>テイギ</t>
    </rPh>
    <phoneticPr fontId="1"/>
  </si>
  <si>
    <t>definir（定義する）</t>
    <rPh sb="8" eb="10">
      <t>テイギ</t>
    </rPh>
    <phoneticPr fontId="1"/>
  </si>
  <si>
    <t xml:space="preserve">diffinen
&lt;span class="spacer"&gt;&lt;/span14世紀後期
意味を説明する, 定義する
&lt;span class="spacer"&gt;&lt;/span&gt;1400年頃から
境界を定める
</t>
    <rPh sb="38" eb="40">
      <t>セイキ</t>
    </rPh>
    <rPh sb="40" eb="42">
      <t>コウキ</t>
    </rPh>
    <rPh sb="43" eb="45">
      <t>イミ</t>
    </rPh>
    <rPh sb="46" eb="48">
      <t>セツメイ</t>
    </rPh>
    <rPh sb="52" eb="54">
      <t>テイギ</t>
    </rPh>
    <phoneticPr fontId="1"/>
  </si>
  <si>
    <t>aptus（適合した, 適切な）
&lt;span class="spacer"&gt;&lt;/span&gt;動詞になって
aptare（適合させる）
&lt;span class="spacer"&gt;&lt;/span&gt;ad（～へ）+aptare（適合させる）
adaptare（適合させる）</t>
    <rPh sb="12" eb="14">
      <t>テキセツ</t>
    </rPh>
    <rPh sb="45" eb="47">
      <t>ドウシ</t>
    </rPh>
    <phoneticPr fontId="1"/>
  </si>
  <si>
    <t>adapter（適応させる）</t>
    <rPh sb="8" eb="10">
      <t>テキオウ</t>
    </rPh>
    <phoneticPr fontId="1"/>
  </si>
  <si>
    <t>15世紀初期
何かを適合させる</t>
    <rPh sb="2" eb="4">
      <t>セイキ</t>
    </rPh>
    <rPh sb="4" eb="6">
      <t>ショキ</t>
    </rPh>
    <rPh sb="7" eb="8">
      <t>ナニ</t>
    </rPh>
    <rPh sb="10" eb="12">
      <t>テキゴウ</t>
    </rPh>
    <phoneticPr fontId="1"/>
  </si>
  <si>
    <t>1520年代
他者と共有して与える</t>
    <rPh sb="4" eb="6">
      <t>ネンダイ</t>
    </rPh>
    <rPh sb="7" eb="9">
      <t>タシャ</t>
    </rPh>
    <rPh sb="10" eb="12">
      <t>キョウユウ</t>
    </rPh>
    <rPh sb="14" eb="15">
      <t>アタ</t>
    </rPh>
    <phoneticPr fontId="1"/>
  </si>
  <si>
    <t>俗ラテン語</t>
    <rPh sb="0" eb="1">
      <t>ゾク</t>
    </rPh>
    <phoneticPr fontId="1"/>
  </si>
  <si>
    <t>ex（外へ）+cambire（交換する）
*excambiare（交換する）</t>
    <rPh sb="3" eb="4">
      <t>ソト</t>
    </rPh>
    <rPh sb="15" eb="17">
      <t>コウカン</t>
    </rPh>
    <rPh sb="33" eb="35">
      <t>コウカン</t>
    </rPh>
    <phoneticPr fontId="1"/>
  </si>
  <si>
    <t>eschangier（交換する, 物々交換する）</t>
    <rPh sb="11" eb="13">
      <t>コウカン</t>
    </rPh>
    <rPh sb="17" eb="21">
      <t>ブツブツコウカン</t>
    </rPh>
    <phoneticPr fontId="1"/>
  </si>
  <si>
    <t>15世紀後期
等価のものと交換する</t>
    <rPh sb="2" eb="4">
      <t>セイキ</t>
    </rPh>
    <rPh sb="4" eb="6">
      <t>コウキ</t>
    </rPh>
    <rPh sb="7" eb="9">
      <t>トウカ</t>
    </rPh>
    <rPh sb="13" eb="15">
      <t>コウカン</t>
    </rPh>
    <phoneticPr fontId="1"/>
  </si>
  <si>
    <t>plicare（折る）</t>
    <rPh sb="8" eb="9">
      <t>オ</t>
    </rPh>
    <phoneticPr fontId="1"/>
  </si>
  <si>
    <t>dis（離れて）+plicare（折る）
displicare（折りたたまれたものを離す, 展開する）</t>
    <rPh sb="32" eb="33">
      <t>オ</t>
    </rPh>
    <rPh sb="42" eb="43">
      <t>ハナ</t>
    </rPh>
    <rPh sb="46" eb="48">
      <t>テンカイ</t>
    </rPh>
    <phoneticPr fontId="1"/>
  </si>
  <si>
    <t>desploiir（広げる, 展開する）</t>
    <rPh sb="10" eb="11">
      <t>ヒロ</t>
    </rPh>
    <rPh sb="15" eb="17">
      <t>テンカイ</t>
    </rPh>
    <phoneticPr fontId="1"/>
  </si>
  <si>
    <t>1300年頃
広げる, 展開する
&lt;span class="spacer"&gt;&lt;/span&gt;14世紀後期
示す, 展示する</t>
    <rPh sb="4" eb="6">
      <t>ネンゴロ</t>
    </rPh>
    <rPh sb="7" eb="8">
      <t>ヒロ</t>
    </rPh>
    <rPh sb="12" eb="14">
      <t>テンカイ</t>
    </rPh>
    <rPh sb="47" eb="49">
      <t>セイキ</t>
    </rPh>
    <rPh sb="49" eb="51">
      <t>コウキ</t>
    </rPh>
    <rPh sb="52" eb="53">
      <t>シメ</t>
    </rPh>
    <rPh sb="56" eb="58">
      <t>テンジ</t>
    </rPh>
    <phoneticPr fontId="1"/>
  </si>
  <si>
    <t>re（戻る）+spondere（約束する）
respondere（返答として約束する, 答える）</t>
    <rPh sb="3" eb="4">
      <t>モド</t>
    </rPh>
    <rPh sb="16" eb="18">
      <t>ヤクソク</t>
    </rPh>
    <rPh sb="44" eb="45">
      <t>コタ</t>
    </rPh>
    <phoneticPr fontId="1"/>
  </si>
  <si>
    <t>respondere（応答する）</t>
    <rPh sb="11" eb="13">
      <t>オウトウ</t>
    </rPh>
    <phoneticPr fontId="1"/>
  </si>
  <si>
    <t>respundre（応答する）</t>
    <rPh sb="10" eb="12">
      <t>オウトウ</t>
    </rPh>
    <phoneticPr fontId="1"/>
  </si>
  <si>
    <t>1300年頃
答える, 言葉で返答する</t>
    <rPh sb="4" eb="6">
      <t>ネンゴロ</t>
    </rPh>
    <rPh sb="7" eb="8">
      <t>コタ</t>
    </rPh>
    <rPh sb="12" eb="14">
      <t>コトバ</t>
    </rPh>
    <rPh sb="15" eb="17">
      <t>ヘントウ</t>
    </rPh>
    <phoneticPr fontId="1"/>
  </si>
  <si>
    <t>*keudh-（隠す, 覆い隠す）</t>
    <rPh sb="8" eb="9">
      <t>カク</t>
    </rPh>
    <rPh sb="12" eb="13">
      <t>オオ</t>
    </rPh>
    <rPh sb="14" eb="15">
      <t>カク</t>
    </rPh>
    <phoneticPr fontId="1"/>
  </si>
  <si>
    <t>duo（2つ, デュオ）
&lt;span class="spacer"&gt;&lt;/span&gt;動詞になって
dubitare（疑う, 意見が揺れる）</t>
    <rPh sb="41" eb="43">
      <t>ドウシ</t>
    </rPh>
    <phoneticPr fontId="1"/>
  </si>
  <si>
    <t>doter（疑う, 恐れる）</t>
    <rPh sb="6" eb="7">
      <t>ウタガ</t>
    </rPh>
    <rPh sb="10" eb="11">
      <t>オソ</t>
    </rPh>
    <phoneticPr fontId="1"/>
  </si>
  <si>
    <t>douten
&lt;span class="spacer"&gt;&lt;/span&gt;1200年頃
&lt;span class="obsolete"&gt;恐れる（現在は廃用）&lt;/span&gt;
&lt;span class="spacer"&gt;&lt;/span&gt;1200年頃
意見が揺れる
疑う
&lt;span class="spacer"&gt;&lt;/span&gt;14世紀から16世紀にかけてラテン語にあった-b-の綴りが復元された</t>
    <rPh sb="39" eb="41">
      <t>ネンゴロ</t>
    </rPh>
    <rPh sb="65" eb="66">
      <t>オソ</t>
    </rPh>
    <rPh sb="69" eb="71">
      <t>ゲンザイ</t>
    </rPh>
    <rPh sb="72" eb="74">
      <t>ハイヨウ</t>
    </rPh>
    <rPh sb="118" eb="120">
      <t>イケン</t>
    </rPh>
    <rPh sb="121" eb="122">
      <t>ユ</t>
    </rPh>
    <rPh sb="125" eb="126">
      <t>ウタガ</t>
    </rPh>
    <rPh sb="158" eb="160">
      <t>セイキ</t>
    </rPh>
    <rPh sb="164" eb="166">
      <t>セイキ</t>
    </rPh>
    <rPh sb="173" eb="174">
      <t>ゴ</t>
    </rPh>
    <rPh sb="182" eb="183">
      <t>ツヅ</t>
    </rPh>
    <rPh sb="185" eb="187">
      <t>フクゲン</t>
    </rPh>
    <phoneticPr fontId="1"/>
  </si>
  <si>
    <t>removoir（動かす, 取り除く）</t>
    <rPh sb="9" eb="10">
      <t>ウゴ</t>
    </rPh>
    <rPh sb="14" eb="15">
      <t>ト</t>
    </rPh>
    <rPh sb="16" eb="17">
      <t>ノゾ</t>
    </rPh>
    <phoneticPr fontId="1"/>
  </si>
  <si>
    <t>remouven
&lt;span class="spacer"&gt;&lt;/span&gt;14世紀初頭
何かを取り除く, 解雇する</t>
    <rPh sb="39" eb="43">
      <t>セイキショトウ</t>
    </rPh>
    <rPh sb="44" eb="45">
      <t>ナニ</t>
    </rPh>
    <rPh sb="47" eb="48">
      <t>ト</t>
    </rPh>
    <rPh sb="49" eb="50">
      <t>ノゾ</t>
    </rPh>
    <rPh sb="53" eb="55">
      <t>カイコ</t>
    </rPh>
    <phoneticPr fontId="1"/>
  </si>
  <si>
    <t>windan（巻く）</t>
    <rPh sb="7" eb="8">
      <t>マ</t>
    </rPh>
    <phoneticPr fontId="1"/>
  </si>
  <si>
    <t>winden
&lt;span class="spacer"&gt;&lt;/span&gt;1300年頃
ひねり回す</t>
    <rPh sb="39" eb="41">
      <t>ネンコロ</t>
    </rPh>
    <rPh sb="45" eb="46">
      <t>マワ</t>
    </rPh>
    <phoneticPr fontId="1"/>
  </si>
  <si>
    <t>1600年頃から
時計のねじを巻く</t>
    <rPh sb="4" eb="6">
      <t>ネンコロ</t>
    </rPh>
    <rPh sb="9" eb="11">
      <t>トケイ</t>
    </rPh>
    <rPh sb="15" eb="16">
      <t>マ</t>
    </rPh>
    <phoneticPr fontId="1"/>
  </si>
  <si>
    <t>sub（下に）+emere（取る）
sumere（取る）
&lt;span class="spacer"&gt;&lt;/span&gt;ad（～へ）+sumere（取る）
assumere（取り上げる, 自分のものとして取る）</t>
    <rPh sb="4" eb="5">
      <t>シタ</t>
    </rPh>
    <rPh sb="14" eb="15">
      <t>ト</t>
    </rPh>
    <rPh sb="25" eb="26">
      <t>ト</t>
    </rPh>
    <rPh sb="84" eb="85">
      <t>ト</t>
    </rPh>
    <rPh sb="86" eb="87">
      <t>ア</t>
    </rPh>
    <rPh sb="91" eb="93">
      <t>ジブン</t>
    </rPh>
    <rPh sb="99" eb="100">
      <t>ト</t>
    </rPh>
    <phoneticPr fontId="1"/>
  </si>
  <si>
    <t>assumen
&lt;span class="spacer"&gt;&lt;/span&gt;15世紀初頭
自ら引き受ける</t>
    <rPh sb="38" eb="40">
      <t>セイキ</t>
    </rPh>
    <rPh sb="40" eb="42">
      <t>ショトウ</t>
    </rPh>
    <rPh sb="43" eb="44">
      <t>ミズカ</t>
    </rPh>
    <rPh sb="45" eb="46">
      <t>ヒ</t>
    </rPh>
    <rPh sb="47" eb="48">
      <t>ウ</t>
    </rPh>
    <phoneticPr fontId="1"/>
  </si>
  <si>
    <t>1590年代から
議論の前提として当然のことと思う
証拠なしに仮定する</t>
    <rPh sb="4" eb="6">
      <t>ネンダイ</t>
    </rPh>
    <rPh sb="9" eb="11">
      <t>ギロン</t>
    </rPh>
    <rPh sb="12" eb="14">
      <t>ゼンテイ</t>
    </rPh>
    <rPh sb="17" eb="19">
      <t>トウゼン</t>
    </rPh>
    <rPh sb="23" eb="24">
      <t>オモ</t>
    </rPh>
    <rPh sb="26" eb="28">
      <t>ショウコ</t>
    </rPh>
    <rPh sb="31" eb="33">
      <t>カテイ</t>
    </rPh>
    <phoneticPr fontId="1"/>
  </si>
  <si>
    <t>laxus（ゆるい）
&lt;span class="spacer"&gt;&lt;/span&gt;re（再び）+laxare（緩める）
relaxare（再びゆるくする）</t>
    <rPh sb="42" eb="43">
      <t>フタタ</t>
    </rPh>
    <rPh sb="53" eb="54">
      <t>ユル</t>
    </rPh>
    <rPh sb="67" eb="68">
      <t>フタタ</t>
    </rPh>
    <phoneticPr fontId="1"/>
  </si>
  <si>
    <t>relaschier（解放する, 柔らかくする）</t>
    <rPh sb="11" eb="13">
      <t>カイホウ</t>
    </rPh>
    <rPh sb="17" eb="18">
      <t>ヤワ</t>
    </rPh>
    <phoneticPr fontId="1"/>
  </si>
  <si>
    <t>relaxen
&lt;span class="spacer"&gt;&lt;/span&gt;14世紀後期
筋肉などをゆるめる
&lt;span class="spacer"&gt;&lt;/span&gt;15世紀初頭
緊張を減らす</t>
    <rPh sb="38" eb="40">
      <t>セイキ</t>
    </rPh>
    <rPh sb="40" eb="42">
      <t>コウキ</t>
    </rPh>
    <rPh sb="43" eb="45">
      <t>キンニク</t>
    </rPh>
    <rPh sb="85" eb="87">
      <t>ショトウ</t>
    </rPh>
    <rPh sb="88" eb="90">
      <t>キンチョウ</t>
    </rPh>
    <rPh sb="91" eb="92">
      <t>ヘ</t>
    </rPh>
    <phoneticPr fontId="1"/>
  </si>
  <si>
    <t>1762年までに
ゆるんだ状態になる</t>
    <rPh sb="4" eb="5">
      <t>ネン</t>
    </rPh>
    <rPh sb="13" eb="15">
      <t>ジョウタイ</t>
    </rPh>
    <phoneticPr fontId="1"/>
  </si>
  <si>
    <t>satis（十分な, 足りている）+facere（する, 作る）
satisfacere（十分にする, 完全に果たす）</t>
    <rPh sb="29" eb="30">
      <t>ツク</t>
    </rPh>
    <rPh sb="45" eb="47">
      <t>ジュウブン</t>
    </rPh>
    <rPh sb="52" eb="54">
      <t>カンゼン</t>
    </rPh>
    <rPh sb="55" eb="56">
      <t>ハ</t>
    </rPh>
    <phoneticPr fontId="1"/>
  </si>
  <si>
    <t>satisfiier（支払う, 償いをする）</t>
    <rPh sb="11" eb="13">
      <t>シハラ</t>
    </rPh>
    <rPh sb="16" eb="17">
      <t>ツグナ</t>
    </rPh>
    <phoneticPr fontId="1"/>
  </si>
  <si>
    <t>satisfien
&lt;span class="spacer"&gt;&lt;/span&gt;15世紀初期
欲望を満たす
植えや渇きを満足させる</t>
    <rPh sb="40" eb="42">
      <t>セイキ</t>
    </rPh>
    <rPh sb="42" eb="44">
      <t>ショキ</t>
    </rPh>
    <rPh sb="45" eb="47">
      <t>ヨクボウ</t>
    </rPh>
    <rPh sb="48" eb="49">
      <t>ミ</t>
    </rPh>
    <rPh sb="52" eb="53">
      <t>ウ</t>
    </rPh>
    <rPh sb="55" eb="56">
      <t>カワ</t>
    </rPh>
    <rPh sb="58" eb="60">
      <t>マンゾク</t>
    </rPh>
    <phoneticPr fontId="1"/>
  </si>
  <si>
    <t>sidus（天体・星）
&lt;span class="spacer"&gt;&lt;/span&gt;de（～から）+sidere（天体・星）
desiderare
星がもたらすものを待ち望む
切望する, 望む</t>
    <rPh sb="72" eb="73">
      <t>ホシ</t>
    </rPh>
    <rPh sb="81" eb="82">
      <t>マ</t>
    </rPh>
    <rPh sb="83" eb="84">
      <t>ノゾ</t>
    </rPh>
    <rPh sb="86" eb="88">
      <t>セツボウ</t>
    </rPh>
    <rPh sb="92" eb="93">
      <t>ノゾ</t>
    </rPh>
    <phoneticPr fontId="1"/>
  </si>
  <si>
    <t>desirrer（望む, 切望する）</t>
    <rPh sb="9" eb="10">
      <t>ノゾ</t>
    </rPh>
    <rPh sb="13" eb="15">
      <t>セツボウ</t>
    </rPh>
    <phoneticPr fontId="1"/>
  </si>
  <si>
    <t>desiren
&lt;span class="spacer"&gt;&lt;/span&gt;1200年頃
望む, 切望する</t>
    <rPh sb="40" eb="42">
      <t>ネンゴロ</t>
    </rPh>
    <rPh sb="43" eb="44">
      <t>ノゾ</t>
    </rPh>
    <rPh sb="47" eb="49">
      <t>セツボウ</t>
    </rPh>
    <phoneticPr fontId="1"/>
  </si>
  <si>
    <t>succeder
&lt;span class="spacer"&gt;&lt;/span&gt;14世紀
後に続く</t>
    <rPh sb="39" eb="41">
      <t>セイキ</t>
    </rPh>
    <rPh sb="42" eb="43">
      <t>アト</t>
    </rPh>
    <rPh sb="44" eb="45">
      <t>ツヅ</t>
    </rPh>
    <phoneticPr fontId="1"/>
  </si>
  <si>
    <t>succeden
&lt;span class="spacer"&gt;&lt;/span&gt;14世紀後期
後に続く
地位を引き継ぐ
後継者となる
&lt;span class="spacer"&gt;&lt;/span&gt;15世紀初頭
succeed wellという形やwell省略で
よい結果に終わる
うまくいく
&lt;span class="spacer"&gt;&lt;/span&gt;1500年頃
成功する</t>
    <rPh sb="39" eb="41">
      <t>セイキ</t>
    </rPh>
    <rPh sb="41" eb="43">
      <t>コウキ</t>
    </rPh>
    <rPh sb="44" eb="45">
      <t>アト</t>
    </rPh>
    <rPh sb="46" eb="47">
      <t>ツヅ</t>
    </rPh>
    <rPh sb="49" eb="51">
      <t>チイ</t>
    </rPh>
    <rPh sb="52" eb="53">
      <t>ヒ</t>
    </rPh>
    <rPh sb="54" eb="55">
      <t>ツ</t>
    </rPh>
    <rPh sb="57" eb="60">
      <t>コウケイシャ</t>
    </rPh>
    <rPh sb="96" eb="98">
      <t>ショトウ</t>
    </rPh>
    <rPh sb="114" eb="115">
      <t>カタチ</t>
    </rPh>
    <rPh sb="120" eb="122">
      <t>ショウリャク</t>
    </rPh>
    <rPh sb="126" eb="128">
      <t>ケッカ</t>
    </rPh>
    <rPh sb="129" eb="130">
      <t>オ</t>
    </rPh>
    <rPh sb="171" eb="173">
      <t>ネンコロ</t>
    </rPh>
    <rPh sb="174" eb="176">
      <t>セイコウ</t>
    </rPh>
    <phoneticPr fontId="1"/>
  </si>
  <si>
    <t>com（強意）+capere（取る）
concipere（しっかり取る）
&lt;span class="spacer"&gt;&lt;/span&gt;過去分詞から作られた名詞
conceptum（考えられたもの）</t>
    <rPh sb="4" eb="6">
      <t>キョウイ</t>
    </rPh>
    <rPh sb="15" eb="16">
      <t>ト</t>
    </rPh>
    <rPh sb="33" eb="34">
      <t>ト</t>
    </rPh>
    <rPh sb="65" eb="69">
      <t>カコブンシ</t>
    </rPh>
    <rPh sb="71" eb="72">
      <t>ツク</t>
    </rPh>
    <rPh sb="75" eb="77">
      <t>メイシ</t>
    </rPh>
    <rPh sb="88" eb="89">
      <t>カンガ</t>
    </rPh>
    <phoneticPr fontId="1"/>
  </si>
  <si>
    <t>conceptum（草案, 要約）</t>
    <rPh sb="10" eb="12">
      <t>ソウアン</t>
    </rPh>
    <rPh sb="14" eb="16">
      <t>ヨウヤク</t>
    </rPh>
    <phoneticPr fontId="1"/>
  </si>
  <si>
    <t>1550年代
概念, 考え</t>
    <rPh sb="4" eb="5">
      <t>ネン</t>
    </rPh>
    <rPh sb="5" eb="6">
      <t>ダイ</t>
    </rPh>
    <rPh sb="7" eb="9">
      <t>ガイネン</t>
    </rPh>
    <rPh sb="11" eb="12">
      <t>カンガ</t>
    </rPh>
    <phoneticPr fontId="1"/>
  </si>
  <si>
    <t>façon
&lt;span class="spacer"&gt;&lt;/span&gt;12世紀
外観, 設計, 様式</t>
    <rPh sb="36" eb="38">
      <t>セイキ</t>
    </rPh>
    <rPh sb="39" eb="41">
      <t>ガイカン</t>
    </rPh>
    <rPh sb="43" eb="45">
      <t>セッケイ</t>
    </rPh>
    <rPh sb="47" eb="49">
      <t>ヨウシキ</t>
    </rPh>
    <phoneticPr fontId="1"/>
  </si>
  <si>
    <t>fasoun
&lt;span class="spacer"&gt;&lt;/span&gt;1300年頃
形態, 外見, 姿
&lt;span class="spacer"&gt;&lt;/span&gt;14世紀後期
服装や装飾の様式
&lt;span class="spacer"&gt;&lt;/span&gt;15世紀後期
ある時代や場所の慣習
服装の流行様式</t>
    <rPh sb="42" eb="44">
      <t>ケイタイ</t>
    </rPh>
    <rPh sb="46" eb="48">
      <t>ガイケン</t>
    </rPh>
    <rPh sb="50" eb="51">
      <t>スガタ</t>
    </rPh>
    <rPh sb="82" eb="84">
      <t>セイキ</t>
    </rPh>
    <rPh sb="84" eb="86">
      <t>コウキ</t>
    </rPh>
    <rPh sb="87" eb="89">
      <t>フクソウ</t>
    </rPh>
    <rPh sb="90" eb="92">
      <t>ソウショク</t>
    </rPh>
    <rPh sb="93" eb="95">
      <t>ヨウシキ</t>
    </rPh>
    <rPh sb="126" eb="128">
      <t>セイキ</t>
    </rPh>
    <rPh sb="128" eb="130">
      <t>コウキ</t>
    </rPh>
    <rPh sb="133" eb="135">
      <t>ジダイ</t>
    </rPh>
    <rPh sb="136" eb="138">
      <t>バショ</t>
    </rPh>
    <rPh sb="139" eb="141">
      <t>カンシュウ</t>
    </rPh>
    <rPh sb="142" eb="144">
      <t>フクソウ</t>
    </rPh>
    <rPh sb="145" eb="147">
      <t>リュウコウ</t>
    </rPh>
    <rPh sb="147" eb="149">
      <t>ヨウシキ</t>
    </rPh>
    <phoneticPr fontId="1"/>
  </si>
  <si>
    <t>dis（離れて）+videre（分ける）
dividere（分けて離す, 分ける）</t>
    <rPh sb="30" eb="31">
      <t>ワ</t>
    </rPh>
    <rPh sb="33" eb="34">
      <t>ハナ</t>
    </rPh>
    <rPh sb="37" eb="38">
      <t>ワ</t>
    </rPh>
    <phoneticPr fontId="1"/>
  </si>
  <si>
    <t>*divisare（分ける, 配分する）</t>
    <rPh sb="10" eb="11">
      <t>ワ</t>
    </rPh>
    <rPh sb="15" eb="17">
      <t>ハイブン</t>
    </rPh>
    <phoneticPr fontId="1"/>
  </si>
  <si>
    <t>deviser（部分ごとに配置する, 整える）
&lt;span class="spacer"&gt;&lt;/span&gt;devis（分割, 配置）</t>
    <rPh sb="8" eb="10">
      <t>ブブン</t>
    </rPh>
    <rPh sb="13" eb="15">
      <t>ハイチ</t>
    </rPh>
    <rPh sb="19" eb="20">
      <t>トトノ</t>
    </rPh>
    <rPh sb="58" eb="60">
      <t>ブンカツ</t>
    </rPh>
    <rPh sb="62" eb="64">
      <t>ハイチ</t>
    </rPh>
    <phoneticPr fontId="1"/>
  </si>
  <si>
    <t>devis
&lt;span class="spacer"&gt;&lt;/span&gt;1300年頃
計画, 設計
&lt;span class="spacer"&gt;&lt;/span&gt;1400年頃
機械的装置, 仕掛け</t>
    <rPh sb="41" eb="43">
      <t>ケイカク</t>
    </rPh>
    <rPh sb="45" eb="47">
      <t>セッケイ</t>
    </rPh>
    <rPh sb="83" eb="88">
      <t>キカイテキソウチ</t>
    </rPh>
    <rPh sb="90" eb="92">
      <t>シカ</t>
    </rPh>
    <phoneticPr fontId="1"/>
  </si>
  <si>
    <t>1996年から
計算機器, 電子機器</t>
    <rPh sb="4" eb="5">
      <t>ネン</t>
    </rPh>
    <rPh sb="8" eb="12">
      <t>ケイサンキキ</t>
    </rPh>
    <rPh sb="14" eb="18">
      <t>デンシキキ</t>
    </rPh>
    <phoneticPr fontId="1"/>
  </si>
  <si>
    <t>carrus（二輪の荷車）</t>
    <rPh sb="7" eb="9">
      <t>ニリン</t>
    </rPh>
    <rPh sb="10" eb="12">
      <t>ニグルマ</t>
    </rPh>
    <phoneticPr fontId="1"/>
  </si>
  <si>
    <t>carricare（荷車や場所に積み込む）</t>
    <rPh sb="10" eb="12">
      <t>ニグルマ</t>
    </rPh>
    <rPh sb="13" eb="15">
      <t>バショ</t>
    </rPh>
    <rPh sb="16" eb="17">
      <t>ツ</t>
    </rPh>
    <rPh sb="18" eb="19">
      <t>コ</t>
    </rPh>
    <phoneticPr fontId="1"/>
  </si>
  <si>
    <t>chargier（積む, 負担を負わせる）
&lt;span class="spacer"&gt;&lt;/span&gt;charge（重荷, 課せられるもの）</t>
    <rPh sb="9" eb="10">
      <t>ツ</t>
    </rPh>
    <rPh sb="13" eb="15">
      <t>フタン</t>
    </rPh>
    <rPh sb="16" eb="17">
      <t>オ</t>
    </rPh>
    <rPh sb="57" eb="59">
      <t>オモニ</t>
    </rPh>
    <rPh sb="61" eb="62">
      <t>カ</t>
    </rPh>
    <phoneticPr fontId="1"/>
  </si>
  <si>
    <t>1200年頃
荷, 重さ
&lt;span class="spacer"&gt;&lt;/span&gt;14世紀半ば
責任, 負担
&lt;span class="spacer"&gt;&lt;/span&gt;14世紀後期
take charge（負担を引き受ける, 担当する）
命令, 指示</t>
    <rPh sb="7" eb="8">
      <t>ニ</t>
    </rPh>
    <rPh sb="10" eb="11">
      <t>オモ</t>
    </rPh>
    <rPh sb="43" eb="45">
      <t>セイキ</t>
    </rPh>
    <rPh sb="45" eb="46">
      <t>ナカ</t>
    </rPh>
    <rPh sb="48" eb="50">
      <t>セキニン</t>
    </rPh>
    <rPh sb="52" eb="54">
      <t>フタン</t>
    </rPh>
    <rPh sb="87" eb="89">
      <t>コウキ</t>
    </rPh>
    <rPh sb="102" eb="104">
      <t>フタン</t>
    </rPh>
    <rPh sb="105" eb="106">
      <t>ヒ</t>
    </rPh>
    <rPh sb="107" eb="108">
      <t>ウ</t>
    </rPh>
    <rPh sb="112" eb="114">
      <t>タントウ</t>
    </rPh>
    <rPh sb="118" eb="120">
      <t>メイレイ</t>
    </rPh>
    <rPh sb="122" eb="124">
      <t>シジ</t>
    </rPh>
    <phoneticPr fontId="1"/>
  </si>
  <si>
    <t>1510年代
in charge（担当して, 管理して）
&lt;span class="spacer"&gt;&lt;/span&gt;1520年代
他者の管理にゆだねられたもの
&lt;span class="spacer"&gt;&lt;/span&gt;15世紀後期
告発（14世紀後期の命令という意味から）</t>
    <rPh sb="61" eb="63">
      <t>ネンダイ</t>
    </rPh>
    <rPh sb="64" eb="66">
      <t>タシャ</t>
    </rPh>
    <rPh sb="67" eb="69">
      <t>カンリ</t>
    </rPh>
    <rPh sb="109" eb="111">
      <t>セイキ</t>
    </rPh>
    <rPh sb="111" eb="113">
      <t>コウキ</t>
    </rPh>
    <rPh sb="114" eb="116">
      <t>コクハツ</t>
    </rPh>
    <rPh sb="119" eb="121">
      <t>セイキ</t>
    </rPh>
    <rPh sb="121" eb="123">
      <t>コウキ</t>
    </rPh>
    <rPh sb="124" eb="126">
      <t>メイレイ</t>
    </rPh>
    <rPh sb="129" eb="131">
      <t>イミ</t>
    </rPh>
    <phoneticPr fontId="1"/>
  </si>
  <si>
    <t>contra（～に対して）+stare（立つ）</t>
    <rPh sb="9" eb="10">
      <t>タイ</t>
    </rPh>
    <rPh sb="20" eb="21">
      <t>タ</t>
    </rPh>
    <phoneticPr fontId="1"/>
  </si>
  <si>
    <t>*contrastare（対立して立つ）</t>
    <rPh sb="13" eb="15">
      <t>タイリツ</t>
    </rPh>
    <rPh sb="17" eb="18">
      <t>タ</t>
    </rPh>
    <phoneticPr fontId="1"/>
  </si>
  <si>
    <t>イタリア語</t>
    <phoneticPr fontId="1"/>
  </si>
  <si>
    <t>contrastare（対抗する, 際立たせる）</t>
    <rPh sb="12" eb="14">
      <t>タイコウ</t>
    </rPh>
    <rPh sb="18" eb="20">
      <t>キワダ</t>
    </rPh>
    <phoneticPr fontId="1"/>
  </si>
  <si>
    <t>contraster（対比させる, 対立させる）</t>
    <rPh sb="11" eb="13">
      <t>タイヒ</t>
    </rPh>
    <rPh sb="18" eb="20">
      <t>タイリツ</t>
    </rPh>
    <phoneticPr fontId="1"/>
  </si>
  <si>
    <t>1690年代
差異を示すために対立させる
対比によって引き立てる
対照をなす
&lt;span class="spacer"&gt;&lt;/span&gt;1711年
対照</t>
    <rPh sb="4" eb="6">
      <t>ネンダイ</t>
    </rPh>
    <rPh sb="7" eb="9">
      <t>サイ</t>
    </rPh>
    <rPh sb="10" eb="11">
      <t>シメ</t>
    </rPh>
    <rPh sb="15" eb="17">
      <t>タイリツ</t>
    </rPh>
    <rPh sb="21" eb="23">
      <t>タイヒ</t>
    </rPh>
    <rPh sb="27" eb="28">
      <t>ヒ</t>
    </rPh>
    <rPh sb="29" eb="30">
      <t>タ</t>
    </rPh>
    <rPh sb="33" eb="35">
      <t>タイショウ</t>
    </rPh>
    <rPh sb="71" eb="72">
      <t>ネン</t>
    </rPh>
    <rPh sb="73" eb="75">
      <t>タイショウ</t>
    </rPh>
    <phoneticPr fontId="1"/>
  </si>
  <si>
    <t>collègue（同僚）</t>
    <rPh sb="9" eb="11">
      <t>ドウリョウ</t>
    </rPh>
    <phoneticPr fontId="1"/>
  </si>
  <si>
    <t>1530年代
同僚</t>
    <rPh sb="4" eb="6">
      <t>ネンダイ</t>
    </rPh>
    <rPh sb="7" eb="9">
      <t>ドウリョウ</t>
    </rPh>
    <phoneticPr fontId="1"/>
  </si>
  <si>
    <t>poinē（報復, 刑罰）</t>
    <rPh sb="6" eb="8">
      <t>ホウフク</t>
    </rPh>
    <rPh sb="10" eb="12">
      <t>ケイバツ</t>
    </rPh>
    <phoneticPr fontId="1"/>
  </si>
  <si>
    <t>poena（報復, 刑罰, 罰金）</t>
    <rPh sb="6" eb="8">
      <t>ホウフク</t>
    </rPh>
    <rPh sb="10" eb="12">
      <t>ケイバツ</t>
    </rPh>
    <rPh sb="14" eb="16">
      <t>バッキン</t>
    </rPh>
    <phoneticPr fontId="1"/>
  </si>
  <si>
    <t>poena
苦痛, 困難, 苦しみなどの意味が追加</t>
    <rPh sb="6" eb="8">
      <t>クツウ</t>
    </rPh>
    <rPh sb="10" eb="12">
      <t>コンナン</t>
    </rPh>
    <rPh sb="14" eb="15">
      <t>クル</t>
    </rPh>
    <rPh sb="20" eb="22">
      <t>イミ</t>
    </rPh>
    <rPh sb="23" eb="25">
      <t>ツイカ</t>
    </rPh>
    <phoneticPr fontId="1"/>
  </si>
  <si>
    <t>苦しみ, 困難</t>
    <rPh sb="0" eb="1">
      <t>クル</t>
    </rPh>
    <rPh sb="5" eb="7">
      <t>コンナン</t>
    </rPh>
    <phoneticPr fontId="1"/>
  </si>
  <si>
    <t>peine
&lt;span class="spacer"&gt;&lt;/span&gt;13世紀後期
キリストが受けた苦痛
&lt;span class="spacer"&gt;&lt;/span&gt;1300年頃
刑罰, 苦痛</t>
    <rPh sb="36" eb="38">
      <t>セイキ</t>
    </rPh>
    <rPh sb="38" eb="40">
      <t>コウキ</t>
    </rPh>
    <rPh sb="46" eb="47">
      <t>ウ</t>
    </rPh>
    <rPh sb="49" eb="51">
      <t>クツウ</t>
    </rPh>
    <rPh sb="87" eb="89">
      <t>ケイバツ</t>
    </rPh>
    <rPh sb="91" eb="93">
      <t>クツウ</t>
    </rPh>
    <phoneticPr fontId="1"/>
  </si>
  <si>
    <t>1520年代から
目的のための努力, 苦労</t>
    <rPh sb="4" eb="6">
      <t>ネンダイ</t>
    </rPh>
    <rPh sb="9" eb="11">
      <t>モクテキ</t>
    </rPh>
    <rPh sb="15" eb="17">
      <t>ドリョク</t>
    </rPh>
    <rPh sb="19" eb="21">
      <t>クロウ</t>
    </rPh>
    <phoneticPr fontId="1"/>
  </si>
  <si>
    <t>bulla（こぶ, 突起）</t>
    <rPh sb="10" eb="12">
      <t>トッキ</t>
    </rPh>
    <phoneticPr fontId="1"/>
  </si>
  <si>
    <t>bulla（印章, 封印された文書）
公文書の封をするために金属や蝋を溶かして固めたもの</t>
    <rPh sb="6" eb="8">
      <t>インショウ</t>
    </rPh>
    <rPh sb="10" eb="12">
      <t>フウイン</t>
    </rPh>
    <rPh sb="15" eb="17">
      <t>ブンショ</t>
    </rPh>
    <rPh sb="19" eb="22">
      <t>コウブンショ</t>
    </rPh>
    <rPh sb="23" eb="24">
      <t>フウ</t>
    </rPh>
    <rPh sb="30" eb="31">
      <t>キン</t>
    </rPh>
    <rPh sb="31" eb="32">
      <t>ゾク</t>
    </rPh>
    <rPh sb="33" eb="34">
      <t>ロウ</t>
    </rPh>
    <rPh sb="35" eb="36">
      <t>ト</t>
    </rPh>
    <rPh sb="39" eb="40">
      <t>カタ</t>
    </rPh>
    <phoneticPr fontId="1"/>
  </si>
  <si>
    <t>アングロ・ラテン語</t>
    <phoneticPr fontId="1"/>
  </si>
  <si>
    <t>billa（印章, 書き物）</t>
    <rPh sb="6" eb="8">
      <t>インショウ</t>
    </rPh>
    <rPh sb="10" eb="11">
      <t>カ</t>
    </rPh>
    <rPh sb="12" eb="13">
      <t>モノ</t>
    </rPh>
    <phoneticPr fontId="1"/>
  </si>
  <si>
    <t>bille（文書）</t>
    <rPh sb="6" eb="8">
      <t>ブンショ</t>
    </rPh>
    <phoneticPr fontId="1"/>
  </si>
  <si>
    <t>14世紀後期
正式な文書
&lt;span class="spacer"&gt;&lt;/span&gt;1400年頃
売った品やサービスの明細書</t>
    <rPh sb="2" eb="6">
      <t>セイキコウキ</t>
    </rPh>
    <rPh sb="7" eb="9">
      <t>セイシキ</t>
    </rPh>
    <rPh sb="10" eb="12">
      <t>ブンショ</t>
    </rPh>
    <rPh sb="45" eb="47">
      <t>ネンコロ</t>
    </rPh>
    <rPh sb="48" eb="49">
      <t>ウ</t>
    </rPh>
    <rPh sb="51" eb="52">
      <t>シナ</t>
    </rPh>
    <rPh sb="58" eb="60">
      <t>メイサイ</t>
    </rPh>
    <rPh sb="60" eb="61">
      <t>ショ</t>
    </rPh>
    <phoneticPr fontId="1"/>
  </si>
  <si>
    <t>1510年代から
法案
&lt;span class="spacer"&gt;&lt;/span&gt;1570年代から
請求書, 勘定書
&lt;span class="spacer"&gt;&lt;/span&gt;1660年代から
紙幣</t>
    <phoneticPr fontId="1"/>
  </si>
  <si>
    <t xml:space="preserve">com（共に）+tenere（保つ, 握る）
continere（共に保つ, 囲い込む）
&lt;span class="spacer"&gt;&lt;/span&gt;過去分詞から名詞になって
contentum（囲い込まれているもの, 含まれているもの）
</t>
    <rPh sb="4" eb="5">
      <t>トモ</t>
    </rPh>
    <rPh sb="15" eb="16">
      <t>タモ</t>
    </rPh>
    <rPh sb="19" eb="20">
      <t>ニギ</t>
    </rPh>
    <rPh sb="33" eb="34">
      <t>トモ</t>
    </rPh>
    <rPh sb="35" eb="36">
      <t>タモツ</t>
    </rPh>
    <rPh sb="39" eb="40">
      <t>カコ</t>
    </rPh>
    <rPh sb="41" eb="42">
      <t>コ</t>
    </rPh>
    <rPh sb="73" eb="77">
      <t>カコブンシ</t>
    </rPh>
    <rPh sb="79" eb="81">
      <t>メイシ</t>
    </rPh>
    <rPh sb="96" eb="97">
      <t>カコ</t>
    </rPh>
    <rPh sb="98" eb="99">
      <t>コ</t>
    </rPh>
    <rPh sb="108" eb="109">
      <t>フク</t>
    </rPh>
    <phoneticPr fontId="1"/>
  </si>
  <si>
    <t>15世紀初頭
中に含まれているもの</t>
    <rPh sb="2" eb="6">
      <t>セイキショトウ</t>
    </rPh>
    <rPh sb="7" eb="8">
      <t>ナカ</t>
    </rPh>
    <rPh sb="9" eb="10">
      <t>フク</t>
    </rPh>
    <phoneticPr fontId="1"/>
  </si>
  <si>
    <t>section（切断, 分割）</t>
    <rPh sb="8" eb="10">
      <t>セツダン</t>
    </rPh>
    <rPh sb="12" eb="14">
      <t>ブンカツ</t>
    </rPh>
    <phoneticPr fontId="1"/>
  </si>
  <si>
    <t>14世紀初頭
二直線の交点
目盛りの分割
&lt;span class="spacer"&gt;&lt;/span&gt;15世紀初頭
全体から切り離されたもの</t>
    <rPh sb="2" eb="6">
      <t>セイキショトウ</t>
    </rPh>
    <rPh sb="7" eb="8">
      <t>ニ</t>
    </rPh>
    <rPh sb="8" eb="10">
      <t>チョクセン</t>
    </rPh>
    <rPh sb="11" eb="13">
      <t>コウテン</t>
    </rPh>
    <rPh sb="14" eb="16">
      <t>メモ</t>
    </rPh>
    <rPh sb="18" eb="20">
      <t>ブンカツ</t>
    </rPh>
    <rPh sb="51" eb="53">
      <t>セイキ</t>
    </rPh>
    <rPh sb="53" eb="55">
      <t>ショトウ</t>
    </rPh>
    <rPh sb="56" eb="58">
      <t>ゼンタイ</t>
    </rPh>
    <rPh sb="60" eb="61">
      <t>キ</t>
    </rPh>
    <rPh sb="62" eb="63">
      <t>ハナ</t>
    </rPh>
    <phoneticPr fontId="1"/>
  </si>
  <si>
    <t>audire（聞く）
&lt;span class="spacer"&gt;&lt;/span&gt;現在分詞audiens（聞いている者）
&lt;span class="spacer"&gt;&lt;/span&gt;名詞を作る-iaが付いて
audentia（聞くこと, 聴取）</t>
    <rPh sb="7" eb="8">
      <t>キ</t>
    </rPh>
    <rPh sb="39" eb="43">
      <t>ゲンザイブンシ</t>
    </rPh>
    <rPh sb="51" eb="52">
      <t>キ</t>
    </rPh>
    <rPh sb="56" eb="57">
      <t>モノ</t>
    </rPh>
    <rPh sb="87" eb="89">
      <t>メイシ</t>
    </rPh>
    <rPh sb="90" eb="91">
      <t>ツク</t>
    </rPh>
    <rPh sb="96" eb="97">
      <t>ツ</t>
    </rPh>
    <rPh sb="109" eb="110">
      <t>キ</t>
    </rPh>
    <rPh sb="115" eb="117">
      <t>チョウシュ</t>
    </rPh>
    <phoneticPr fontId="1"/>
  </si>
  <si>
    <t>audience（聞くこと, 聴取）</t>
    <rPh sb="9" eb="10">
      <t>キ</t>
    </rPh>
    <rPh sb="15" eb="17">
      <t>チョウシュ</t>
    </rPh>
    <phoneticPr fontId="1"/>
  </si>
  <si>
    <t>14世紀後期
聞くこと
&lt;span class="spacer"&gt;&lt;/span&gt;15世紀初頭
聞こえる範囲にいる人々
聴衆</t>
    <rPh sb="2" eb="4">
      <t>セイキ</t>
    </rPh>
    <rPh sb="4" eb="6">
      <t>コウキ</t>
    </rPh>
    <rPh sb="7" eb="8">
      <t>キ</t>
    </rPh>
    <rPh sb="42" eb="44">
      <t>セイキ</t>
    </rPh>
    <rPh sb="44" eb="46">
      <t>ショトウ</t>
    </rPh>
    <rPh sb="47" eb="48">
      <t>キ</t>
    </rPh>
    <rPh sb="51" eb="53">
      <t>ハンイ</t>
    </rPh>
    <rPh sb="56" eb="58">
      <t>ヒトビト</t>
    </rPh>
    <rPh sb="59" eb="61">
      <t>チョウシュウ</t>
    </rPh>
    <phoneticPr fontId="1"/>
  </si>
  <si>
    <t>1855年
書物の読者</t>
    <rPh sb="4" eb="5">
      <t>ネン</t>
    </rPh>
    <rPh sb="6" eb="8">
      <t>ショモツ</t>
    </rPh>
    <rPh sb="9" eb="11">
      <t>ドクシャ</t>
    </rPh>
    <phoneticPr fontId="1"/>
  </si>
  <si>
    <t>1946年
テレビ番組の視聴者</t>
    <rPh sb="4" eb="5">
      <t>ネン</t>
    </rPh>
    <rPh sb="9" eb="11">
      <t>バングミ</t>
    </rPh>
    <rPh sb="12" eb="15">
      <t>シチョウシャ</t>
    </rPh>
    <phoneticPr fontId="1"/>
  </si>
  <si>
    <t>super（上に, 越えて）+facies（顔, 面）
superficies（表面）</t>
    <rPh sb="6" eb="7">
      <t>ウエ</t>
    </rPh>
    <rPh sb="10" eb="11">
      <t>コヒョウメン</t>
    </rPh>
    <phoneticPr fontId="1"/>
  </si>
  <si>
    <t>sur（上に, 越えて）+face（顔, 面）</t>
    <rPh sb="4" eb="5">
      <t>ウエ</t>
    </rPh>
    <rPh sb="8" eb="9">
      <t>コ</t>
    </rPh>
    <phoneticPr fontId="1"/>
  </si>
  <si>
    <t>surface（最も外側の部分, 表面）</t>
    <rPh sb="8" eb="9">
      <t>モット</t>
    </rPh>
    <rPh sb="10" eb="12">
      <t>ソトガワ</t>
    </rPh>
    <rPh sb="13" eb="15">
      <t>ブブン</t>
    </rPh>
    <phoneticPr fontId="1"/>
  </si>
  <si>
    <t>1610年代
物体の境界
&lt;span class="spacer"&gt;&lt;/span&gt;1725年までに
表面, 外見</t>
    <rPh sb="4" eb="5">
      <t>ネン</t>
    </rPh>
    <rPh sb="5" eb="6">
      <t>ダイ</t>
    </rPh>
    <rPh sb="7" eb="9">
      <t>ブッタイ</t>
    </rPh>
    <rPh sb="10" eb="12">
      <t>キョウカイ</t>
    </rPh>
    <rPh sb="45" eb="46">
      <t>ネン</t>
    </rPh>
    <rPh sb="50" eb="52">
      <t>ヒョウメン</t>
    </rPh>
    <rPh sb="54" eb="56">
      <t>ガイケン</t>
    </rPh>
    <phoneticPr fontId="1"/>
  </si>
  <si>
    <t>superficies（植物の先端）</t>
    <rPh sb="12" eb="14">
      <t>ショクブツ</t>
    </rPh>
    <rPh sb="15" eb="17">
      <t>センタンヒョウメン</t>
    </rPh>
    <phoneticPr fontId="1"/>
  </si>
  <si>
    <t>植物の先端
&lt;span class="spacer"&gt;&lt;/span&gt;1200年頃
植物の上部を刈り取る
&lt;span class="spacer"&gt;&lt;/span&gt;14世紀初頭
穀物, 作物, 一年の収穫高</t>
    <rPh sb="0" eb="2">
      <t>ショクブツ</t>
    </rPh>
    <rPh sb="3" eb="5">
      <t>センタン</t>
    </rPh>
    <rPh sb="38" eb="39">
      <t>ネン</t>
    </rPh>
    <rPh sb="39" eb="40">
      <t>コロ</t>
    </rPh>
    <rPh sb="41" eb="43">
      <t>ショクブツ</t>
    </rPh>
    <rPh sb="44" eb="46">
      <t>ジョウブ</t>
    </rPh>
    <rPh sb="47" eb="48">
      <t>カ</t>
    </rPh>
    <rPh sb="49" eb="50">
      <t>ト</t>
    </rPh>
    <rPh sb="82" eb="84">
      <t>セイキ</t>
    </rPh>
    <rPh sb="84" eb="86">
      <t>ショトウ</t>
    </rPh>
    <rPh sb="87" eb="89">
      <t>コクモツ</t>
    </rPh>
    <rPh sb="91" eb="93">
      <t>サクモツ</t>
    </rPh>
    <rPh sb="95" eb="97">
      <t>イチネン</t>
    </rPh>
    <rPh sb="98" eb="101">
      <t>シュウカクダカ</t>
    </rPh>
    <phoneticPr fontId="1"/>
  </si>
  <si>
    <t>topos（場所）
&lt;span class="spacer"&gt;&lt;/span&gt;形容詞を作る-ikosが付いて
topikos（場所の, 共通の場所の）
&lt;span class="spacer"&gt;&lt;/span&gt;アリストテレスの著書
Ta Topika『論題論』（直訳：場所に関すること）
&lt;span class="spacer"&gt;&lt;/span&gt;論題を場所に置いていくイメージだった</t>
    <rPh sb="6" eb="8">
      <t>バショ</t>
    </rPh>
    <rPh sb="38" eb="41">
      <t>ケイヨウシ</t>
    </rPh>
    <rPh sb="42" eb="43">
      <t>ツク</t>
    </rPh>
    <rPh sb="50" eb="51">
      <t>ツ</t>
    </rPh>
    <rPh sb="62" eb="64">
      <t>バショ</t>
    </rPh>
    <rPh sb="67" eb="69">
      <t>キョウツウ</t>
    </rPh>
    <rPh sb="70" eb="72">
      <t>バショ</t>
    </rPh>
    <rPh sb="129" eb="131">
      <t>チョクヤク</t>
    </rPh>
    <rPh sb="132" eb="134">
      <t>バショ</t>
    </rPh>
    <rPh sb="135" eb="136">
      <t>カンヒョウメン</t>
    </rPh>
    <phoneticPr fontId="1"/>
  </si>
  <si>
    <t>アリストテレスの著書『Topica』</t>
    <rPh sb="8" eb="10">
      <t>チョショヒョウメン</t>
    </rPh>
    <phoneticPr fontId="1"/>
  </si>
  <si>
    <t>ique</t>
  </si>
  <si>
    <t>tekhnē（技術）
&lt;span class="spacer"&gt;&lt;/span&gt;形容詞を作る-ikosが付いて
tekhnikos（技術的な）</t>
    <rPh sb="7" eb="9">
      <t>ギジュツ</t>
    </rPh>
    <rPh sb="65" eb="67">
      <t>ギジュツ</t>
    </rPh>
    <rPh sb="67" eb="68">
      <t>テキヒョウメン</t>
    </rPh>
    <phoneticPr fontId="1"/>
  </si>
  <si>
    <t>technique（芸術表現における細部の技法）</t>
    <rPh sb="10" eb="12">
      <t>ゲイジュツ</t>
    </rPh>
    <rPh sb="12" eb="14">
      <t>ヒョウゲン</t>
    </rPh>
    <rPh sb="18" eb="20">
      <t>サイブ</t>
    </rPh>
    <rPh sb="21" eb="23">
      <t>ギホウ</t>
    </rPh>
    <phoneticPr fontId="1"/>
  </si>
  <si>
    <t>1817年
芸術の技法, 表現技法</t>
    <rPh sb="4" eb="5">
      <t>ネン</t>
    </rPh>
    <rPh sb="6" eb="8">
      <t>ゲイジュツ</t>
    </rPh>
    <rPh sb="9" eb="11">
      <t>ギホウ</t>
    </rPh>
    <rPh sb="13" eb="15">
      <t>ヒョウゲン</t>
    </rPh>
    <rPh sb="15" eb="17">
      <t>ギホウ</t>
    </rPh>
    <phoneticPr fontId="1"/>
  </si>
  <si>
    <t>古典ラテン語</t>
    <rPh sb="0" eb="2">
      <t>コテン</t>
    </rPh>
    <rPh sb="5" eb="6">
      <t>ゴ</t>
    </rPh>
    <phoneticPr fontId="1"/>
  </si>
  <si>
    <t>1670年代
状況や状態の高さ, 段階
&lt;span class="spacer"&gt;&lt;/span&gt;1791年までに
法的地位
&lt;span class="spacer"&gt;&lt;/span&gt;1820年までに
社会的地位, 職業的地位</t>
    <rPh sb="4" eb="6">
      <t>ネンダイ</t>
    </rPh>
    <rPh sb="7" eb="9">
      <t>ジョウキョウ</t>
    </rPh>
    <rPh sb="10" eb="12">
      <t>ジョウタイ</t>
    </rPh>
    <rPh sb="13" eb="14">
      <t>タカ</t>
    </rPh>
    <rPh sb="17" eb="19">
      <t>ダンカイ</t>
    </rPh>
    <rPh sb="52" eb="53">
      <t>ネン</t>
    </rPh>
    <rPh sb="57" eb="59">
      <t>ホウテキ</t>
    </rPh>
    <rPh sb="59" eb="61">
      <t>チイ</t>
    </rPh>
    <rPh sb="99" eb="102">
      <t>シャカイテキ</t>
    </rPh>
    <rPh sb="102" eb="104">
      <t>チイ</t>
    </rPh>
    <rPh sb="106" eb="109">
      <t>ショクギョウテキ</t>
    </rPh>
    <rPh sb="109" eb="111">
      <t>チイ</t>
    </rPh>
    <phoneticPr fontId="1"/>
  </si>
  <si>
    <t>opcion</t>
    <phoneticPr fontId="1"/>
  </si>
  <si>
    <t>1600年頃
選択
&lt;span class="spacer"&gt;&lt;/span&gt;1630年代
選択の自由
&lt;span class="spacer"&gt;&lt;/span&gt;1855念
選択肢</t>
    <rPh sb="4" eb="6">
      <t>ネンコロ</t>
    </rPh>
    <rPh sb="7" eb="9">
      <t>センタク</t>
    </rPh>
    <rPh sb="42" eb="43">
      <t>ネン</t>
    </rPh>
    <rPh sb="43" eb="44">
      <t>ダイ</t>
    </rPh>
    <rPh sb="45" eb="47">
      <t>センタク</t>
    </rPh>
    <rPh sb="48" eb="50">
      <t>ジユウ</t>
    </rPh>
    <rPh sb="83" eb="84">
      <t>ネン</t>
    </rPh>
    <rPh sb="85" eb="88">
      <t>センタクシ</t>
    </rPh>
    <phoneticPr fontId="1"/>
  </si>
  <si>
    <t>古北フランス語</t>
    <rPh sb="0" eb="1">
      <t>コ</t>
    </rPh>
    <rPh sb="1" eb="2">
      <t>キタ</t>
    </rPh>
    <rPh sb="6" eb="7">
      <t>ゴ</t>
    </rPh>
    <phoneticPr fontId="1"/>
  </si>
  <si>
    <t xml:space="preserve">re（強意）+warder（見る, 注意を払う）
rewarder（注意を向ける, 報いる）
&lt;span class="spacer"&gt;&lt;/span&gt;名詞になって
reward（正当な報い）
</t>
    <rPh sb="3" eb="5">
      <t>キョウイ</t>
    </rPh>
    <rPh sb="14" eb="15">
      <t>ミ</t>
    </rPh>
    <rPh sb="18" eb="20">
      <t>チュウイ</t>
    </rPh>
    <rPh sb="21" eb="22">
      <t>ハラ</t>
    </rPh>
    <rPh sb="75" eb="77">
      <t>メイシ</t>
    </rPh>
    <rPh sb="89" eb="91">
      <t>セイトウ</t>
    </rPh>
    <rPh sb="92" eb="93">
      <t>ムク</t>
    </rPh>
    <phoneticPr fontId="1"/>
  </si>
  <si>
    <t>14世紀半ば
正当な報い
&lt;span class="spacer"&gt;&lt;/span&gt;14世紀後期
奉仕や苦労などに対する報酬
悪行に対する報い</t>
    <rPh sb="2" eb="4">
      <t>セイキ</t>
    </rPh>
    <rPh sb="4" eb="5">
      <t>ナカ</t>
    </rPh>
    <rPh sb="7" eb="9">
      <t>セイトウ</t>
    </rPh>
    <rPh sb="10" eb="11">
      <t>ムク</t>
    </rPh>
    <rPh sb="43" eb="45">
      <t>セイキ</t>
    </rPh>
    <rPh sb="45" eb="47">
      <t>コウキ</t>
    </rPh>
    <rPh sb="48" eb="50">
      <t>ホウシ</t>
    </rPh>
    <rPh sb="51" eb="53">
      <t>クロウ</t>
    </rPh>
    <rPh sb="56" eb="57">
      <t>タイ</t>
    </rPh>
    <rPh sb="59" eb="61">
      <t>ホウシュウ</t>
    </rPh>
    <rPh sb="62" eb="64">
      <t>アクギョウ</t>
    </rPh>
    <rPh sb="65" eb="66">
      <t>タイ</t>
    </rPh>
    <rPh sb="68" eb="69">
      <t>ムク</t>
    </rPh>
    <phoneticPr fontId="1"/>
  </si>
  <si>
    <t>race（種族, 血統）</t>
    <rPh sb="5" eb="7">
      <t>シュゾク</t>
    </rPh>
    <rPh sb="9" eb="11">
      <t>ケットウ</t>
    </rPh>
    <phoneticPr fontId="1"/>
  </si>
  <si>
    <t>1500年頃
共通の職業をもつ人々の集団
&lt;span class="spacer"&gt;&lt;/span&gt;1560年代
共通の祖先から出た人々
人種, 民族</t>
    <rPh sb="4" eb="6">
      <t>ネンコロ</t>
    </rPh>
    <rPh sb="7" eb="9">
      <t>キョウツウ</t>
    </rPh>
    <rPh sb="10" eb="12">
      <t>ショクギョウ</t>
    </rPh>
    <rPh sb="15" eb="17">
      <t>ヒトビト</t>
    </rPh>
    <rPh sb="18" eb="20">
      <t>シュウダン</t>
    </rPh>
    <rPh sb="53" eb="55">
      <t>ネンダイ</t>
    </rPh>
    <rPh sb="56" eb="58">
      <t>キョウツウ</t>
    </rPh>
    <rPh sb="59" eb="61">
      <t>ソセン</t>
    </rPh>
    <rPh sb="63" eb="64">
      <t>デ</t>
    </rPh>
    <rPh sb="65" eb="67">
      <t>ヒトビト</t>
    </rPh>
    <phoneticPr fontId="1"/>
  </si>
  <si>
    <t>crimen（罪, 犯罪）</t>
    <rPh sb="7" eb="8">
      <t>ツミ</t>
    </rPh>
    <rPh sb="10" eb="12">
      <t>ハンザイ</t>
    </rPh>
    <phoneticPr fontId="1"/>
  </si>
  <si>
    <t>crimne
&lt;span class="spacer"&gt;&lt;/span&gt;12世紀
罪, 重大な罪</t>
    <rPh sb="37" eb="39">
      <t>セイキ</t>
    </rPh>
    <rPh sb="40" eb="41">
      <t>ツミ</t>
    </rPh>
    <rPh sb="43" eb="45">
      <t>ジュウダイ</t>
    </rPh>
    <rPh sb="46" eb="47">
      <t>ツミ</t>
    </rPh>
    <phoneticPr fontId="1"/>
  </si>
  <si>
    <t>13世紀半ば
神の法に対する違反
&lt;span class="spacer"&gt;&lt;/span&gt;14世紀後期
法律によって処罰される違法行為</t>
    <rPh sb="2" eb="4">
      <t>セイキ</t>
    </rPh>
    <rPh sb="4" eb="5">
      <t>ナカ</t>
    </rPh>
    <rPh sb="7" eb="8">
      <t>カミ</t>
    </rPh>
    <rPh sb="9" eb="10">
      <t>ホウ</t>
    </rPh>
    <rPh sb="11" eb="12">
      <t>タイ</t>
    </rPh>
    <rPh sb="14" eb="16">
      <t>イハン</t>
    </rPh>
    <rPh sb="47" eb="49">
      <t>セイキ</t>
    </rPh>
    <rPh sb="49" eb="51">
      <t>コウキ</t>
    </rPh>
    <rPh sb="52" eb="54">
      <t>ホウリツ</t>
    </rPh>
    <rPh sb="58" eb="60">
      <t>ショバツ</t>
    </rPh>
    <rPh sb="63" eb="65">
      <t>イホウ</t>
    </rPh>
    <rPh sb="65" eb="67">
      <t>コウイ</t>
    </rPh>
    <phoneticPr fontId="1"/>
  </si>
  <si>
    <t xml:space="preserve">com（共に）+fligere（打つ）
confligere（共に打つ, 衝突する）
&lt;span class="spacer"&gt;&lt;/span&gt;過去分詞conflictus（衝突, 打ち合い）
</t>
    <rPh sb="4" eb="5">
      <t>トモ</t>
    </rPh>
    <rPh sb="16" eb="17">
      <t>ウ</t>
    </rPh>
    <rPh sb="31" eb="32">
      <t>トモ</t>
    </rPh>
    <rPh sb="33" eb="34">
      <t>ウ</t>
    </rPh>
    <rPh sb="37" eb="39">
      <t>ショウトツ</t>
    </rPh>
    <rPh sb="71" eb="75">
      <t>カコブンシ</t>
    </rPh>
    <rPh sb="86" eb="88">
      <t>ショウトツ</t>
    </rPh>
    <rPh sb="90" eb="91">
      <t>ウ</t>
    </rPh>
    <rPh sb="92" eb="93">
      <t>ア</t>
    </rPh>
    <phoneticPr fontId="1"/>
  </si>
  <si>
    <t>conflictus（衝突, 争い）</t>
    <rPh sb="15" eb="16">
      <t>アラソ</t>
    </rPh>
    <phoneticPr fontId="1"/>
  </si>
  <si>
    <t>conflit（衝突, 戦闘）</t>
    <rPh sb="8" eb="10">
      <t>ショウトツ</t>
    </rPh>
    <rPh sb="12" eb="14">
      <t>セントウ</t>
    </rPh>
    <phoneticPr fontId="1"/>
  </si>
  <si>
    <t>15世紀初頭
戦闘
&lt;span class="spacer"&gt;&lt;/span&gt;15世紀半ば
争い, 論争</t>
    <rPh sb="2" eb="6">
      <t>セイキショトウ</t>
    </rPh>
    <rPh sb="7" eb="9">
      <t>セントウ</t>
    </rPh>
    <rPh sb="40" eb="42">
      <t>セイキ</t>
    </rPh>
    <rPh sb="42" eb="43">
      <t>ナカ</t>
    </rPh>
    <rPh sb="45" eb="46">
      <t>アラソ</t>
    </rPh>
    <rPh sb="49" eb="51">
      <t>ロンソウ</t>
    </rPh>
    <phoneticPr fontId="1"/>
  </si>
  <si>
    <t>詳細な語源不明。</t>
    <rPh sb="0" eb="2">
      <t>ショウサイ</t>
    </rPh>
    <phoneticPr fontId="1"/>
  </si>
  <si>
    <t>strogelen
&lt;span class="spacer"&gt;&lt;/span&gt;14世紀後期
取っ組み合う
&lt;span class="spacer"&gt;&lt;/span&gt;その後、努力する, 奮闘するへと発展</t>
    <rPh sb="40" eb="44">
      <t>セイキコウキ</t>
    </rPh>
    <rPh sb="45" eb="46">
      <t>ト</t>
    </rPh>
    <rPh sb="47" eb="48">
      <t>ク</t>
    </rPh>
    <rPh sb="49" eb="50">
      <t>ア</t>
    </rPh>
    <rPh sb="82" eb="83">
      <t>ゴ</t>
    </rPh>
    <rPh sb="84" eb="86">
      <t>ドリョク</t>
    </rPh>
    <rPh sb="90" eb="92">
      <t>フントウ</t>
    </rPh>
    <rPh sb="96" eb="98">
      <t>ハッテン</t>
    </rPh>
    <phoneticPr fontId="1"/>
  </si>
  <si>
    <t>1690年代
激しい努力, 奮闘</t>
    <rPh sb="4" eb="6">
      <t>ネンダイ</t>
    </rPh>
    <rPh sb="7" eb="8">
      <t>ハゲ</t>
    </rPh>
    <rPh sb="10" eb="12">
      <t>ドリョク</t>
    </rPh>
    <rPh sb="14" eb="16">
      <t>フントウ</t>
    </rPh>
    <phoneticPr fontId="1"/>
  </si>
  <si>
    <t>com（共に）+texere（織る）
contexere（織り合わせる）
&lt;span class="spacer"&gt;&lt;/span&gt;過去分詞contextus（結合, 連結）</t>
    <rPh sb="4" eb="5">
      <t>トモ</t>
    </rPh>
    <rPh sb="15" eb="16">
      <t>オ</t>
    </rPh>
    <rPh sb="29" eb="30">
      <t>オ</t>
    </rPh>
    <rPh sb="31" eb="32">
      <t>ア</t>
    </rPh>
    <rPh sb="65" eb="69">
      <t>カコブンシ</t>
    </rPh>
    <rPh sb="79" eb="81">
      <t>ケツゴウ</t>
    </rPh>
    <rPh sb="83" eb="85">
      <t>レンケツ</t>
    </rPh>
    <phoneticPr fontId="1"/>
  </si>
  <si>
    <t>15世紀初頭
作品, 文章全体</t>
    <rPh sb="2" eb="6">
      <t>セイキショトウ</t>
    </rPh>
    <rPh sb="7" eb="9">
      <t>サクヒン</t>
    </rPh>
    <rPh sb="11" eb="15">
      <t>ブンショウゼンタイ</t>
    </rPh>
    <phoneticPr fontId="1"/>
  </si>
  <si>
    <t>1560年代から
文脈, 前後関係</t>
    <rPh sb="4" eb="6">
      <t>ネンダイ</t>
    </rPh>
    <rPh sb="9" eb="11">
      <t>ブンミャク</t>
    </rPh>
    <rPh sb="13" eb="17">
      <t>ゼンゴカンケイ</t>
    </rPh>
    <phoneticPr fontId="1"/>
  </si>
  <si>
    <t>battuere（打つ）</t>
    <rPh sb="9" eb="10">
      <t>ウ</t>
    </rPh>
    <phoneticPr fontId="1"/>
  </si>
  <si>
    <t>de（完全に）+betre（打つ）
debatre（完全に打つ, 戦う）
&lt;span class="spacer"&gt;&lt;/span&gt;debat（争い, 論争）</t>
    <rPh sb="3" eb="5">
      <t>カンゼン</t>
    </rPh>
    <rPh sb="14" eb="15">
      <t>ウ</t>
    </rPh>
    <rPh sb="26" eb="28">
      <t>カンゼン</t>
    </rPh>
    <rPh sb="29" eb="30">
      <t>ウ</t>
    </rPh>
    <rPh sb="33" eb="34">
      <t>タタカ</t>
    </rPh>
    <rPh sb="71" eb="72">
      <t>アラソ</t>
    </rPh>
    <rPh sb="75" eb="77">
      <t>ロンソウ</t>
    </rPh>
    <phoneticPr fontId="1"/>
  </si>
  <si>
    <t>14世紀初頭
&lt;span class="obsolete"&gt;口論, 争い（現在は廃用）&lt;/span&gt;
&lt;span class="spacer"&gt;&lt;/span&gt;14世紀後期
議論による対立, 論争
&lt;span class="spacer"&gt;&lt;/span&gt;15世紀初頭
討論会</t>
    <rPh sb="2" eb="4">
      <t>セイキ</t>
    </rPh>
    <rPh sb="4" eb="6">
      <t>ショトウ</t>
    </rPh>
    <phoneticPr fontId="1"/>
  </si>
  <si>
    <t>focalia（火を起こすための材料を要求する権利）</t>
    <rPh sb="8" eb="9">
      <t>ヒ</t>
    </rPh>
    <rPh sb="10" eb="11">
      <t>オ</t>
    </rPh>
    <rPh sb="16" eb="18">
      <t>ザイリョウ</t>
    </rPh>
    <rPh sb="19" eb="21">
      <t>ヨウキュウ</t>
    </rPh>
    <rPh sb="23" eb="25">
      <t>ケンリ</t>
    </rPh>
    <phoneticPr fontId="1"/>
  </si>
  <si>
    <t>foaille（暖房用の燃料）</t>
    <rPh sb="8" eb="11">
      <t>ダンボウヨウ</t>
    </rPh>
    <rPh sb="12" eb="14">
      <t>ネンリョウ</t>
    </rPh>
    <phoneticPr fontId="1"/>
  </si>
  <si>
    <t xml:space="preserve">*por-（前に）+luere（塗る）
polluere（汚す, 汚染する）
</t>
    <rPh sb="6" eb="7">
      <t>マエ</t>
    </rPh>
    <rPh sb="16" eb="17">
      <t>ヌ</t>
    </rPh>
    <rPh sb="29" eb="30">
      <t>ヨゴ</t>
    </rPh>
    <rPh sb="33" eb="35">
      <t>オセン</t>
    </rPh>
    <phoneticPr fontId="1"/>
  </si>
  <si>
    <t>polluereの過去分詞に名詞を作る-ioが付いて
pollutio（汚染）</t>
    <rPh sb="9" eb="13">
      <t>カコブンシ</t>
    </rPh>
    <rPh sb="14" eb="16">
      <t>メイシ</t>
    </rPh>
    <rPh sb="17" eb="18">
      <t>ツク</t>
    </rPh>
    <rPh sb="23" eb="24">
      <t>ツ</t>
    </rPh>
    <rPh sb="36" eb="38">
      <t>オセン</t>
    </rPh>
    <phoneticPr fontId="1"/>
  </si>
  <si>
    <t>1860年頃
環境の汚染, 公害</t>
    <rPh sb="4" eb="6">
      <t>ネンコロ</t>
    </rPh>
    <rPh sb="7" eb="9">
      <t>カンキョウ</t>
    </rPh>
    <rPh sb="10" eb="12">
      <t>オセン</t>
    </rPh>
    <rPh sb="14" eb="16">
      <t>コウガイ</t>
    </rPh>
    <phoneticPr fontId="1"/>
  </si>
  <si>
    <t>trendan（回転させる, 転がす）</t>
    <rPh sb="8" eb="10">
      <t>カイテン</t>
    </rPh>
    <rPh sb="15" eb="16">
      <t>コロ</t>
    </rPh>
    <phoneticPr fontId="1"/>
  </si>
  <si>
    <t>trenden（転がす, 向きを変える）</t>
    <rPh sb="8" eb="9">
      <t>コロ</t>
    </rPh>
    <rPh sb="13" eb="14">
      <t>ム</t>
    </rPh>
    <rPh sb="16" eb="17">
      <t>カ</t>
    </rPh>
    <phoneticPr fontId="1"/>
  </si>
  <si>
    <t>1590年代
川などがある方向へ走る, 曲がる
&lt;span class="spacer"&gt;&lt;/span&gt;1620年代
川の曲がっている部分
&lt;span class="spacer"&gt;&lt;/span&gt;1777年
海岸や山脈が曲がっていく方向
一般的な進行方向
&lt;span class="spacer"&gt;&lt;/span&gt;1884年までに
意見や事態などの傾向</t>
    <rPh sb="4" eb="6">
      <t>ネンダイ</t>
    </rPh>
    <rPh sb="7" eb="8">
      <t>カワ</t>
    </rPh>
    <rPh sb="13" eb="15">
      <t>ホウコウ</t>
    </rPh>
    <rPh sb="16" eb="17">
      <t>ハシ</t>
    </rPh>
    <rPh sb="20" eb="21">
      <t>マ</t>
    </rPh>
    <rPh sb="56" eb="58">
      <t>ネンダイ</t>
    </rPh>
    <rPh sb="59" eb="60">
      <t>カワ</t>
    </rPh>
    <rPh sb="165" eb="167">
      <t>イケン</t>
    </rPh>
    <rPh sb="168" eb="170">
      <t>ジタイ</t>
    </rPh>
    <rPh sb="173" eb="175">
      <t>ケイコウ</t>
    </rPh>
    <phoneticPr fontId="1"/>
  </si>
  <si>
    <t>1950年頃から
流行や文化の傾向</t>
    <rPh sb="4" eb="5">
      <t>ネン</t>
    </rPh>
    <rPh sb="5" eb="6">
      <t>コロ</t>
    </rPh>
    <rPh sb="9" eb="11">
      <t>リュウコウ</t>
    </rPh>
    <rPh sb="12" eb="14">
      <t>ブンカ</t>
    </rPh>
    <rPh sb="15" eb="17">
      <t>ケイコウ</t>
    </rPh>
    <phoneticPr fontId="1"/>
  </si>
  <si>
    <t xml:space="preserve">bis（2つ）+lanx（皿, 天秤の皿）
&lt;span class="spacer"&gt;&lt;/span&gt;(libra) bilanx
2つの皿を持つ（天秤）
</t>
    <rPh sb="13" eb="14">
      <t>サラ</t>
    </rPh>
    <rPh sb="16" eb="18">
      <t>テンビン</t>
    </rPh>
    <rPh sb="19" eb="20">
      <t>サラ</t>
    </rPh>
    <rPh sb="68" eb="69">
      <t>サラ</t>
    </rPh>
    <rPh sb="70" eb="71">
      <t>モ</t>
    </rPh>
    <rPh sb="73" eb="75">
      <t>テンビン</t>
    </rPh>
    <phoneticPr fontId="1"/>
  </si>
  <si>
    <t>bilanx（天秤, 2つの皿の秤）</t>
    <rPh sb="7" eb="9">
      <t>テンビン</t>
    </rPh>
    <rPh sb="14" eb="15">
      <t>サラ</t>
    </rPh>
    <rPh sb="16" eb="17">
      <t>ハカリ</t>
    </rPh>
    <phoneticPr fontId="1"/>
  </si>
  <si>
    <t>bilancia（天秤）</t>
    <rPh sb="9" eb="11">
      <t>テンビン</t>
    </rPh>
    <phoneticPr fontId="1"/>
  </si>
  <si>
    <t>balance（天秤）</t>
    <rPh sb="8" eb="10">
      <t>テンビン</t>
    </rPh>
    <phoneticPr fontId="1"/>
  </si>
  <si>
    <t>1580年代から
勘定の差
&lt;span class="spacer"&gt;&lt;/span&gt;1620年代から
勘定を釣り合わせるために必要な合計額
残高
&lt;span class="spacer"&gt;&lt;/span&gt;1660年代から
物理的なつり合い, 均衡</t>
    <rPh sb="4" eb="6">
      <t>ネンダイ</t>
    </rPh>
    <rPh sb="9" eb="11">
      <t>カンジョウ</t>
    </rPh>
    <rPh sb="12" eb="13">
      <t>サ</t>
    </rPh>
    <rPh sb="51" eb="53">
      <t>カンジョウ</t>
    </rPh>
    <rPh sb="54" eb="55">
      <t>ツ</t>
    </rPh>
    <rPh sb="56" eb="57">
      <t>ア</t>
    </rPh>
    <rPh sb="63" eb="65">
      <t>ヒツヨウ</t>
    </rPh>
    <rPh sb="66" eb="68">
      <t>ゴウケイ</t>
    </rPh>
    <rPh sb="68" eb="69">
      <t>ガク</t>
    </rPh>
    <rPh sb="70" eb="72">
      <t>ザンダカ</t>
    </rPh>
    <rPh sb="105" eb="107">
      <t>ネンダイ</t>
    </rPh>
    <rPh sb="110" eb="113">
      <t>ブツリテキ</t>
    </rPh>
    <rPh sb="116" eb="117">
      <t>ア</t>
    </rPh>
    <rPh sb="120" eb="122">
      <t>キンコウ</t>
    </rPh>
    <phoneticPr fontId="1"/>
  </si>
  <si>
    <t>中世イタリア語</t>
    <rPh sb="0" eb="2">
      <t>チュウセイ</t>
    </rPh>
    <rPh sb="6" eb="7">
      <t>ゴ</t>
    </rPh>
    <phoneticPr fontId="1"/>
  </si>
  <si>
    <t>trafficare（商売する）
&lt;span class="spacer"&gt;&lt;/span&gt;14世紀
traffico（取引）</t>
    <rPh sb="11" eb="13">
      <t>ショウバイ</t>
    </rPh>
    <rPh sb="47" eb="49">
      <t>セイキ</t>
    </rPh>
    <rPh sb="59" eb="61">
      <t>トリヒキ</t>
    </rPh>
    <phoneticPr fontId="1"/>
  </si>
  <si>
    <t>15世紀
trafique（取引）</t>
    <rPh sb="2" eb="4">
      <t>セイキ</t>
    </rPh>
    <rPh sb="14" eb="16">
      <t>トリヒキ</t>
    </rPh>
    <phoneticPr fontId="1"/>
  </si>
  <si>
    <t>1500年頃
商業目的の商品の輸送
&lt;span class="spacer"&gt;&lt;/span&gt;1560年代
取引
&lt;span class="spacer"&gt;&lt;/span&gt;1660年代
不正取引
&lt;span class="spacer"&gt;&lt;/span&gt;1825年までに
人や車両の往来
輸送量に沿った人や物の移動
交通
&lt;span class="spacer"&gt;&lt;/span&gt;1858年までに
鉄道による旅客や貨物の取扱量</t>
    <rPh sb="4" eb="6">
      <t>ネンコロ</t>
    </rPh>
    <rPh sb="7" eb="12">
      <t>ショウギ</t>
    </rPh>
    <rPh sb="12" eb="14">
      <t>ショウヒン</t>
    </rPh>
    <rPh sb="15" eb="17">
      <t>ユソウ</t>
    </rPh>
    <rPh sb="50" eb="52">
      <t>ネンダイ</t>
    </rPh>
    <rPh sb="53" eb="55">
      <t>トリヒキ</t>
    </rPh>
    <rPh sb="91" eb="95">
      <t>フセイトリヒキ</t>
    </rPh>
    <rPh sb="128" eb="129">
      <t>ネン</t>
    </rPh>
    <rPh sb="133" eb="134">
      <t>ヒト</t>
    </rPh>
    <rPh sb="135" eb="137">
      <t>シャリョウ</t>
    </rPh>
    <rPh sb="138" eb="140">
      <t>オウライ</t>
    </rPh>
    <rPh sb="141" eb="144">
      <t>ユソウリョウ</t>
    </rPh>
    <rPh sb="145" eb="146">
      <t>ソ</t>
    </rPh>
    <rPh sb="148" eb="149">
      <t>ヒト</t>
    </rPh>
    <rPh sb="150" eb="151">
      <t>モノ</t>
    </rPh>
    <rPh sb="152" eb="154">
      <t>イドウ</t>
    </rPh>
    <rPh sb="155" eb="157">
      <t>コウツウ</t>
    </rPh>
    <rPh sb="195" eb="197">
      <t>テツドウ</t>
    </rPh>
    <rPh sb="200" eb="202">
      <t>リョキャク</t>
    </rPh>
    <rPh sb="203" eb="205">
      <t>カモツ</t>
    </rPh>
    <rPh sb="206" eb="209">
      <t>トリアツカイリョウ</t>
    </rPh>
    <phoneticPr fontId="1"/>
  </si>
  <si>
    <t>agein（導く）
&lt;span class="spacer"&gt;&lt;/span&gt;名詞になって
agos（指導者）
&lt;span class="spacer"&gt;&lt;/span&gt;stratos（軍隊）+agos（指導者）
stratēgos（軍の指揮者）
&lt;span class="spacer"&gt;&lt;/span&gt;stratēgia（将軍職, 将軍の指揮権）</t>
    <rPh sb="6" eb="7">
      <t>ミチビ</t>
    </rPh>
    <rPh sb="38" eb="40">
      <t>メイシ</t>
    </rPh>
    <rPh sb="50" eb="53">
      <t>シドウシャ</t>
    </rPh>
    <rPh sb="88" eb="90">
      <t>グンシュウ</t>
    </rPh>
    <rPh sb="115" eb="116">
      <t>グン</t>
    </rPh>
    <rPh sb="117" eb="120">
      <t>シキシャ</t>
    </rPh>
    <rPh sb="160" eb="163">
      <t>ショウグンショク</t>
    </rPh>
    <rPh sb="165" eb="167">
      <t>ショウグン</t>
    </rPh>
    <rPh sb="168" eb="171">
      <t>シキケングンタイ</t>
    </rPh>
    <phoneticPr fontId="1"/>
  </si>
  <si>
    <t>16世紀
stratégie（軍事指導）</t>
    <rPh sb="2" eb="4">
      <t>セイキ</t>
    </rPh>
    <rPh sb="15" eb="19">
      <t>グンジシドウ</t>
    </rPh>
    <phoneticPr fontId="1"/>
  </si>
  <si>
    <t>1810年
将軍の術
戦争の科学
&lt;span class="spacer"&gt;&lt;/span&gt;1833年までに
特定の戦略
&lt;span class="spacer"&gt;&lt;/span&gt;1887年までに
軍事以外の一般的な戦略</t>
    <rPh sb="4" eb="5">
      <t>ネン</t>
    </rPh>
    <rPh sb="6" eb="8">
      <t>ショウグン</t>
    </rPh>
    <rPh sb="9" eb="10">
      <t>ジュツ</t>
    </rPh>
    <rPh sb="11" eb="13">
      <t>センソウ</t>
    </rPh>
    <rPh sb="14" eb="16">
      <t>カガク</t>
    </rPh>
    <rPh sb="49" eb="50">
      <t>ネン</t>
    </rPh>
    <rPh sb="54" eb="56">
      <t>トクテイ</t>
    </rPh>
    <rPh sb="57" eb="59">
      <t>センリャク</t>
    </rPh>
    <rPh sb="97" eb="99">
      <t>グンジ</t>
    </rPh>
    <rPh sb="99" eb="101">
      <t>イガイ</t>
    </rPh>
    <rPh sb="102" eb="105">
      <t>イッパンテキ</t>
    </rPh>
    <rPh sb="106" eb="108">
      <t>センリャク</t>
    </rPh>
    <phoneticPr fontId="1"/>
  </si>
  <si>
    <t>bainein（足を踏み出す）
&lt;span class="spacer"&gt;&lt;/span&gt;basis（一歩, 立ち位置, 立つためのもの, 土台）</t>
    <rPh sb="8" eb="9">
      <t>アシ</t>
    </rPh>
    <rPh sb="10" eb="11">
      <t>フ</t>
    </rPh>
    <rPh sb="12" eb="13">
      <t>ダ</t>
    </rPh>
    <rPh sb="50" eb="52">
      <t>イッポ</t>
    </rPh>
    <rPh sb="54" eb="58">
      <t>タチイチ</t>
    </rPh>
    <rPh sb="60" eb="61">
      <t>タ</t>
    </rPh>
    <rPh sb="69" eb="71">
      <t>ドダイ</t>
    </rPh>
    <phoneticPr fontId="1"/>
  </si>
  <si>
    <t>basis（土台, 基礎）</t>
    <rPh sb="6" eb="8">
      <t>ドダイ</t>
    </rPh>
    <rPh sb="10" eb="12">
      <t>キソ</t>
    </rPh>
    <phoneticPr fontId="1"/>
  </si>
  <si>
    <t>1570年代
物質的な基礎
&lt;span class="spacer"&gt;&lt;/span&gt;1600年頃から
非物質的な意味での基礎</t>
    <rPh sb="4" eb="6">
      <t>ネンダイ</t>
    </rPh>
    <rPh sb="46" eb="48">
      <t>ネンコロ</t>
    </rPh>
    <rPh sb="51" eb="55">
      <t>ヒブッシツテキ</t>
    </rPh>
    <rPh sb="56" eb="58">
      <t>イミ</t>
    </rPh>
    <rPh sb="60" eb="62">
      <t>キソ</t>
    </rPh>
    <phoneticPr fontId="1"/>
  </si>
  <si>
    <t xml:space="preserve">com（共に）+sequi（従う, 後に続く）
consequi（共に続く, 後について行く, 結果として生じる）
</t>
    <rPh sb="4" eb="5">
      <t>トモ</t>
    </rPh>
    <rPh sb="14" eb="15">
      <t>シタガ</t>
    </rPh>
    <rPh sb="18" eb="19">
      <t>アト</t>
    </rPh>
    <rPh sb="20" eb="21">
      <t>ツヅ</t>
    </rPh>
    <rPh sb="33" eb="34">
      <t>トモ</t>
    </rPh>
    <rPh sb="35" eb="36">
      <t>ツヅ</t>
    </rPh>
    <rPh sb="39" eb="40">
      <t>アト</t>
    </rPh>
    <rPh sb="44" eb="45">
      <t>イ</t>
    </rPh>
    <rPh sb="48" eb="50">
      <t>ケッカ</t>
    </rPh>
    <rPh sb="53" eb="54">
      <t>ショウ</t>
    </rPh>
    <phoneticPr fontId="1"/>
  </si>
  <si>
    <t>consequence（結果）</t>
    <rPh sb="12" eb="14">
      <t>ケッカ</t>
    </rPh>
    <phoneticPr fontId="1"/>
  </si>
  <si>
    <t>14世紀初頭
論理的推論, 結論
&lt;span class="spacer"&gt;&lt;/span&gt;1400年頃
ある行為から生じるもの
&lt;span class="spacer"&gt;&lt;/span&gt;1590年代
結果に満ちている
重大性</t>
    <rPh sb="2" eb="4">
      <t>セイキ</t>
    </rPh>
    <rPh sb="4" eb="6">
      <t>ショトウ</t>
    </rPh>
    <rPh sb="7" eb="12">
      <t>ロンリテキスイロン</t>
    </rPh>
    <rPh sb="14" eb="16">
      <t>ケツロン</t>
    </rPh>
    <rPh sb="49" eb="51">
      <t>ネンゴロ</t>
    </rPh>
    <rPh sb="54" eb="56">
      <t>コウイ</t>
    </rPh>
    <rPh sb="58" eb="59">
      <t>ショウ</t>
    </rPh>
    <rPh sb="96" eb="98">
      <t>ネンダイ</t>
    </rPh>
    <rPh sb="99" eb="101">
      <t>ケッカ</t>
    </rPh>
    <rPh sb="102" eb="103">
      <t>ミ</t>
    </rPh>
    <rPh sb="108" eb="111">
      <t>ジュウダイセイ</t>
    </rPh>
    <phoneticPr fontId="1"/>
  </si>
  <si>
    <t xml:space="preserve">aestimare（価値を定める）
</t>
    <rPh sb="10" eb="12">
      <t>カチ</t>
    </rPh>
    <rPh sb="13" eb="14">
      <t>サダ</t>
    </rPh>
    <phoneticPr fontId="1"/>
  </si>
  <si>
    <t>aesmer（価値を定める）</t>
    <phoneticPr fontId="1"/>
  </si>
  <si>
    <t>ante（前に）+cedere（行く, 進む）
antecedere（前に行く, 先行する）</t>
    <rPh sb="20" eb="21">
      <t>スス</t>
    </rPh>
    <rPh sb="41" eb="43">
      <t>センコウ</t>
    </rPh>
    <phoneticPr fontId="1"/>
  </si>
  <si>
    <t>名詞を作る-or（～する人）が付いて
antecessor（前に行く者, 先行する者, 前任者）</t>
    <rPh sb="0" eb="2">
      <t>メイシ</t>
    </rPh>
    <rPh sb="3" eb="4">
      <t>ツク</t>
    </rPh>
    <rPh sb="12" eb="13">
      <t>ヒト</t>
    </rPh>
    <rPh sb="15" eb="16">
      <t>ツ</t>
    </rPh>
    <phoneticPr fontId="1"/>
  </si>
  <si>
    <t>ancessor（祖先）</t>
    <phoneticPr fontId="1"/>
  </si>
  <si>
    <t>1300年頃
祖先</t>
    <rPh sb="4" eb="6">
      <t>ネンコロ</t>
    </rPh>
    <phoneticPr fontId="1"/>
  </si>
  <si>
    <t>*gene-（生む, 産む）</t>
  </si>
  <si>
    <t>ドイツ語</t>
    <rPh sb="3" eb="4">
      <t>ゴ</t>
    </rPh>
    <phoneticPr fontId="1"/>
  </si>
  <si>
    <t>Gen
&lt;span class="spacer"&gt;&lt;/span&gt;1905年
デンマークの科学者 Wilhelm Ludvig Johannsenによる造語</t>
    <rPh sb="36" eb="37">
      <t>ネン</t>
    </rPh>
    <phoneticPr fontId="1"/>
  </si>
  <si>
    <t>1911年
遺伝子</t>
    <rPh sb="4" eb="5">
      <t>ネン</t>
    </rPh>
    <rPh sb="6" eb="9">
      <t>イデンシ</t>
    </rPh>
    <phoneticPr fontId="1"/>
  </si>
  <si>
    <t>trac（馬の足跡, 痕跡）</t>
    <phoneticPr fontId="1"/>
  </si>
  <si>
    <t>1805年までに
列車を走らせるためのレール
&lt;span class="spacer"&gt;&lt;/span&gt;1827年までに
競走用の陸上トラック</t>
    <rPh sb="4" eb="5">
      <t>ネン</t>
    </rPh>
    <rPh sb="9" eb="11">
      <t>レッシャ</t>
    </rPh>
    <rPh sb="12" eb="13">
      <t>ハシ</t>
    </rPh>
    <rPh sb="55" eb="56">
      <t>ネン</t>
    </rPh>
    <rPh sb="60" eb="63">
      <t>キョウソウヨウ</t>
    </rPh>
    <rPh sb="64" eb="66">
      <t>リクジョウ</t>
    </rPh>
    <phoneticPr fontId="1"/>
  </si>
  <si>
    <t>revolucion（天体の運行, 回転）</t>
    <rPh sb="11" eb="13">
      <t>テンタイ</t>
    </rPh>
    <rPh sb="14" eb="16">
      <t>ウンコウ</t>
    </rPh>
    <rPh sb="18" eb="20">
      <t>カイテン</t>
    </rPh>
    <phoneticPr fontId="1"/>
  </si>
  <si>
    <t>revolucioun
&lt;span class="spacer"&gt;&lt;/span&gt;14世紀後期
天体の公転
&lt;span class="spacer"&gt;&lt;/span&gt;15世紀初頭
周期的な出来事
循環する変化
&lt;span class="spacer"&gt;&lt;/span&gt;15世紀半ば
事態における大きな変化</t>
    <rPh sb="42" eb="44">
      <t>セイキ</t>
    </rPh>
    <rPh sb="44" eb="46">
      <t>コウキ</t>
    </rPh>
    <rPh sb="47" eb="49">
      <t>テンタイ</t>
    </rPh>
    <rPh sb="50" eb="52">
      <t>コウテン</t>
    </rPh>
    <rPh sb="85" eb="87">
      <t>ショトウ</t>
    </rPh>
    <rPh sb="88" eb="90">
      <t>シュウキ</t>
    </rPh>
    <rPh sb="90" eb="91">
      <t>テキ</t>
    </rPh>
    <rPh sb="92" eb="95">
      <t>デキゴト</t>
    </rPh>
    <rPh sb="96" eb="98">
      <t>ジュンカン</t>
    </rPh>
    <rPh sb="100" eb="102">
      <t>ヘンカ</t>
    </rPh>
    <rPh sb="135" eb="136">
      <t>ナカ</t>
    </rPh>
    <rPh sb="138" eb="140">
      <t>ジタイ</t>
    </rPh>
    <rPh sb="144" eb="145">
      <t>オオ</t>
    </rPh>
    <rPh sb="147" eb="149">
      <t>ヘンカ</t>
    </rPh>
    <phoneticPr fontId="1"/>
  </si>
  <si>
    <t>1600年頃
政治や社会体制の転覆
革命</t>
    <phoneticPr fontId="1"/>
  </si>
  <si>
    <t>gradus（一歩）
&lt;span class="spacer"&gt;&lt;/span&gt;gradi（進む, 歩く）
&lt;span class="spacer"&gt;&lt;/span&gt;pro（前に）+gradi（進む, 歩く）
progredi（前進する）
&lt;span class="spacer"&gt;&lt;/span&gt;名詞を作る-usが付いて
progressus（前進, 進行）</t>
    <rPh sb="7" eb="9">
      <t>イッポ</t>
    </rPh>
    <rPh sb="45" eb="46">
      <t>スス</t>
    </rPh>
    <rPh sb="49" eb="50">
      <t>アル</t>
    </rPh>
    <rPh sb="112" eb="114">
      <t>ゼンシン</t>
    </rPh>
    <rPh sb="146" eb="148">
      <t>メイシ</t>
    </rPh>
    <rPh sb="149" eb="150">
      <t>ツク</t>
    </rPh>
    <rPh sb="155" eb="156">
      <t>ツ</t>
    </rPh>
    <rPh sb="170" eb="172">
      <t>ゼンシン</t>
    </rPh>
    <rPh sb="174" eb="176">
      <t>シンコウ</t>
    </rPh>
    <phoneticPr fontId="1"/>
  </si>
  <si>
    <t>progres（前進, 進行）</t>
    <rPh sb="8" eb="10">
      <t>ゼンシン</t>
    </rPh>
    <rPh sb="12" eb="14">
      <t>シンコウ</t>
    </rPh>
    <phoneticPr fontId="1"/>
  </si>
  <si>
    <t>progresse
&lt;span class="spacer"&gt;&lt;/span&gt;
15世紀初頭
前進, 前に進むこと</t>
    <rPh sb="41" eb="43">
      <t>セイキ</t>
    </rPh>
    <rPh sb="43" eb="45">
      <t>ショトウ</t>
    </rPh>
    <rPh sb="46" eb="48">
      <t>ゼンシン</t>
    </rPh>
    <rPh sb="50" eb="51">
      <t>マエ</t>
    </rPh>
    <rPh sb="52" eb="53">
      <t>スス</t>
    </rPh>
    <phoneticPr fontId="1"/>
  </si>
  <si>
    <t>1600年頃までに
進歩, 発展, 成長</t>
    <rPh sb="4" eb="5">
      <t>ネン</t>
    </rPh>
    <rPh sb="5" eb="6">
      <t>コロ</t>
    </rPh>
    <rPh sb="10" eb="12">
      <t>シンポ</t>
    </rPh>
    <rPh sb="14" eb="16">
      <t>ハッテン</t>
    </rPh>
    <rPh sb="18" eb="20">
      <t>セイチョウ</t>
    </rPh>
    <phoneticPr fontId="1"/>
  </si>
  <si>
    <t>gnoscere（知る）
&lt;span class="spacer"&gt;&lt;/span&gt;com（共に）+gnoscere（知る）
cognoscere（知るようになる, 認識する）</t>
    <rPh sb="9" eb="10">
      <t>シ</t>
    </rPh>
    <rPh sb="45" eb="46">
      <t>トモ</t>
    </rPh>
    <rPh sb="73" eb="74">
      <t>シ</t>
    </rPh>
    <rPh sb="82" eb="84">
      <t>ニンシキ</t>
    </rPh>
    <phoneticPr fontId="1"/>
  </si>
  <si>
    <t>cognoscereの過去分詞の一部cognitに形容詞を作る-iveが付いて
cognitive（認知に関する）</t>
    <rPh sb="11" eb="15">
      <t>カコブンシ</t>
    </rPh>
    <rPh sb="16" eb="18">
      <t>イチブ</t>
    </rPh>
    <rPh sb="50" eb="52">
      <t>ニンチ</t>
    </rPh>
    <rPh sb="53" eb="54">
      <t>カン</t>
    </rPh>
    <phoneticPr fontId="1"/>
  </si>
  <si>
    <t>もとになった哲学の用語からイメージをつかむ。</t>
    <rPh sb="6" eb="8">
      <t>テツガク</t>
    </rPh>
    <rPh sb="9" eb="11">
      <t>ヨウゴ</t>
    </rPh>
    <phoneticPr fontId="1"/>
  </si>
  <si>
    <t>idea（原型, 理念）
プラトン哲学におけるイデア</t>
    <rPh sb="5" eb="7">
      <t>ゲンケイ</t>
    </rPh>
    <rPh sb="9" eb="11">
      <t>リネン</t>
    </rPh>
    <rPh sb="17" eb="19">
      <t>テツガク</t>
    </rPh>
    <phoneticPr fontId="1"/>
  </si>
  <si>
    <t>idea（理念, 観念）
プラトン哲学におけるイデア</t>
    <rPh sb="5" eb="7">
      <t>リネン</t>
    </rPh>
    <rPh sb="9" eb="11">
      <t>カンネン</t>
    </rPh>
    <phoneticPr fontId="1"/>
  </si>
  <si>
    <t>形容詞を作る-alisが付いて
idealis（観念的な）</t>
    <rPh sb="0" eb="3">
      <t>ケイヨウシ</t>
    </rPh>
    <rPh sb="4" eb="5">
      <t>ツク</t>
    </rPh>
    <rPh sb="12" eb="13">
      <t>ツ</t>
    </rPh>
    <rPh sb="24" eb="27">
      <t>カンネンテキ</t>
    </rPh>
    <phoneticPr fontId="1"/>
  </si>
  <si>
    <t>15世紀初頭
原型や模範に関する</t>
    <rPh sb="2" eb="4">
      <t>セイキ</t>
    </rPh>
    <rPh sb="4" eb="6">
      <t>ショトウ</t>
    </rPh>
    <rPh sb="7" eb="9">
      <t>ゲンケイ</t>
    </rPh>
    <rPh sb="10" eb="12">
      <t>モハン</t>
    </rPh>
    <rPh sb="13" eb="14">
      <t>カン</t>
    </rPh>
    <phoneticPr fontId="1"/>
  </si>
  <si>
    <t>1610年代から
完全なものとして構想された
理念の中にのみ存在する</t>
    <rPh sb="4" eb="6">
      <t>ネンダイ</t>
    </rPh>
    <rPh sb="9" eb="11">
      <t>カンゼン</t>
    </rPh>
    <rPh sb="17" eb="19">
      <t>コウソウ</t>
    </rPh>
    <rPh sb="23" eb="25">
      <t>リネン</t>
    </rPh>
    <rPh sb="26" eb="27">
      <t>ナカ</t>
    </rPh>
    <rPh sb="30" eb="32">
      <t>ソンザイ</t>
    </rPh>
    <phoneticPr fontId="1"/>
  </si>
  <si>
    <t>ex（外に）+facere（作る, する）
efficere（外に成果を出す, 成し遂げる, 達成する）
&lt;span class="spacer"&gt;&lt;/span&gt;現在分詞efficiens（効果的な, 有能な）</t>
    <rPh sb="3" eb="4">
      <t>ソト</t>
    </rPh>
    <rPh sb="14" eb="15">
      <t>ツク</t>
    </rPh>
    <rPh sb="31" eb="32">
      <t>ソト</t>
    </rPh>
    <rPh sb="33" eb="35">
      <t>セイカ</t>
    </rPh>
    <rPh sb="36" eb="37">
      <t>ダ</t>
    </rPh>
    <rPh sb="40" eb="41">
      <t>ナ</t>
    </rPh>
    <rPh sb="42" eb="43">
      <t>ト</t>
    </rPh>
    <rPh sb="47" eb="49">
      <t>タッセイ</t>
    </rPh>
    <rPh sb="81" eb="85">
      <t>ゲンザイブンシ</t>
    </rPh>
    <rPh sb="95" eb="98">
      <t>コウカテキ</t>
    </rPh>
    <rPh sb="101" eb="103">
      <t>ユウノウ</t>
    </rPh>
    <phoneticPr fontId="1"/>
  </si>
  <si>
    <t>efficient（効果的な, 有能な）</t>
    <rPh sb="10" eb="13">
      <t>コウカテキ</t>
    </rPh>
    <rPh sb="16" eb="18">
      <t>ユウノウ</t>
    </rPh>
    <phoneticPr fontId="1"/>
  </si>
  <si>
    <t>14世紀後期
作り出す力を持つ
有効な</t>
    <rPh sb="2" eb="4">
      <t>セイキ</t>
    </rPh>
    <rPh sb="4" eb="6">
      <t>コウキ</t>
    </rPh>
    <rPh sb="7" eb="8">
      <t>ツク</t>
    </rPh>
    <rPh sb="9" eb="10">
      <t>ダ</t>
    </rPh>
    <rPh sb="11" eb="12">
      <t>チカラ</t>
    </rPh>
    <rPh sb="13" eb="14">
      <t>モ</t>
    </rPh>
    <rPh sb="16" eb="18">
      <t>ユウコウ</t>
    </rPh>
    <phoneticPr fontId="1"/>
  </si>
  <si>
    <t>unus（1つ）+vertere（回す, 向きを変える）
universus（すべてが一つになった, 全体の）
&lt;span class="spacer"&gt;&lt;/span&gt;形容詞を作る-alisが付いて
universalis（すべてに属する, 普遍な）</t>
    <rPh sb="21" eb="22">
      <t>ム</t>
    </rPh>
    <rPh sb="24" eb="25">
      <t>カ</t>
    </rPh>
    <phoneticPr fontId="1"/>
  </si>
  <si>
    <t>universel（普遍的な）</t>
    <rPh sb="10" eb="13">
      <t>フヘンテキ</t>
    </rPh>
    <phoneticPr fontId="1"/>
  </si>
  <si>
    <t>14世紀後期
普遍的な
世界全体または宇宙全体に関する</t>
    <rPh sb="2" eb="4">
      <t>セイキ</t>
    </rPh>
    <rPh sb="4" eb="6">
      <t>コウキ</t>
    </rPh>
    <rPh sb="24" eb="25">
      <t>カン</t>
    </rPh>
    <phoneticPr fontId="1"/>
  </si>
  <si>
    <t>vaste（広大な）</t>
    <phoneticPr fontId="1"/>
  </si>
  <si>
    <t>1570年代
広大な
&lt;span class="spacer"&gt;&lt;/span&gt;1630年代から
量や数が非常に多い
&lt;span class="spacer"&gt;&lt;/span&gt;1670年代から
程度が非常に大きい</t>
    <rPh sb="4" eb="6">
      <t>ネンダイ</t>
    </rPh>
    <rPh sb="7" eb="9">
      <t>コウダイ</t>
    </rPh>
    <rPh sb="43" eb="45">
      <t>ネンダイ</t>
    </rPh>
    <rPh sb="48" eb="49">
      <t>リョウ</t>
    </rPh>
    <rPh sb="50" eb="51">
      <t>カズ</t>
    </rPh>
    <rPh sb="52" eb="54">
      <t>ヒジョウ</t>
    </rPh>
    <rPh sb="55" eb="56">
      <t>オオ</t>
    </rPh>
    <rPh sb="95" eb="97">
      <t>テイド</t>
    </rPh>
    <rPh sb="98" eb="100">
      <t>ヒジョウ</t>
    </rPh>
    <rPh sb="101" eb="102">
      <t>オオ</t>
    </rPh>
    <phoneticPr fontId="1"/>
  </si>
  <si>
    <t>extra（外に, 範囲外の）</t>
    <rPh sb="10" eb="13">
      <t>ハンイガイ</t>
    </rPh>
    <phoneticPr fontId="1"/>
  </si>
  <si>
    <t>1650年代
形容詞として使用される
追加の, 余分の</t>
    <rPh sb="4" eb="6">
      <t>ネンダイ</t>
    </rPh>
    <rPh sb="7" eb="10">
      <t>ケイヨウシ</t>
    </rPh>
    <rPh sb="13" eb="15">
      <t>シヨウ</t>
    </rPh>
    <rPh sb="19" eb="21">
      <t>ツイカ</t>
    </rPh>
    <rPh sb="24" eb="26">
      <t>ヨブン</t>
    </rPh>
    <phoneticPr fontId="1"/>
  </si>
  <si>
    <t>in（否定）+tangere（触れる）
integer（触れられていない, 損なわれていない, 完全な）
&lt;span class="spacer"&gt;&lt;/span&gt;名詞を作る-umが付いて
integrum（完全性, 無傷の状態）</t>
    <rPh sb="3" eb="5">
      <t>ヒテイ</t>
    </rPh>
    <rPh sb="15" eb="16">
      <t>フ</t>
    </rPh>
    <rPh sb="28" eb="29">
      <t>フ</t>
    </rPh>
    <rPh sb="38" eb="39">
      <t>ソコ</t>
    </rPh>
    <rPh sb="48" eb="50">
      <t>カンゼン</t>
    </rPh>
    <rPh sb="81" eb="83">
      <t>メイシ</t>
    </rPh>
    <rPh sb="84" eb="85">
      <t>ツク</t>
    </rPh>
    <rPh sb="90" eb="91">
      <t>ツ</t>
    </rPh>
    <rPh sb="103" eb="106">
      <t>カンゼンセイ</t>
    </rPh>
    <rPh sb="108" eb="110">
      <t>ムキズ</t>
    </rPh>
    <rPh sb="111" eb="113">
      <t>ジョウタイ</t>
    </rPh>
    <phoneticPr fontId="1"/>
  </si>
  <si>
    <t>entier（全体の, 完全な, 無傷の）</t>
    <rPh sb="7" eb="9">
      <t>ゼンタイ</t>
    </rPh>
    <rPh sb="12" eb="14">
      <t>カンゼン</t>
    </rPh>
    <rPh sb="17" eb="19">
      <t>ムキズ</t>
    </rPh>
    <phoneticPr fontId="1"/>
  </si>
  <si>
    <t>14世紀半ば
全体の, 完全な, 欠けていない</t>
    <rPh sb="2" eb="4">
      <t>セイキ</t>
    </rPh>
    <rPh sb="4" eb="5">
      <t>ナカ</t>
    </rPh>
    <rPh sb="7" eb="9">
      <t>ゼンタイ</t>
    </rPh>
    <rPh sb="12" eb="14">
      <t>カンゼン</t>
    </rPh>
    <rPh sb="17" eb="18">
      <t>カ</t>
    </rPh>
    <phoneticPr fontId="1"/>
  </si>
  <si>
    <t>familia（家族）
&lt;span class="spacer"&gt;&lt;/span&gt;形容詞を作る-arisが付いて
familiaris（家庭の, 家族に関する, 親しい）</t>
    <rPh sb="8" eb="10">
      <t>カゾク</t>
    </rPh>
    <rPh sb="67" eb="69">
      <t>カテイ</t>
    </rPh>
    <rPh sb="72" eb="74">
      <t>カゾク</t>
    </rPh>
    <rPh sb="75" eb="76">
      <t>カン</t>
    </rPh>
    <rPh sb="80" eb="81">
      <t>シタ</t>
    </rPh>
    <phoneticPr fontId="1"/>
  </si>
  <si>
    <t>famelier（親しい, 友好的な）</t>
    <rPh sb="9" eb="10">
      <t>シタ</t>
    </rPh>
    <rPh sb="14" eb="17">
      <t>ユウコウテキ</t>
    </rPh>
    <phoneticPr fontId="1"/>
  </si>
  <si>
    <t>14世紀半ば
親密な, 親しい, 家族同然の</t>
    <rPh sb="2" eb="4">
      <t>セイキ</t>
    </rPh>
    <rPh sb="4" eb="5">
      <t>ナカ</t>
    </rPh>
    <rPh sb="7" eb="9">
      <t>シンミツ</t>
    </rPh>
    <rPh sb="12" eb="13">
      <t>シタ</t>
    </rPh>
    <rPh sb="17" eb="19">
      <t>カゾク</t>
    </rPh>
    <rPh sb="19" eb="21">
      <t>ドウゼン</t>
    </rPh>
    <phoneticPr fontId="1"/>
  </si>
  <si>
    <t>15世紀後期
長い付き合いによってよく知られている</t>
    <rPh sb="2" eb="4">
      <t>セイキ</t>
    </rPh>
    <rPh sb="4" eb="6">
      <t>コウキ</t>
    </rPh>
    <rPh sb="7" eb="8">
      <t>ナガ</t>
    </rPh>
    <rPh sb="9" eb="10">
      <t>ツ</t>
    </rPh>
    <rPh sb="11" eb="12">
      <t>ア</t>
    </rPh>
    <rPh sb="19" eb="20">
      <t>シ</t>
    </rPh>
    <phoneticPr fontId="1"/>
  </si>
  <si>
    <t>ob（前に, ～に対して）+via（道）
obviam（道の上に, 行く手に）
&lt;span class="spacer"&gt;&lt;/span&gt;形容詞を作る-usが付いて
obvius（行く手にある, 道の上によくある）</t>
    <rPh sb="3" eb="4">
      <t>マエ</t>
    </rPh>
    <rPh sb="9" eb="10">
      <t>タイ</t>
    </rPh>
    <rPh sb="28" eb="29">
      <t>ミチ</t>
    </rPh>
    <rPh sb="30" eb="31">
      <t>ウエ</t>
    </rPh>
    <rPh sb="34" eb="35">
      <t>ユ</t>
    </rPh>
    <rPh sb="36" eb="37">
      <t>テ</t>
    </rPh>
    <rPh sb="68" eb="71">
      <t>ケイヨウシ</t>
    </rPh>
    <rPh sb="72" eb="73">
      <t>ツク</t>
    </rPh>
    <rPh sb="78" eb="79">
      <t>ツ</t>
    </rPh>
    <rPh sb="89" eb="90">
      <t>ユ</t>
    </rPh>
    <rPh sb="91" eb="92">
      <t>テ</t>
    </rPh>
    <rPh sb="97" eb="98">
      <t>ミチ</t>
    </rPh>
    <rPh sb="99" eb="100">
      <t>ウエ</t>
    </rPh>
    <phoneticPr fontId="1"/>
  </si>
  <si>
    <t>1580年代
&lt;span class="obsolete"&gt;頻繁に出会う（現在は廃用）&lt;/span&gt;
&lt;span class="spacer"&gt;&lt;/span&gt;1630年代から
一目でわかる, 明白な</t>
    <rPh sb="4" eb="6">
      <t>ネンダイ</t>
    </rPh>
    <rPh sb="30" eb="32">
      <t>ヒンパン</t>
    </rPh>
    <rPh sb="33" eb="35">
      <t>デア</t>
    </rPh>
    <rPh sb="83" eb="85">
      <t>ネンダイ</t>
    </rPh>
    <rPh sb="88" eb="90">
      <t>ヒトメ</t>
    </rPh>
    <rPh sb="96" eb="98">
      <t>メイハク</t>
    </rPh>
    <phoneticPr fontId="1"/>
  </si>
  <si>
    <t>moral（道徳の）</t>
    <rPh sb="6" eb="8">
      <t>ドウトク</t>
    </rPh>
    <phoneticPr fontId="1"/>
  </si>
  <si>
    <t>ordinarie（通常の, 一般の）</t>
    <rPh sb="10" eb="12">
      <t>ツウジョウ</t>
    </rPh>
    <rPh sb="15" eb="17">
      <t>イッパン</t>
    </rPh>
    <phoneticPr fontId="1"/>
  </si>
  <si>
    <t>ordinarie
&lt;span class="spacer"&gt;&lt;/span&gt;1400年頃
規則的な, 通常の並びの</t>
    <rPh sb="42" eb="44">
      <t>ネンコロ</t>
    </rPh>
    <phoneticPr fontId="1"/>
  </si>
  <si>
    <t>1580年代
よく起こる, 平凡な</t>
    <rPh sb="4" eb="6">
      <t>ネンダイ</t>
    </rPh>
    <rPh sb="9" eb="10">
      <t>オ</t>
    </rPh>
    <rPh sb="14" eb="16">
      <t>ヘイボンネンダイドウトクテキ</t>
    </rPh>
    <phoneticPr fontId="1"/>
  </si>
  <si>
    <t>aequus（平らな, 均一な）
&lt;span class="spacer"&gt;&lt;/span&gt;形容詞を作る-alisが付いて
aequalis（均一な, 同一の, 等しい）</t>
    <rPh sb="7" eb="8">
      <t>タイ</t>
    </rPh>
    <rPh sb="12" eb="14">
      <t>キンイツ</t>
    </rPh>
    <rPh sb="45" eb="48">
      <t>ケイヨウシ</t>
    </rPh>
    <rPh sb="49" eb="50">
      <t>ツク</t>
    </rPh>
    <rPh sb="57" eb="58">
      <t>ツ</t>
    </rPh>
    <rPh sb="70" eb="72">
      <t>キンイツ</t>
    </rPh>
    <rPh sb="75" eb="77">
      <t>ドウイツ</t>
    </rPh>
    <rPh sb="80" eb="81">
      <t>ヒト</t>
    </rPh>
    <phoneticPr fontId="1"/>
  </si>
  <si>
    <t>14世紀後期
同一の, 等しい</t>
    <rPh sb="2" eb="4">
      <t>セイキ</t>
    </rPh>
    <rPh sb="4" eb="6">
      <t>コウキ</t>
    </rPh>
    <rPh sb="7" eb="9">
      <t>ドウイツ</t>
    </rPh>
    <rPh sb="12" eb="13">
      <t>ヒト</t>
    </rPh>
    <phoneticPr fontId="1"/>
  </si>
  <si>
    <t>prae（前に, 以前に）+via（道）
&lt;span class="spacer"&gt;&lt;/span&gt;形容詞を作る-usが付いて
praevius（道の前を行く）</t>
    <rPh sb="5" eb="6">
      <t>マエ</t>
    </rPh>
    <rPh sb="9" eb="11">
      <t>イゼン</t>
    </rPh>
    <rPh sb="72" eb="73">
      <t>ミチ</t>
    </rPh>
    <rPh sb="74" eb="75">
      <t>マエ</t>
    </rPh>
    <rPh sb="76" eb="77">
      <t>イ</t>
    </rPh>
    <phoneticPr fontId="1"/>
  </si>
  <si>
    <t>1620年代
時間的に前に行く, 以前の</t>
    <rPh sb="4" eb="6">
      <t>ネンダイ</t>
    </rPh>
    <rPh sb="7" eb="10">
      <t>ジカンテキ</t>
    </rPh>
    <rPh sb="11" eb="12">
      <t>マエ</t>
    </rPh>
    <rPh sb="13" eb="14">
      <t>イ</t>
    </rPh>
    <rPh sb="17" eb="19">
      <t>イゼン</t>
    </rPh>
    <phoneticPr fontId="1"/>
  </si>
  <si>
    <t>fals（欺くような, 偽の）</t>
    <rPh sb="5" eb="6">
      <t>アザム</t>
    </rPh>
    <rPh sb="12" eb="13">
      <t>ニセ</t>
    </rPh>
    <phoneticPr fontId="1"/>
  </si>
  <si>
    <t>後期古英語</t>
    <rPh sb="0" eb="5">
      <t>コウキコエイゴ</t>
    </rPh>
    <phoneticPr fontId="1"/>
  </si>
  <si>
    <t>虚偽の, 意図的に真実ではない</t>
    <rPh sb="0" eb="2">
      <t>キョギ</t>
    </rPh>
    <rPh sb="5" eb="8">
      <t>イトテキ</t>
    </rPh>
    <rPh sb="9" eb="11">
      <t>シンジツ</t>
    </rPh>
    <phoneticPr fontId="1"/>
  </si>
  <si>
    <t>1200年頃から
欺くような, 本物ではない
14世紀初頭
間違った, 誤った</t>
    <rPh sb="4" eb="5">
      <t>ネン</t>
    </rPh>
    <rPh sb="5" eb="6">
      <t>コロ</t>
    </rPh>
    <rPh sb="9" eb="10">
      <t>アザム</t>
    </rPh>
    <rPh sb="16" eb="18">
      <t>ホンモノ</t>
    </rPh>
    <rPh sb="25" eb="27">
      <t>セイキ</t>
    </rPh>
    <rPh sb="27" eb="29">
      <t>ショトウ</t>
    </rPh>
    <rPh sb="30" eb="32">
      <t>マチガ</t>
    </rPh>
    <rPh sb="36" eb="37">
      <t>アヤマ</t>
    </rPh>
    <phoneticPr fontId="1"/>
  </si>
  <si>
    <t>rarus（まばらに撒かれた, 隙間が多い）</t>
    <rPh sb="10" eb="11">
      <t>マ</t>
    </rPh>
    <rPh sb="16" eb="18">
      <t>スキマ</t>
    </rPh>
    <rPh sb="19" eb="20">
      <t>オオ</t>
    </rPh>
    <phoneticPr fontId="1"/>
  </si>
  <si>
    <t>rere（欺くような, 偽の）</t>
    <rPh sb="5" eb="6">
      <t>アザム</t>
    </rPh>
    <rPh sb="12" eb="13">
      <t>ニセ</t>
    </rPh>
    <phoneticPr fontId="1"/>
  </si>
  <si>
    <t>14世紀後期
薄い, 密ではない
&lt;span class="spacer"&gt;&lt;/span&gt;15世紀半ば
数が少なくて空間が広くあいている
めったに見られない
非常に稀な</t>
    <rPh sb="2" eb="4">
      <t>セイキ</t>
    </rPh>
    <rPh sb="4" eb="6">
      <t>コウキ</t>
    </rPh>
    <rPh sb="7" eb="8">
      <t>ウス</t>
    </rPh>
    <rPh sb="11" eb="12">
      <t>ミツ</t>
    </rPh>
    <rPh sb="47" eb="49">
      <t>セイキ</t>
    </rPh>
    <rPh sb="49" eb="50">
      <t>ナカ</t>
    </rPh>
    <rPh sb="52" eb="53">
      <t>カズ</t>
    </rPh>
    <rPh sb="54" eb="55">
      <t>スク</t>
    </rPh>
    <rPh sb="58" eb="60">
      <t>クウカン</t>
    </rPh>
    <rPh sb="61" eb="62">
      <t>ヒロ</t>
    </rPh>
    <rPh sb="73" eb="74">
      <t>ミ</t>
    </rPh>
    <rPh sb="79" eb="81">
      <t>ヒジョウ</t>
    </rPh>
    <rPh sb="82" eb="83">
      <t>マレ</t>
    </rPh>
    <phoneticPr fontId="1"/>
  </si>
  <si>
    <t>lex（命令, 法）
&lt;span class="spacer"&gt;&lt;/span&gt;形容詞を作る-alisが付いて
legalis（法に関する）</t>
    <rPh sb="39" eb="42">
      <t>ケイヨウシ</t>
    </rPh>
    <rPh sb="43" eb="44">
      <t>ツク</t>
    </rPh>
    <rPh sb="51" eb="52">
      <t>ツ</t>
    </rPh>
    <rPh sb="63" eb="64">
      <t>ホウ</t>
    </rPh>
    <rPh sb="65" eb="66">
      <t>カン</t>
    </rPh>
    <phoneticPr fontId="1"/>
  </si>
  <si>
    <t>légal（法律の, 合法の）</t>
    <rPh sb="6" eb="8">
      <t>ホウリツ</t>
    </rPh>
    <rPh sb="11" eb="13">
      <t>ゴウホウ</t>
    </rPh>
    <phoneticPr fontId="1"/>
  </si>
  <si>
    <t>15世紀半ば
法に関する, 法律上の</t>
    <rPh sb="2" eb="4">
      <t>セイキ</t>
    </rPh>
    <rPh sb="4" eb="5">
      <t>ナカ</t>
    </rPh>
    <rPh sb="7" eb="8">
      <t>ホウ</t>
    </rPh>
    <rPh sb="9" eb="10">
      <t>カン</t>
    </rPh>
    <rPh sb="14" eb="17">
      <t>ホウリツジョウ</t>
    </rPh>
    <phoneticPr fontId="1"/>
  </si>
  <si>
    <t>1640年代
法律で許可される
合法の</t>
    <rPh sb="4" eb="6">
      <t>ネンダイ</t>
    </rPh>
    <rPh sb="7" eb="9">
      <t>ホウリツ</t>
    </rPh>
    <rPh sb="10" eb="12">
      <t>キョカ</t>
    </rPh>
    <rPh sb="16" eb="18">
      <t>ゴウホウ</t>
    </rPh>
    <phoneticPr fontId="1"/>
  </si>
  <si>
    <t>1610年代
in（否定）+dependent（依存している）
他のものに依存していない
&lt;span class="spacer"&gt;&lt;/span&gt;1660年代
独立した</t>
    <rPh sb="4" eb="6">
      <t>ネンダイ</t>
    </rPh>
    <rPh sb="10" eb="12">
      <t>ヒテイ</t>
    </rPh>
    <rPh sb="24" eb="26">
      <t>イゾン</t>
    </rPh>
    <rPh sb="32" eb="33">
      <t>ホカ</t>
    </rPh>
    <rPh sb="37" eb="39">
      <t>イゾン</t>
    </rPh>
    <rPh sb="77" eb="79">
      <t>ネンダイ</t>
    </rPh>
    <rPh sb="80" eb="82">
      <t>ドクリツ</t>
    </rPh>
    <phoneticPr fontId="1"/>
  </si>
  <si>
    <t>ex（外の）
&lt;span class="spacer"&gt;&lt;/span&gt;対比を示す-terusが付いて
exterus（内ではなく外側の）
&lt;span class="spacer"&gt;&lt;/span&gt;最上級になって
extremus（最も外側の）</t>
    <rPh sb="3" eb="4">
      <t>ソト</t>
    </rPh>
    <rPh sb="59" eb="60">
      <t>ウチ</t>
    </rPh>
    <rPh sb="64" eb="66">
      <t>ソトガワ</t>
    </rPh>
    <rPh sb="97" eb="100">
      <t>サイジョウキュウ</t>
    </rPh>
    <rPh sb="114" eb="115">
      <t>モット</t>
    </rPh>
    <rPh sb="116" eb="118">
      <t>ソトガワ</t>
    </rPh>
    <phoneticPr fontId="1"/>
  </si>
  <si>
    <t>13世紀
extreme（最も外側の）</t>
    <rPh sb="2" eb="4">
      <t>セイキ</t>
    </rPh>
    <rPh sb="13" eb="14">
      <t>モット</t>
    </rPh>
    <rPh sb="15" eb="17">
      <t>ソトガワ</t>
    </rPh>
    <phoneticPr fontId="1"/>
  </si>
  <si>
    <t>15世紀初頭
最も外側の, 最大の度合いで</t>
    <rPh sb="2" eb="4">
      <t>セイキ</t>
    </rPh>
    <rPh sb="4" eb="6">
      <t>ショトウ</t>
    </rPh>
    <rPh sb="7" eb="8">
      <t>モット</t>
    </rPh>
    <rPh sb="9" eb="11">
      <t>ソトガワ</t>
    </rPh>
    <rPh sb="14" eb="16">
      <t>サイダイ</t>
    </rPh>
    <rPh sb="17" eb="19">
      <t>ドア</t>
    </rPh>
    <phoneticPr fontId="1"/>
  </si>
  <si>
    <t>agere（駆り立てる, 行う）
&lt;span class="spacer"&gt;&lt;/span&gt;名詞になって
actus（行為）
&lt;span class="spacer"&gt;&lt;/span&gt;形容詞を作る-alisが付いて
actualis（活動的な, 行為に関する）</t>
    <rPh sb="45" eb="47">
      <t>メイシ</t>
    </rPh>
    <rPh sb="58" eb="60">
      <t>コウイ</t>
    </rPh>
    <rPh sb="90" eb="93">
      <t>ケイヨウシ</t>
    </rPh>
    <rPh sb="94" eb="95">
      <t>ツク</t>
    </rPh>
    <rPh sb="102" eb="103">
      <t>ツ</t>
    </rPh>
    <rPh sb="115" eb="118">
      <t>カツドウテキ</t>
    </rPh>
    <rPh sb="121" eb="123">
      <t>コウイ</t>
    </rPh>
    <rPh sb="124" eb="125">
      <t>カン</t>
    </rPh>
    <phoneticPr fontId="1"/>
  </si>
  <si>
    <t>13世紀
actuel（現に存在する）</t>
    <rPh sb="2" eb="4">
      <t>セイキ</t>
    </rPh>
    <rPh sb="12" eb="13">
      <t>ゲン</t>
    </rPh>
    <rPh sb="14" eb="16">
      <t>ソンザイ</t>
    </rPh>
    <phoneticPr fontId="1"/>
  </si>
  <si>
    <t>14世紀初頭
行為や行動に関する
&lt;span class="spacer"&gt;&lt;/span&gt;14世紀後期
現実の, 実在する
（potential, idealと対立する語）</t>
    <rPh sb="2" eb="4">
      <t>セイキ</t>
    </rPh>
    <rPh sb="4" eb="6">
      <t>ショトウ</t>
    </rPh>
    <rPh sb="7" eb="9">
      <t>コウイ</t>
    </rPh>
    <rPh sb="10" eb="12">
      <t>コウドウ</t>
    </rPh>
    <rPh sb="13" eb="14">
      <t>カン</t>
    </rPh>
    <rPh sb="47" eb="49">
      <t>セイキ</t>
    </rPh>
    <rPh sb="49" eb="51">
      <t>コウキ</t>
    </rPh>
    <rPh sb="52" eb="54">
      <t>ゲンジツ</t>
    </rPh>
    <rPh sb="57" eb="59">
      <t>ジツザイ</t>
    </rPh>
    <rPh sb="80" eb="82">
      <t>タイリツ</t>
    </rPh>
    <rPh sb="84" eb="85">
      <t>ゴ</t>
    </rPh>
    <phoneticPr fontId="1"/>
  </si>
  <si>
    <t>willan（望む, 意志する, 進んで〜する）</t>
    <phoneticPr fontId="1"/>
  </si>
  <si>
    <t>14世紀初頭
進んで行おうとする</t>
    <rPh sb="2" eb="4">
      <t>セイキ</t>
    </rPh>
    <rPh sb="4" eb="6">
      <t>ショトウ</t>
    </rPh>
    <rPh sb="7" eb="8">
      <t>スス</t>
    </rPh>
    <rPh sb="10" eb="11">
      <t>オコナ</t>
    </rPh>
    <phoneticPr fontId="1"/>
  </si>
  <si>
    <t>urbs（都市）
&lt;span class="spacer"&gt;&lt;/span&gt;形容詞を作る-anusが付いて
urbanus（都市の, 都会の）</t>
    <rPh sb="5" eb="7">
      <t>トシ</t>
    </rPh>
    <rPh sb="37" eb="40">
      <t>ケイヨウシ</t>
    </rPh>
    <rPh sb="41" eb="42">
      <t>ツク</t>
    </rPh>
    <rPh sb="49" eb="50">
      <t>ツ</t>
    </rPh>
    <rPh sb="61" eb="63">
      <t>トシ</t>
    </rPh>
    <rPh sb="66" eb="68">
      <t>トカイ</t>
    </rPh>
    <phoneticPr fontId="1"/>
  </si>
  <si>
    <t>1610年代
都市の, 都会の</t>
    <rPh sb="4" eb="6">
      <t>ネンダイ</t>
    </rPh>
    <rPh sb="7" eb="9">
      <t>トシ</t>
    </rPh>
    <rPh sb="12" eb="14">
      <t>トカイ</t>
    </rPh>
    <phoneticPr fontId="1"/>
  </si>
  <si>
    <t>where（場所）+as
&lt;span class="spacer"&gt;&lt;/span&gt;15世紀初頭
接続詞（逆に, 実際にはそのとき）</t>
    <rPh sb="6" eb="8">
      <t>バショ</t>
    </rPh>
    <rPh sb="43" eb="45">
      <t>セイキ</t>
    </rPh>
    <rPh sb="45" eb="47">
      <t>ショトウ</t>
    </rPh>
    <rPh sb="48" eb="51">
      <t>セツゾクシ</t>
    </rPh>
    <rPh sb="52" eb="53">
      <t>ギャク</t>
    </rPh>
    <rPh sb="56" eb="58">
      <t>ジッサイ</t>
    </rPh>
    <phoneticPr fontId="1"/>
  </si>
  <si>
    <t>prae（前に, 以前に）+dicere（言う）
praedicere（前もって言う）
&lt;span class="spacer"&gt;&lt;/span&gt;過去分詞praedicatus（前もって述べられた）</t>
    <rPh sb="5" eb="6">
      <t>マエ</t>
    </rPh>
    <rPh sb="9" eb="11">
      <t>イゼン</t>
    </rPh>
    <rPh sb="21" eb="22">
      <t>イ</t>
    </rPh>
    <rPh sb="36" eb="37">
      <t>マエ</t>
    </rPh>
    <rPh sb="40" eb="41">
      <t>イ</t>
    </rPh>
    <rPh sb="72" eb="76">
      <t>カコブンシ</t>
    </rPh>
    <rPh sb="88" eb="89">
      <t>マエ</t>
    </rPh>
    <rPh sb="92" eb="93">
      <t>ノ</t>
    </rPh>
    <phoneticPr fontId="1"/>
  </si>
  <si>
    <t>1620年代
出来事が起こる前に告げる
予言する</t>
    <rPh sb="4" eb="6">
      <t>ネンダイ</t>
    </rPh>
    <rPh sb="7" eb="10">
      <t>デキゴト</t>
    </rPh>
    <rPh sb="11" eb="12">
      <t>オ</t>
    </rPh>
    <rPh sb="14" eb="15">
      <t>マエ</t>
    </rPh>
    <rPh sb="16" eb="17">
      <t>ツ</t>
    </rPh>
    <rPh sb="20" eb="22">
      <t>ヨゲン</t>
    </rPh>
    <phoneticPr fontId="1"/>
  </si>
  <si>
    <t>examiner（問いただす）</t>
    <rPh sb="9" eb="10">
      <t>ト</t>
    </rPh>
    <phoneticPr fontId="1"/>
  </si>
  <si>
    <t>古ノルド語</t>
    <phoneticPr fontId="1"/>
  </si>
  <si>
    <t>treysta（信頼する）</t>
    <rPh sb="8" eb="10">
      <t>シンライ</t>
    </rPh>
    <phoneticPr fontId="1"/>
  </si>
  <si>
    <t>1200年頃
信仰や信念を持つ
&lt;span class="spacer"&gt;&lt;/span&gt;14世紀半ば
信用する
&lt;span class="spacer"&gt;&lt;/span&gt;14世紀後期
信頼を置く</t>
    <rPh sb="4" eb="5">
      <t>ネン</t>
    </rPh>
    <rPh sb="5" eb="6">
      <t>コロ</t>
    </rPh>
    <rPh sb="7" eb="9">
      <t>シンコウ</t>
    </rPh>
    <rPh sb="10" eb="12">
      <t>シンネン</t>
    </rPh>
    <rPh sb="13" eb="14">
      <t>モ</t>
    </rPh>
    <rPh sb="46" eb="48">
      <t>セイキ</t>
    </rPh>
    <rPh sb="48" eb="49">
      <t>ナカ</t>
    </rPh>
    <rPh sb="88" eb="90">
      <t>コウキ</t>
    </rPh>
    <rPh sb="91" eb="93">
      <t>シンライ</t>
    </rPh>
    <rPh sb="94" eb="95">
      <t>オ</t>
    </rPh>
    <phoneticPr fontId="1"/>
  </si>
  <si>
    <t>*steig-（刺す, 尖った）</t>
    <rPh sb="8" eb="9">
      <t>サ</t>
    </rPh>
    <rPh sb="12" eb="13">
      <t>トガ</t>
    </rPh>
    <phoneticPr fontId="1"/>
  </si>
  <si>
    <t>stician（武器で刺す, 貫く, 固定する）</t>
    <rPh sb="8" eb="10">
      <t>ブキ</t>
    </rPh>
    <rPh sb="11" eb="12">
      <t>サ</t>
    </rPh>
    <rPh sb="15" eb="16">
      <t>ツラヌ</t>
    </rPh>
    <rPh sb="19" eb="21">
      <t>コテイ</t>
    </rPh>
    <phoneticPr fontId="1"/>
  </si>
  <si>
    <t>stiken
&lt;span class="spacer"&gt;&lt;/span&gt;1300年頃
貫通させる, 固定する
&lt;span class="spacer"&gt;&lt;/span&gt;13世紀後期
物をある場所に固定する
&lt;span class="spacer"&gt;&lt;/span&gt;15世紀半ば
固執する
&lt;span class="spacer"&gt;&lt;/span&gt;1560年代
stick out（突き出る）</t>
    <rPh sb="39" eb="40">
      <t>ネン</t>
    </rPh>
    <rPh sb="40" eb="41">
      <t>コロ</t>
    </rPh>
    <rPh sb="42" eb="44">
      <t>カンツウ</t>
    </rPh>
    <rPh sb="49" eb="51">
      <t>コテイ</t>
    </rPh>
    <rPh sb="84" eb="86">
      <t>セイキ</t>
    </rPh>
    <rPh sb="86" eb="88">
      <t>コウキ</t>
    </rPh>
    <rPh sb="89" eb="90">
      <t>モノ</t>
    </rPh>
    <rPh sb="93" eb="95">
      <t>バショ</t>
    </rPh>
    <rPh sb="96" eb="98">
      <t>コテイ</t>
    </rPh>
    <rPh sb="131" eb="133">
      <t>セイキ</t>
    </rPh>
    <rPh sb="133" eb="134">
      <t>ナカ</t>
    </rPh>
    <rPh sb="136" eb="138">
      <t>コシュウ</t>
    </rPh>
    <rPh sb="173" eb="175">
      <t>ネンダイ</t>
    </rPh>
    <rPh sb="186" eb="187">
      <t>ツ</t>
    </rPh>
    <rPh sb="188" eb="189">
      <t>デ</t>
    </rPh>
    <phoneticPr fontId="1"/>
  </si>
  <si>
    <t>ex（外へ）+mergere（沈む）
emergere（外に出す, 明らかにする, ～から出てくる）</t>
    <rPh sb="3" eb="4">
      <t>ソト</t>
    </rPh>
    <rPh sb="15" eb="16">
      <t>シズ</t>
    </rPh>
    <rPh sb="28" eb="29">
      <t>ソト</t>
    </rPh>
    <rPh sb="30" eb="31">
      <t>ダ</t>
    </rPh>
    <rPh sb="34" eb="35">
      <t>アキ</t>
    </rPh>
    <rPh sb="45" eb="46">
      <t>デ</t>
    </rPh>
    <phoneticPr fontId="1"/>
  </si>
  <si>
    <t>émerger（出現する, 現れる）</t>
    <rPh sb="8" eb="10">
      <t>シュツゲン</t>
    </rPh>
    <rPh sb="14" eb="15">
      <t>アラワ</t>
    </rPh>
    <phoneticPr fontId="1"/>
  </si>
  <si>
    <t>1560年代
現れる, 出てくる, 姿を現す
隠れていたものが明らかになる</t>
    <rPh sb="4" eb="6">
      <t>ネンダイ</t>
    </rPh>
    <rPh sb="7" eb="8">
      <t>アラワ</t>
    </rPh>
    <rPh sb="12" eb="13">
      <t>デ</t>
    </rPh>
    <rPh sb="18" eb="19">
      <t>スガタ</t>
    </rPh>
    <rPh sb="20" eb="21">
      <t>アラワ</t>
    </rPh>
    <rPh sb="23" eb="24">
      <t>カク</t>
    </rPh>
    <rPh sb="31" eb="32">
      <t>アキ</t>
    </rPh>
    <phoneticPr fontId="1"/>
  </si>
  <si>
    <t>varius（多様な, 異なる）
&lt;span class="spacer"&gt;&lt;/span&gt;動詞になって
variare（変える, 変化させる）</t>
    <rPh sb="7" eb="9">
      <t>タヨウ</t>
    </rPh>
    <rPh sb="12" eb="13">
      <t>コト</t>
    </rPh>
    <rPh sb="45" eb="47">
      <t>ドウシ</t>
    </rPh>
    <rPh sb="60" eb="61">
      <t>カ</t>
    </rPh>
    <rPh sb="65" eb="67">
      <t>ヘンカ</t>
    </rPh>
    <phoneticPr fontId="1"/>
  </si>
  <si>
    <t>variier（変わる, 変化させる）</t>
    <rPh sb="8" eb="9">
      <t>カ</t>
    </rPh>
    <rPh sb="13" eb="15">
      <t>ヘンカ</t>
    </rPh>
    <phoneticPr fontId="1"/>
  </si>
  <si>
    <t>varien
&lt;span class="spacer"&gt;&lt;/span&gt;14世紀後期
変わる, 変える
様々な形で存在する, 異なる</t>
    <rPh sb="37" eb="39">
      <t>セイキ</t>
    </rPh>
    <rPh sb="39" eb="41">
      <t>コウキ</t>
    </rPh>
    <rPh sb="51" eb="53">
      <t>サマザマ</t>
    </rPh>
    <rPh sb="54" eb="55">
      <t>カタチ</t>
    </rPh>
    <rPh sb="56" eb="58">
      <t>ソンザイ</t>
    </rPh>
    <rPh sb="62" eb="63">
      <t>コト</t>
    </rPh>
    <phoneticPr fontId="1"/>
  </si>
  <si>
    <t>relesser（ゆるめる, 手放す, 解放する）</t>
    <rPh sb="15" eb="17">
      <t>テバナ</t>
    </rPh>
    <rPh sb="20" eb="22">
      <t>カイホウ</t>
    </rPh>
    <phoneticPr fontId="1"/>
  </si>
  <si>
    <t>relēsen
&lt;span class="spacer"&gt;&lt;/span&gt;1300年頃
撤回する, 免除する
&lt;span class="spacer"&gt;&lt;/span&gt;14世紀半ば
和らげる
&lt;span class="spacer"&gt;&lt;/span&gt;14世紀後期
ゆるす, 投獄や兵役から解放する</t>
    <rPh sb="40" eb="41">
      <t>ネン</t>
    </rPh>
    <rPh sb="41" eb="42">
      <t>コロ</t>
    </rPh>
    <rPh sb="43" eb="45">
      <t>テッカイ</t>
    </rPh>
    <rPh sb="49" eb="51">
      <t>メンジョ</t>
    </rPh>
    <rPh sb="84" eb="86">
      <t>セイキ</t>
    </rPh>
    <rPh sb="86" eb="87">
      <t>ナカ</t>
    </rPh>
    <rPh sb="89" eb="90">
      <t>ヤワ</t>
    </rPh>
    <rPh sb="124" eb="126">
      <t>セイキ</t>
    </rPh>
    <rPh sb="126" eb="128">
      <t>コウキ</t>
    </rPh>
    <rPh sb="134" eb="136">
      <t>トウゴク</t>
    </rPh>
    <rPh sb="137" eb="139">
      <t>ヘイエキ</t>
    </rPh>
    <rPh sb="141" eb="143">
      <t>カイホウ</t>
    </rPh>
    <phoneticPr fontId="1"/>
  </si>
  <si>
    <t>1900年代から
公開する</t>
    <rPh sb="4" eb="6">
      <t>ネンダイ</t>
    </rPh>
    <rPh sb="9" eb="11">
      <t>コウカイ</t>
    </rPh>
    <phoneticPr fontId="1"/>
  </si>
  <si>
    <t>videre（分ける）
&lt;span class="spacer"&gt;&lt;/span&gt;dis（離れて）+videre（分ける）
dividere（分けて離す, 裂く）</t>
    <rPh sb="7" eb="8">
      <t>ワ</t>
    </rPh>
    <rPh sb="44" eb="45">
      <t>ハナ</t>
    </rPh>
    <rPh sb="70" eb="71">
      <t>ワ</t>
    </rPh>
    <rPh sb="73" eb="74">
      <t>ハナ</t>
    </rPh>
    <rPh sb="77" eb="78">
      <t>サ</t>
    </rPh>
    <phoneticPr fontId="1"/>
  </si>
  <si>
    <t>14世紀初頭
部分に分ける
&lt;span class="spacer"&gt;&lt;/span&gt;14世紀後期
つながりを断つ
意見を分裂させる
&lt;span class="spacer"&gt;&lt;/span&gt;15世紀初頭
除算（割り算）を行う</t>
    <rPh sb="2" eb="4">
      <t>セイキ</t>
    </rPh>
    <rPh sb="4" eb="6">
      <t>ショトウ</t>
    </rPh>
    <rPh sb="7" eb="9">
      <t>ブブン</t>
    </rPh>
    <rPh sb="10" eb="11">
      <t>ワ</t>
    </rPh>
    <rPh sb="44" eb="46">
      <t>セイキ</t>
    </rPh>
    <rPh sb="46" eb="48">
      <t>コウキ</t>
    </rPh>
    <rPh sb="54" eb="55">
      <t>タ</t>
    </rPh>
    <rPh sb="57" eb="59">
      <t>イケン</t>
    </rPh>
    <rPh sb="60" eb="62">
      <t>ブンレツ</t>
    </rPh>
    <rPh sb="98" eb="100">
      <t>ショトウ</t>
    </rPh>
    <rPh sb="101" eb="103">
      <t>ジョサン</t>
    </rPh>
    <rPh sb="104" eb="105">
      <t>ワ</t>
    </rPh>
    <rPh sb="106" eb="107">
      <t>ザン</t>
    </rPh>
    <rPh sb="109" eb="110">
      <t>オコナ</t>
    </rPh>
    <phoneticPr fontId="1"/>
  </si>
  <si>
    <t>1520年代
部分に分かれる</t>
    <rPh sb="4" eb="6">
      <t>ネンダイ</t>
    </rPh>
    <rPh sb="7" eb="9">
      <t>ブブン</t>
    </rPh>
    <rPh sb="10" eb="11">
      <t>ワ</t>
    </rPh>
    <phoneticPr fontId="1"/>
  </si>
  <si>
    <t>en（動詞化）+able（～できる）
&lt;span class="spacer"&gt;&lt;/span&gt;15世紀初頭
適合させる
&lt;span class="spacer"&gt;&lt;/span&gt;15世紀半ば
できるようにする
能力を与える</t>
    <rPh sb="3" eb="5">
      <t>ドウシ</t>
    </rPh>
    <rPh sb="5" eb="6">
      <t>カ</t>
    </rPh>
    <rPh sb="49" eb="53">
      <t>セイキショトウ</t>
    </rPh>
    <rPh sb="54" eb="56">
      <t>テキゴウ</t>
    </rPh>
    <rPh sb="92" eb="93">
      <t>ナカ</t>
    </rPh>
    <rPh sb="104" eb="106">
      <t>ノウリョク</t>
    </rPh>
    <rPh sb="107" eb="108">
      <t>アタ</t>
    </rPh>
    <phoneticPr fontId="1"/>
  </si>
  <si>
    <t>ius（法）+dicere（宣言する, 示す）
&lt;span class="spacer"&gt;&lt;/span&gt;iudex（法を宣言する裁判官）
&lt;span class="spacer"&gt;&lt;/span&gt;動詞になって
iudicare（裁く, 判決を下す）</t>
    <rPh sb="4" eb="5">
      <t>ホウ</t>
    </rPh>
    <rPh sb="58" eb="59">
      <t>ホウ</t>
    </rPh>
    <rPh sb="60" eb="62">
      <t>センゲン</t>
    </rPh>
    <rPh sb="64" eb="67">
      <t>サイバンカン</t>
    </rPh>
    <rPh sb="97" eb="99">
      <t>ドウシ</t>
    </rPh>
    <rPh sb="113" eb="114">
      <t>サバ</t>
    </rPh>
    <rPh sb="117" eb="119">
      <t>ハンケツ</t>
    </rPh>
    <rPh sb="120" eb="121">
      <t>クダ</t>
    </rPh>
    <phoneticPr fontId="1"/>
  </si>
  <si>
    <t>jugier（裁く, 判決を下す）</t>
    <rPh sb="7" eb="8">
      <t>サバ</t>
    </rPh>
    <rPh sb="11" eb="13">
      <t>ハンケツ</t>
    </rPh>
    <rPh sb="14" eb="15">
      <t>クダ</t>
    </rPh>
    <phoneticPr fontId="1"/>
  </si>
  <si>
    <t>juger（裁く, 判決を下す）</t>
    <phoneticPr fontId="1"/>
  </si>
  <si>
    <t>iugen
&lt;span class="spacer"&gt;&lt;/span&gt;1200年頃
調べる, 診断する
&lt;span class="spacer"&gt;&lt;/span&gt;1300年頃
意見を形成する
判断する
&lt;span class="spacer"&gt;&lt;/span&gt;15世紀半ば
現代の-dg-綴りが定着</t>
    <rPh sb="38" eb="39">
      <t>ネン</t>
    </rPh>
    <rPh sb="39" eb="40">
      <t>コロ</t>
    </rPh>
    <rPh sb="41" eb="42">
      <t>シラ</t>
    </rPh>
    <rPh sb="46" eb="48">
      <t>シンダン</t>
    </rPh>
    <rPh sb="83" eb="85">
      <t>ネンコロ</t>
    </rPh>
    <rPh sb="86" eb="88">
      <t>イケン</t>
    </rPh>
    <rPh sb="89" eb="91">
      <t>ケイセイ</t>
    </rPh>
    <rPh sb="94" eb="96">
      <t>ハンダン</t>
    </rPh>
    <rPh sb="129" eb="131">
      <t>セイキ</t>
    </rPh>
    <rPh sb="131" eb="132">
      <t>ナカ</t>
    </rPh>
    <rPh sb="134" eb="136">
      <t>ゲンダイ</t>
    </rPh>
    <rPh sb="141" eb="142">
      <t>ツヅ</t>
    </rPh>
    <rPh sb="144" eb="146">
      <t>テイチャク</t>
    </rPh>
    <phoneticPr fontId="1"/>
  </si>
  <si>
    <t>re（強意）+ligare（結ぶ）
&lt;span class="spacer"&gt;&lt;/span&gt;religare（しっかり結びつける）</t>
    <rPh sb="59" eb="60">
      <t>ムス</t>
    </rPh>
    <phoneticPr fontId="1"/>
  </si>
  <si>
    <t>relier（集める, 結集させる）</t>
    <rPh sb="7" eb="8">
      <t>アツ</t>
    </rPh>
    <rPh sb="12" eb="14">
      <t>ケッシュウ</t>
    </rPh>
    <phoneticPr fontId="1"/>
  </si>
  <si>
    <t>relien
&lt;span class="spacer"&gt;&lt;/span&gt;14世紀半ば
&lt;span class="obsolete"&gt;軍などを集める（現在は廃用）&lt;/span&gt;</t>
    <rPh sb="37" eb="39">
      <t>セイキ</t>
    </rPh>
    <rPh sb="39" eb="40">
      <t>ナカ</t>
    </rPh>
    <phoneticPr fontId="1"/>
  </si>
  <si>
    <t>1570年代
完全な信頼と確信をもって依存する
信頼を寄せる</t>
    <rPh sb="4" eb="6">
      <t>ネンダイ</t>
    </rPh>
    <rPh sb="7" eb="9">
      <t>カンゼン</t>
    </rPh>
    <rPh sb="10" eb="12">
      <t>シンライ</t>
    </rPh>
    <rPh sb="13" eb="15">
      <t>カクシン</t>
    </rPh>
    <rPh sb="19" eb="21">
      <t>イゾン</t>
    </rPh>
    <rPh sb="24" eb="26">
      <t>シンライ</t>
    </rPh>
    <rPh sb="27" eb="28">
      <t>ヨ</t>
    </rPh>
    <phoneticPr fontId="1"/>
  </si>
  <si>
    <t>en（中に）+gage（誓約）
en gage（誓約のもとに）
&lt;span class="spacer"&gt;&lt;/span&gt;engagier（誓いによって縛る, 誓約する）</t>
    <rPh sb="3" eb="4">
      <t>ナカ</t>
    </rPh>
    <rPh sb="12" eb="14">
      <t>セイヤク</t>
    </rPh>
    <rPh sb="24" eb="26">
      <t>セイヤク</t>
    </rPh>
    <rPh sb="69" eb="70">
      <t>チカ</t>
    </rPh>
    <rPh sb="75" eb="76">
      <t>シバ</t>
    </rPh>
    <rPh sb="79" eb="81">
      <t>セイヤク</t>
    </rPh>
    <phoneticPr fontId="1"/>
  </si>
  <si>
    <t>engagen
&lt;span class="spacer"&gt;&lt;/span&gt;15世紀初頭
支払いの担保として誓約する</t>
    <rPh sb="38" eb="40">
      <t>セイキ</t>
    </rPh>
    <rPh sb="40" eb="42">
      <t>ショトウ</t>
    </rPh>
    <rPh sb="43" eb="45">
      <t>シハラ</t>
    </rPh>
    <rPh sb="47" eb="49">
      <t>タンポ</t>
    </rPh>
    <rPh sb="52" eb="54">
      <t>セイヤク</t>
    </rPh>
    <phoneticPr fontId="1"/>
  </si>
  <si>
    <t>1610年代
結婚を誓約する
&lt;span class="spacer"&gt;&lt;/span&gt;1640年代
雇う, 従事させる</t>
    <rPh sb="4" eb="6">
      <t>ネンダイ</t>
    </rPh>
    <rPh sb="7" eb="9">
      <t>ケッコン</t>
    </rPh>
    <rPh sb="10" eb="12">
      <t>セイヤク</t>
    </rPh>
    <rPh sb="47" eb="49">
      <t>ネンダイ</t>
    </rPh>
    <rPh sb="50" eb="51">
      <t>ヤト</t>
    </rPh>
    <rPh sb="54" eb="56">
      <t>ジュウジ</t>
    </rPh>
    <phoneticPr fontId="1"/>
  </si>
  <si>
    <t>sciftan
&lt;span class="obsolete"&gt;配置する, 分ける（現在は廃用）&lt;/span&gt;</t>
    <rPh sb="31" eb="33">
      <t>ハイチ</t>
    </rPh>
    <rPh sb="37" eb="38">
      <t>ワ</t>
    </rPh>
    <phoneticPr fontId="1"/>
  </si>
  <si>
    <t>shiften
&lt;span class="spacer"&gt;&lt;/span&gt;1200年頃
&lt;span class="obsolete"&gt;配置する, 管理する
自己管理する, 自力で成功する（現在は廃用）&lt;/span&gt;
&lt;span class="spacer"&gt;&lt;/span&gt;13世紀半ば
変える, 変更する
&lt;span class="spacer"&gt;&lt;/span&gt;1300年頃
移動する, 別の場所に移す</t>
    <rPh sb="40" eb="41">
      <t>ネン</t>
    </rPh>
    <rPh sb="41" eb="42">
      <t>コロ</t>
    </rPh>
    <rPh sb="137" eb="139">
      <t>セイキ</t>
    </rPh>
    <rPh sb="139" eb="140">
      <t>ナカ</t>
    </rPh>
    <rPh sb="142" eb="143">
      <t>カ</t>
    </rPh>
    <rPh sb="147" eb="149">
      <t>ヘンコウ</t>
    </rPh>
    <rPh sb="184" eb="185">
      <t>ネン</t>
    </rPh>
    <rPh sb="185" eb="186">
      <t>コロ</t>
    </rPh>
    <rPh sb="187" eb="189">
      <t>イドウ</t>
    </rPh>
    <rPh sb="193" eb="194">
      <t>ベツ</t>
    </rPh>
    <rPh sb="195" eb="197">
      <t>バショ</t>
    </rPh>
    <rPh sb="198" eb="199">
      <t>ウツ</t>
    </rPh>
    <phoneticPr fontId="1"/>
  </si>
  <si>
    <t>ad（～へ）+optare（選ぶ）
adoptare（～へ望んで選ぶ, 自らのものとして選ぶ, 養子にする）</t>
    <rPh sb="14" eb="15">
      <t>エラ</t>
    </rPh>
    <rPh sb="29" eb="30">
      <t>ノゾ</t>
    </rPh>
    <rPh sb="32" eb="33">
      <t>エラ</t>
    </rPh>
    <rPh sb="36" eb="37">
      <t>ミズカ</t>
    </rPh>
    <rPh sb="44" eb="45">
      <t>エラ</t>
    </rPh>
    <rPh sb="48" eb="50">
      <t>ヨウシ</t>
    </rPh>
    <phoneticPr fontId="1"/>
  </si>
  <si>
    <t>adopter（採用する, 養子にする）</t>
    <rPh sb="8" eb="10">
      <t>サイヨウ</t>
    </rPh>
    <rPh sb="14" eb="16">
      <t>ヨウシ</t>
    </rPh>
    <phoneticPr fontId="1"/>
  </si>
  <si>
    <t>1500年頃
選択によって自分のものとする
&lt;span class="spacer"&gt;&lt;/span&gt;1600年頃
養子にする
採用する</t>
    <rPh sb="4" eb="6">
      <t>ネンコロ</t>
    </rPh>
    <rPh sb="7" eb="9">
      <t>センタク</t>
    </rPh>
    <rPh sb="13" eb="15">
      <t>ジブン</t>
    </rPh>
    <rPh sb="54" eb="56">
      <t>ネンコロ</t>
    </rPh>
    <rPh sb="57" eb="59">
      <t>ヨウシ</t>
    </rPh>
    <rPh sb="63" eb="65">
      <t>サイヨウ</t>
    </rPh>
    <phoneticPr fontId="1"/>
  </si>
  <si>
    <t>ad（～へ）+quaerere（追い求める）
acquirere（さらに得る, 付け加えて手に入れる, 獲得する）</t>
    <rPh sb="36" eb="37">
      <t>エ</t>
    </rPh>
    <rPh sb="40" eb="41">
      <t>ツ</t>
    </rPh>
    <rPh sb="42" eb="43">
      <t>クワ</t>
    </rPh>
    <rPh sb="45" eb="46">
      <t>テ</t>
    </rPh>
    <rPh sb="47" eb="48">
      <t>イ</t>
    </rPh>
    <rPh sb="52" eb="54">
      <t>カクトク</t>
    </rPh>
    <phoneticPr fontId="1"/>
  </si>
  <si>
    <t>*acquaerere</t>
  </si>
  <si>
    <t>aquerre（獲得する, 得る）</t>
    <rPh sb="8" eb="10">
      <t>カクトク</t>
    </rPh>
    <rPh sb="14" eb="15">
      <t>エ</t>
    </rPh>
    <phoneticPr fontId="1"/>
  </si>
  <si>
    <t>acqueren
&lt;span class="spacer"&gt;&lt;/span&gt;15世紀半ば
得る, 獲得する</t>
    <rPh sb="39" eb="41">
      <t>セイキ</t>
    </rPh>
    <rPh sb="41" eb="42">
      <t>ナカ</t>
    </rPh>
    <rPh sb="44" eb="45">
      <t>エ</t>
    </rPh>
    <rPh sb="48" eb="50">
      <t>カクトク</t>
    </rPh>
    <phoneticPr fontId="1"/>
  </si>
  <si>
    <t>1600年頃
acquireという形が定着</t>
    <rPh sb="17" eb="18">
      <t>カタチ</t>
    </rPh>
    <rPh sb="19" eb="21">
      <t>テイチャク</t>
    </rPh>
    <phoneticPr fontId="1"/>
  </si>
  <si>
    <t>ex（外へ）+pandere（広げる, 伸ばす）
expandere（広げる, 展開する, 拡張する）</t>
    <rPh sb="3" eb="4">
      <t>ソト</t>
    </rPh>
    <rPh sb="15" eb="16">
      <t>ヒロ</t>
    </rPh>
    <rPh sb="20" eb="21">
      <t>ノ</t>
    </rPh>
    <rPh sb="35" eb="36">
      <t>ヒロ</t>
    </rPh>
    <rPh sb="40" eb="42">
      <t>テンカイ</t>
    </rPh>
    <rPh sb="46" eb="48">
      <t>カクチョウ</t>
    </rPh>
    <phoneticPr fontId="1"/>
  </si>
  <si>
    <t>espandre（広げる, 広がる）</t>
    <rPh sb="9" eb="10">
      <t>ヒロ</t>
    </rPh>
    <rPh sb="14" eb="15">
      <t>ヒロ</t>
    </rPh>
    <phoneticPr fontId="1"/>
  </si>
  <si>
    <t>espaundre</t>
    <phoneticPr fontId="1"/>
  </si>
  <si>
    <t>15世紀初頭
広げる, 広く伸ばす</t>
    <rPh sb="2" eb="4">
      <t>セイキ</t>
    </rPh>
    <rPh sb="4" eb="6">
      <t>ショトウ</t>
    </rPh>
    <rPh sb="7" eb="8">
      <t>ヒロ</t>
    </rPh>
    <rPh sb="12" eb="13">
      <t>ヒロ</t>
    </rPh>
    <rPh sb="14" eb="15">
      <t>ノ</t>
    </rPh>
    <phoneticPr fontId="1"/>
  </si>
  <si>
    <t>refundereの過去分詞からできた反復動詞
*refusare（何度も返す, 突き返す, 受け取らない）</t>
    <rPh sb="10" eb="14">
      <t>カコブンシ</t>
    </rPh>
    <rPh sb="19" eb="21">
      <t>ハンプク</t>
    </rPh>
    <rPh sb="21" eb="23">
      <t>ドウシ</t>
    </rPh>
    <rPh sb="34" eb="36">
      <t>ナンド</t>
    </rPh>
    <rPh sb="37" eb="38">
      <t>カエ</t>
    </rPh>
    <rPh sb="41" eb="42">
      <t>ツ</t>
    </rPh>
    <rPh sb="43" eb="44">
      <t>カエ</t>
    </rPh>
    <rPh sb="47" eb="48">
      <t>ウ</t>
    </rPh>
    <rPh sb="49" eb="50">
      <t>ト</t>
    </rPh>
    <phoneticPr fontId="1"/>
  </si>
  <si>
    <t>refuser（拒絶する, 断る）</t>
    <rPh sb="8" eb="10">
      <t>キョゼツ</t>
    </rPh>
    <rPh sb="14" eb="15">
      <t>コトワ</t>
    </rPh>
    <phoneticPr fontId="1"/>
  </si>
  <si>
    <t>1300年頃
要求や依頼を断る, 拒絶する</t>
    <rPh sb="4" eb="6">
      <t>ネンゴロ</t>
    </rPh>
    <rPh sb="7" eb="9">
      <t>ヨウキュウ</t>
    </rPh>
    <rPh sb="10" eb="12">
      <t>イライ</t>
    </rPh>
    <rPh sb="13" eb="14">
      <t>コトワ</t>
    </rPh>
    <rPh sb="17" eb="19">
      <t>キョゼツ</t>
    </rPh>
    <phoneticPr fontId="1"/>
  </si>
  <si>
    <t>striken
&lt;span class="spacer"&gt;&lt;/span&gt;13世紀初頭
帆を下ろす
&lt;span class="spacer"&gt;&lt;/span&gt;14世紀初頭
打つ, 打撃を与える</t>
    <rPh sb="43" eb="44">
      <t>ホ</t>
    </rPh>
    <rPh sb="45" eb="46">
      <t>オ</t>
    </rPh>
    <rPh sb="79" eb="83">
      <t>セイキショトウ</t>
    </rPh>
    <rPh sb="84" eb="85">
      <t>ウ</t>
    </rPh>
    <rPh sb="88" eb="90">
      <t>ダゲキ</t>
    </rPh>
    <rPh sb="91" eb="92">
      <t>アタ</t>
    </rPh>
    <phoneticPr fontId="1"/>
  </si>
  <si>
    <t>1610年代
心を打つ, 強い印象を与える
&lt;span class="spacer"&gt;&lt;/span&gt;1768年
道具を下ろす
ストライキする</t>
    <rPh sb="4" eb="6">
      <t>ネンダイ</t>
    </rPh>
    <rPh sb="7" eb="8">
      <t>ココロ</t>
    </rPh>
    <rPh sb="9" eb="10">
      <t>ウ</t>
    </rPh>
    <rPh sb="13" eb="14">
      <t>ツヨ</t>
    </rPh>
    <rPh sb="15" eb="17">
      <t>インショウ</t>
    </rPh>
    <rPh sb="18" eb="19">
      <t>アタ</t>
    </rPh>
    <rPh sb="54" eb="55">
      <t>ネン</t>
    </rPh>
    <rPh sb="56" eb="58">
      <t>ドウグ</t>
    </rPh>
    <rPh sb="59" eb="60">
      <t>オ</t>
    </rPh>
    <phoneticPr fontId="1"/>
  </si>
  <si>
    <t>re（再び）+petere（向かう, 求める）
repetere（再び行う, 再び言う）</t>
    <rPh sb="33" eb="34">
      <t>フタタ</t>
    </rPh>
    <rPh sb="35" eb="36">
      <t>オコナ</t>
    </rPh>
    <rPh sb="39" eb="40">
      <t>フタタ</t>
    </rPh>
    <rPh sb="41" eb="42">
      <t>イ</t>
    </rPh>
    <phoneticPr fontId="1"/>
  </si>
  <si>
    <t>repeter（再び行う, 再び言う）</t>
    <phoneticPr fontId="1"/>
  </si>
  <si>
    <t>repēten
&lt;span class="spacer"&gt;&lt;/span&gt;14世紀後期
もう一回言う</t>
    <rPh sb="40" eb="42">
      <t>コウキ</t>
    </rPh>
    <rPh sb="45" eb="47">
      <t>イッカイ</t>
    </rPh>
    <rPh sb="47" eb="48">
      <t>イ</t>
    </rPh>
    <phoneticPr fontId="1"/>
  </si>
  <si>
    <t>1550年代
再び行う
&lt;span class="spacer"&gt;&lt;/span&gt;1590年代
他人が言ったことを繰り返す</t>
    <rPh sb="4" eb="6">
      <t>ネンダイ</t>
    </rPh>
    <rPh sb="7" eb="8">
      <t>フタタ</t>
    </rPh>
    <rPh sb="9" eb="10">
      <t>オコナ</t>
    </rPh>
    <rPh sb="44" eb="45">
      <t>ネン</t>
    </rPh>
    <rPh sb="45" eb="46">
      <t>ダイ</t>
    </rPh>
    <rPh sb="47" eb="49">
      <t>タニン</t>
    </rPh>
    <rPh sb="50" eb="51">
      <t>イ</t>
    </rPh>
    <rPh sb="56" eb="57">
      <t>ク</t>
    </rPh>
    <rPh sb="58" eb="59">
      <t>カエ</t>
    </rPh>
    <phoneticPr fontId="1"/>
  </si>
  <si>
    <t>consumer（消費する）</t>
    <rPh sb="9" eb="11">
      <t>ショウヒ</t>
    </rPh>
    <phoneticPr fontId="1"/>
  </si>
  <si>
    <t>14世紀後期
燃やしたり食べたりして修復できないほど破壊する
何かを消滅させる
&lt;span class="spacer"&gt;&lt;/span&gt;1400年頃
使用して消耗させる</t>
    <rPh sb="4" eb="6">
      <t>コウキ</t>
    </rPh>
    <rPh sb="7" eb="8">
      <t>モ</t>
    </rPh>
    <rPh sb="12" eb="13">
      <t>タ</t>
    </rPh>
    <rPh sb="18" eb="20">
      <t>シュウフク</t>
    </rPh>
    <rPh sb="26" eb="28">
      <t>ハカイ</t>
    </rPh>
    <rPh sb="31" eb="32">
      <t>ナニ</t>
    </rPh>
    <rPh sb="34" eb="36">
      <t>ショウメツ</t>
    </rPh>
    <rPh sb="72" eb="74">
      <t>ネンコロ</t>
    </rPh>
    <rPh sb="75" eb="77">
      <t>シヨウ</t>
    </rPh>
    <rPh sb="79" eb="81">
      <t>ショウモウ</t>
    </rPh>
    <phoneticPr fontId="1"/>
  </si>
  <si>
    <t>com（共に）+fundere（注ぐ）
confundere（共に注ぐ, 混ぜる, 混同する）
&lt;span class="spacer"&gt;&lt;/span&gt;過去分詞confusus（混ざった, 困惑した）</t>
    <rPh sb="4" eb="5">
      <t>トモ</t>
    </rPh>
    <rPh sb="31" eb="32">
      <t>トモ</t>
    </rPh>
    <rPh sb="33" eb="34">
      <t>ソソ</t>
    </rPh>
    <rPh sb="37" eb="38">
      <t>マ</t>
    </rPh>
    <rPh sb="42" eb="44">
      <t>コンドウ</t>
    </rPh>
    <rPh sb="76" eb="80">
      <t>カコブンシ</t>
    </rPh>
    <rPh sb="89" eb="90">
      <t>マ</t>
    </rPh>
    <rPh sb="95" eb="97">
      <t>コンワク</t>
    </rPh>
    <phoneticPr fontId="1"/>
  </si>
  <si>
    <t>confus（混乱した）</t>
    <rPh sb="7" eb="9">
      <t>コンラン</t>
    </rPh>
    <phoneticPr fontId="1"/>
  </si>
  <si>
    <t>14世紀初頭
形容詞confused（混乱した, 困惑した）</t>
    <rPh sb="4" eb="6">
      <t>ショトウ</t>
    </rPh>
    <rPh sb="7" eb="10">
      <t>ケイヨウシ</t>
    </rPh>
    <rPh sb="19" eb="21">
      <t>コンラン</t>
    </rPh>
    <rPh sb="25" eb="27">
      <t>コンワク</t>
    </rPh>
    <phoneticPr fontId="1"/>
  </si>
  <si>
    <t>16世紀半ば
形容詞や過去形のconfusedから現在形confuseが作られる
&lt;span class="spacer"&gt;&lt;/span&gt;1550年代
物やアイデアを混ぜ合わせてわからなくする
&lt;span class="spacer"&gt;&lt;/span&gt;18世紀半ば
混乱させる, 当惑させる</t>
    <rPh sb="2" eb="4">
      <t>セイキ</t>
    </rPh>
    <rPh sb="4" eb="5">
      <t>ナカ</t>
    </rPh>
    <rPh sb="7" eb="10">
      <t>ケイヨウシ</t>
    </rPh>
    <rPh sb="11" eb="14">
      <t>カコケイ</t>
    </rPh>
    <rPh sb="25" eb="28">
      <t>ゲンザイケイ</t>
    </rPh>
    <rPh sb="36" eb="37">
      <t>ツク</t>
    </rPh>
    <rPh sb="73" eb="75">
      <t>ネンダイ</t>
    </rPh>
    <rPh sb="76" eb="77">
      <t>モノ</t>
    </rPh>
    <rPh sb="83" eb="84">
      <t>マ</t>
    </rPh>
    <rPh sb="85" eb="86">
      <t>ア</t>
    </rPh>
    <rPh sb="127" eb="129">
      <t>セイキ</t>
    </rPh>
    <rPh sb="129" eb="130">
      <t>ナカ</t>
    </rPh>
    <rPh sb="132" eb="134">
      <t>コンラン</t>
    </rPh>
    <rPh sb="139" eb="141">
      <t>トウワク</t>
    </rPh>
    <phoneticPr fontId="1"/>
  </si>
  <si>
    <t>se（離れて）+legere（集める, 選ぶ）
seligere（選んで離す, 選び出す）
&lt;span class="spacer"&gt;&lt;/span&gt;過去分詞selectus（選び抜かれた）</t>
    <rPh sb="3" eb="4">
      <t>ハナ</t>
    </rPh>
    <rPh sb="15" eb="16">
      <t>アツ</t>
    </rPh>
    <rPh sb="20" eb="21">
      <t>エラ</t>
    </rPh>
    <rPh sb="33" eb="34">
      <t>エラ</t>
    </rPh>
    <rPh sb="36" eb="37">
      <t>ハナ</t>
    </rPh>
    <rPh sb="40" eb="41">
      <t>エラ</t>
    </rPh>
    <rPh sb="42" eb="43">
      <t>ダ</t>
    </rPh>
    <rPh sb="74" eb="78">
      <t>カコブンシ</t>
    </rPh>
    <rPh sb="87" eb="88">
      <t>エラ</t>
    </rPh>
    <rPh sb="89" eb="90">
      <t>ヌ</t>
    </rPh>
    <phoneticPr fontId="1"/>
  </si>
  <si>
    <t>1560年代
同じ種類のものの中から一つまたは複数を選び出す
他のものよりも好んで選ぶ</t>
    <rPh sb="4" eb="6">
      <t>ネンダイ</t>
    </rPh>
    <rPh sb="31" eb="32">
      <t>ホカ</t>
    </rPh>
    <rPh sb="38" eb="39">
      <t>コノ</t>
    </rPh>
    <rPh sb="41" eb="42">
      <t>エラ</t>
    </rPh>
    <phoneticPr fontId="1"/>
  </si>
  <si>
    <t>1640年代
広げる, 開く, 展開する
&lt;span class="spacer"&gt;&lt;/span&gt;1832年
自然に進化する, 発達する</t>
    <rPh sb="4" eb="6">
      <t>ネンダイ</t>
    </rPh>
    <rPh sb="7" eb="8">
      <t>ヒロ</t>
    </rPh>
    <rPh sb="12" eb="13">
      <t>ヒラ</t>
    </rPh>
    <rPh sb="16" eb="18">
      <t>テンカイ</t>
    </rPh>
    <rPh sb="53" eb="54">
      <t>ネン</t>
    </rPh>
    <rPh sb="55" eb="57">
      <t>シゼン</t>
    </rPh>
    <rPh sb="58" eb="60">
      <t>シンカ</t>
    </rPh>
    <rPh sb="64" eb="66">
      <t>ハッタツ</t>
    </rPh>
    <phoneticPr fontId="1"/>
  </si>
  <si>
    <t>con（強意）+vincere（征服する）
convincere（完全に征服する, 完全に打ち負かす）</t>
    <rPh sb="33" eb="35">
      <t>カンゼン</t>
    </rPh>
    <rPh sb="36" eb="38">
      <t>セイフク</t>
    </rPh>
    <rPh sb="42" eb="44">
      <t>カンゼン</t>
    </rPh>
    <rPh sb="45" eb="46">
      <t>ウ</t>
    </rPh>
    <rPh sb="47" eb="48">
      <t>マ</t>
    </rPh>
    <phoneticPr fontId="1"/>
  </si>
  <si>
    <t>1520年代
議論によって打ち負かす
&lt;span class="spacer"&gt;&lt;/span&gt;1600年頃
議論や証拠によって強く納得させる, 確信させる</t>
    <rPh sb="4" eb="6">
      <t>ネンダイ</t>
    </rPh>
    <rPh sb="7" eb="9">
      <t>ギロン</t>
    </rPh>
    <rPh sb="13" eb="14">
      <t>ウ</t>
    </rPh>
    <rPh sb="15" eb="16">
      <t>マ</t>
    </rPh>
    <rPh sb="51" eb="52">
      <t>ネン</t>
    </rPh>
    <rPh sb="52" eb="53">
      <t>コロ</t>
    </rPh>
    <rPh sb="54" eb="56">
      <t>ギロン</t>
    </rPh>
    <rPh sb="57" eb="59">
      <t>ショウコ</t>
    </rPh>
    <rPh sb="63" eb="64">
      <t>ツヨ</t>
    </rPh>
    <rPh sb="65" eb="67">
      <t>ナットク</t>
    </rPh>
    <rPh sb="72" eb="74">
      <t>カクシン</t>
    </rPh>
    <phoneticPr fontId="1"/>
  </si>
  <si>
    <t>re（再び）+call（呼ぶ）
recall
&lt;span class="spacer"&gt;&lt;/span&gt;1580年代
呼びかけて連れ戻す, 命令を取り消す
&lt;span class="spacer"&gt;&lt;/span&gt;1610年代
記憶を呼び戻す, 思い出す</t>
    <rPh sb="3" eb="4">
      <t>フタタ</t>
    </rPh>
    <rPh sb="12" eb="13">
      <t>ヨ</t>
    </rPh>
    <rPh sb="55" eb="57">
      <t>ネンダイ</t>
    </rPh>
    <rPh sb="58" eb="59">
      <t>ヨ</t>
    </rPh>
    <rPh sb="63" eb="64">
      <t>ツ</t>
    </rPh>
    <rPh sb="65" eb="66">
      <t>モド</t>
    </rPh>
    <rPh sb="69" eb="71">
      <t>メイレイ</t>
    </rPh>
    <rPh sb="72" eb="73">
      <t>ト</t>
    </rPh>
    <rPh sb="74" eb="75">
      <t>ケ</t>
    </rPh>
    <rPh sb="112" eb="114">
      <t>キオク</t>
    </rPh>
    <rPh sb="115" eb="116">
      <t>ヨ</t>
    </rPh>
    <rPh sb="117" eb="118">
      <t>モド</t>
    </rPh>
    <rPh sb="121" eb="122">
      <t>オモ</t>
    </rPh>
    <rPh sb="123" eb="124">
      <t>ダ</t>
    </rPh>
    <phoneticPr fontId="1"/>
  </si>
  <si>
    <t>de（下へ, 反対）+struere（積み上げる, 築く）
destruere（解体する, 破壊する）</t>
    <rPh sb="40" eb="42">
      <t>カイタイ</t>
    </rPh>
    <rPh sb="46" eb="48">
      <t>ハカイ</t>
    </rPh>
    <phoneticPr fontId="1"/>
  </si>
  <si>
    <t>destruereの過去分詞destructusから
*destrugere</t>
    <rPh sb="10" eb="14">
      <t>カコブンシ</t>
    </rPh>
    <phoneticPr fontId="1"/>
  </si>
  <si>
    <t>destruire（破壊する）</t>
    <phoneticPr fontId="1"/>
  </si>
  <si>
    <t>destroien
&lt;span class="spacer"&gt;&lt;/span&gt;1200年頃
打ち倒す
&lt;span class="spacer"&gt;&lt;/span&gt;1300年頃
建物を解体する
無に帰す, 終わらせる
滅ぼす</t>
    <rPh sb="42" eb="44">
      <t>ネンゴロ</t>
    </rPh>
    <rPh sb="85" eb="87">
      <t>タテモノ</t>
    </rPh>
    <rPh sb="93" eb="94">
      <t>ム</t>
    </rPh>
    <rPh sb="95" eb="96">
      <t>キ</t>
    </rPh>
    <rPh sb="99" eb="100">
      <t>オ</t>
    </rPh>
    <rPh sb="105" eb="106">
      <t>ホロ</t>
    </rPh>
    <phoneticPr fontId="1"/>
  </si>
  <si>
    <t>prae（前もって）+servare（守る, 安全に保つ）
praeservare（前もって守る, 予防的に守る）</t>
    <rPh sb="19" eb="20">
      <t>マモ</t>
    </rPh>
    <rPh sb="42" eb="43">
      <t>マエ</t>
    </rPh>
    <rPh sb="46" eb="47">
      <t>マモ</t>
    </rPh>
    <rPh sb="50" eb="53">
      <t>ヨボウテキ</t>
    </rPh>
    <rPh sb="54" eb="55">
      <t>マモ</t>
    </rPh>
    <phoneticPr fontId="1"/>
  </si>
  <si>
    <t>preservare（保つ, 保存する）</t>
    <phoneticPr fontId="1"/>
  </si>
  <si>
    <t>preserver（害から守る, 保存する）</t>
    <phoneticPr fontId="1"/>
  </si>
  <si>
    <t>preservare</t>
  </si>
  <si>
    <t xml:space="preserve">preserven
&lt;span class="spacer"&gt;&lt;/span&gt;14世紀後期
害から守る, 安全に保つ
何かが起こらないように行動する
&lt;span class="spacer"&gt;&lt;/span&gt;15世紀初期
一定の状態や条件を維持する
</t>
    <rPh sb="40" eb="42">
      <t>セイキ</t>
    </rPh>
    <rPh sb="42" eb="44">
      <t>コウキ</t>
    </rPh>
    <rPh sb="52" eb="54">
      <t>アンゼン</t>
    </rPh>
    <rPh sb="55" eb="56">
      <t>タモツ</t>
    </rPh>
    <rPh sb="58" eb="59">
      <t>ナニ</t>
    </rPh>
    <rPh sb="61" eb="62">
      <t>オ</t>
    </rPh>
    <rPh sb="69" eb="71">
      <t>コウドウ</t>
    </rPh>
    <rPh sb="104" eb="106">
      <t>セイキ</t>
    </rPh>
    <rPh sb="106" eb="108">
      <t>ショキ</t>
    </rPh>
    <rPh sb="109" eb="111">
      <t>イッテイ</t>
    </rPh>
    <rPh sb="112" eb="114">
      <t>ジョウタイ</t>
    </rPh>
    <rPh sb="115" eb="117">
      <t>ジョウケン</t>
    </rPh>
    <rPh sb="118" eb="120">
      <t>イジ</t>
    </rPh>
    <phoneticPr fontId="1"/>
  </si>
  <si>
    <t>1570年代
果物などの腐敗を防いで保存する
&lt;span class="spacer"&gt;&lt;/span&gt;1610年代
生き物などを保護する</t>
    <rPh sb="4" eb="6">
      <t>ネンダイ</t>
    </rPh>
    <rPh sb="7" eb="9">
      <t>クダモノ</t>
    </rPh>
    <rPh sb="12" eb="14">
      <t>フハイ</t>
    </rPh>
    <rPh sb="15" eb="16">
      <t>フセ</t>
    </rPh>
    <rPh sb="18" eb="20">
      <t>ホゾン</t>
    </rPh>
    <rPh sb="55" eb="57">
      <t>ネンダイ</t>
    </rPh>
    <rPh sb="58" eb="59">
      <t>イ</t>
    </rPh>
    <rPh sb="60" eb="61">
      <t>モノ</t>
    </rPh>
    <rPh sb="64" eb="66">
      <t>ホゴ</t>
    </rPh>
    <phoneticPr fontId="1"/>
  </si>
  <si>
    <t>organon（道具, 器具, 感覚器官, 体の器官）</t>
    <rPh sb="8" eb="10">
      <t>ドウグ</t>
    </rPh>
    <rPh sb="12" eb="14">
      <t>キグ</t>
    </rPh>
    <rPh sb="16" eb="18">
      <t>カンカク</t>
    </rPh>
    <rPh sb="18" eb="20">
      <t>キカン</t>
    </rPh>
    <rPh sb="22" eb="23">
      <t>カラダ</t>
    </rPh>
    <rPh sb="24" eb="26">
      <t>キカン</t>
    </rPh>
    <phoneticPr fontId="1"/>
  </si>
  <si>
    <t>organum（道具, 器官, 楽器）</t>
    <rPh sb="8" eb="10">
      <t>ドウグ</t>
    </rPh>
    <rPh sb="12" eb="14">
      <t>キカン</t>
    </rPh>
    <rPh sb="16" eb="18">
      <t>ガッキ</t>
    </rPh>
    <phoneticPr fontId="1"/>
  </si>
  <si>
    <t>organum+izare（動詞化）
organizare（器官を与える, 構造化する）</t>
    <rPh sb="14" eb="17">
      <t>ドウシカ</t>
    </rPh>
    <rPh sb="30" eb="32">
      <t>キカン</t>
    </rPh>
    <rPh sb="33" eb="34">
      <t>アタ</t>
    </rPh>
    <rPh sb="38" eb="41">
      <t>コウゾウカ</t>
    </rPh>
    <phoneticPr fontId="1"/>
  </si>
  <si>
    <t>organiser（器官を備えさせる, 組織化する）</t>
    <rPh sb="10" eb="12">
      <t>キカン</t>
    </rPh>
    <rPh sb="13" eb="14">
      <t>ソナ</t>
    </rPh>
    <rPh sb="20" eb="23">
      <t>ソシキカ</t>
    </rPh>
    <phoneticPr fontId="1"/>
  </si>
  <si>
    <t xml:space="preserve">organisen
&lt;span class="spacer"&gt;&lt;/span&gt;1400年頃
医学用語で、器官を備えさせる
</t>
    <rPh sb="42" eb="43">
      <t>ネン</t>
    </rPh>
    <rPh sb="43" eb="44">
      <t>コロ</t>
    </rPh>
    <rPh sb="45" eb="49">
      <t>イガクヨウゴ</t>
    </rPh>
    <rPh sb="51" eb="53">
      <t>キカン</t>
    </rPh>
    <rPh sb="54" eb="55">
      <t>ソナ</t>
    </rPh>
    <phoneticPr fontId="1"/>
  </si>
  <si>
    <t>*wer-（覆う）</t>
    <rPh sb="6" eb="7">
      <t>オオ</t>
    </rPh>
    <phoneticPr fontId="1"/>
  </si>
  <si>
    <t>warnen</t>
    <phoneticPr fontId="1"/>
  </si>
  <si>
    <t>directusが動詞になって
*directiare（まっすぐにする）
&lt;span class="spacer"&gt;&lt;/span&gt;ad（～へ）+*directiare
*addirectiare（～へ向けてまっすぐにする）</t>
    <rPh sb="9" eb="11">
      <t>ドウシ</t>
    </rPh>
    <rPh sb="100" eb="101">
      <t>ム</t>
    </rPh>
    <phoneticPr fontId="1"/>
  </si>
  <si>
    <t>adrecier（まっすぐ進む, 正す, 方向を定める）</t>
    <rPh sb="13" eb="14">
      <t>スス</t>
    </rPh>
    <rPh sb="17" eb="18">
      <t>タダ</t>
    </rPh>
    <rPh sb="21" eb="23">
      <t>ホウコウ</t>
    </rPh>
    <rPh sb="24" eb="25">
      <t>サダ</t>
    </rPh>
    <phoneticPr fontId="1"/>
  </si>
  <si>
    <t>意味が増えて
operari（作用する, 活動する）
&lt;span class="spacer"&gt;&lt;/span&gt;過去分詞operatus（働いた, 作用した）</t>
    <rPh sb="0" eb="2">
      <t>イミ</t>
    </rPh>
    <rPh sb="3" eb="4">
      <t>フ</t>
    </rPh>
    <rPh sb="15" eb="17">
      <t>サヨウ</t>
    </rPh>
    <rPh sb="21" eb="23">
      <t>カツドウ</t>
    </rPh>
    <rPh sb="55" eb="59">
      <t>カコブンシ</t>
    </rPh>
    <rPh sb="73" eb="75">
      <t>サヨウ</t>
    </rPh>
    <phoneticPr fontId="1"/>
  </si>
  <si>
    <t>1600年頃
効力を持つ, 作用する, 働く
&lt;span class="spacer"&gt;&lt;/span&gt;1799年から
外科手術を行う
&lt;span class="spacer"&gt;&lt;/span&gt;1864年から
機械を操作する</t>
    <rPh sb="4" eb="5">
      <t>ネン</t>
    </rPh>
    <rPh sb="5" eb="6">
      <t>コロ</t>
    </rPh>
    <rPh sb="7" eb="9">
      <t>コウリョク</t>
    </rPh>
    <rPh sb="10" eb="11">
      <t>モ</t>
    </rPh>
    <phoneticPr fontId="1"/>
  </si>
  <si>
    <t>pars（部分, パート）
&lt;span class="spacer"&gt;&lt;/span&gt;動詞になって
partire（分ける）
&lt;span class="spacer"&gt;&lt;/span&gt;過去分詞parti（分けられた部分）
&lt;span class="spacer"&gt;&lt;/span&gt;parti+capere（取る）
particeps（分け前を受け取る者）
&lt;span class="spacer"&gt;&lt;/span&gt;動詞になって
participare（部分を取る, 分け合う, 参加する）
&lt;span class="spacer"&gt;&lt;/span&gt;過去分詞participatus（参加した, 共有した）</t>
    <rPh sb="42" eb="44">
      <t>ドウシ</t>
    </rPh>
    <rPh sb="57" eb="58">
      <t>ワ</t>
    </rPh>
    <rPh sb="90" eb="94">
      <t>カコブンシ</t>
    </rPh>
    <rPh sb="100" eb="101">
      <t>ワ</t>
    </rPh>
    <rPh sb="105" eb="107">
      <t>ブブン</t>
    </rPh>
    <rPh sb="150" eb="151">
      <t>ト</t>
    </rPh>
    <rPh sb="164" eb="165">
      <t>ワ</t>
    </rPh>
    <rPh sb="166" eb="167">
      <t>マエ</t>
    </rPh>
    <rPh sb="168" eb="169">
      <t>ウ</t>
    </rPh>
    <rPh sb="170" eb="171">
      <t>ト</t>
    </rPh>
    <rPh sb="172" eb="173">
      <t>モノ</t>
    </rPh>
    <rPh sb="222" eb="224">
      <t>ブブン</t>
    </rPh>
    <rPh sb="225" eb="226">
      <t>ト</t>
    </rPh>
    <rPh sb="229" eb="230">
      <t>ワ</t>
    </rPh>
    <rPh sb="231" eb="232">
      <t>ア</t>
    </rPh>
    <rPh sb="235" eb="237">
      <t>サンカ</t>
    </rPh>
    <rPh sb="269" eb="273">
      <t>カコブンシ</t>
    </rPh>
    <rPh sb="286" eb="288">
      <t>サンカ</t>
    </rPh>
    <rPh sb="292" eb="294">
      <t>キョウユウ</t>
    </rPh>
    <phoneticPr fontId="1"/>
  </si>
  <si>
    <t>1530年代
参加する, 分かち合う</t>
    <rPh sb="4" eb="6">
      <t>ネンダイ</t>
    </rPh>
    <rPh sb="7" eb="9">
      <t>サンカ</t>
    </rPh>
    <rPh sb="13" eb="14">
      <t>ワ</t>
    </rPh>
    <rPh sb="16" eb="17">
      <t>ア</t>
    </rPh>
    <phoneticPr fontId="1"/>
  </si>
  <si>
    <t>round（円, 丸）と関連させて覚える。</t>
    <rPh sb="12" eb="14">
      <t>カンレン</t>
    </rPh>
    <rPh sb="17" eb="18">
      <t>オボ</t>
    </rPh>
    <phoneticPr fontId="1"/>
  </si>
  <si>
    <t>unda（波）
&lt;span class="spacer"&gt;&lt;/span&gt;動詞になって
undare（波打つ, 流れる）
&lt;span class="spacer"&gt;&lt;/span&gt;super（上に）+undare（波打つ, 流れる）
superundare（あふれ出る, 氾濫する）</t>
    <rPh sb="5" eb="6">
      <t>ナミ</t>
    </rPh>
    <rPh sb="36" eb="38">
      <t>ドウシ</t>
    </rPh>
    <rPh sb="50" eb="52">
      <t>ナミウ</t>
    </rPh>
    <rPh sb="55" eb="56">
      <t>ナガ</t>
    </rPh>
    <rPh sb="94" eb="95">
      <t>ウエ</t>
    </rPh>
    <rPh sb="130" eb="131">
      <t>デ</t>
    </rPh>
    <rPh sb="134" eb="136">
      <t>ハンラン</t>
    </rPh>
    <phoneticPr fontId="1"/>
  </si>
  <si>
    <t>suronder（あふれる）</t>
    <phoneticPr fontId="1"/>
  </si>
  <si>
    <t>surounder</t>
  </si>
  <si>
    <t>surrounden
&lt;span class="obsolete"&gt;水などがあふれる（現在は廃用）&lt;/span&gt;</t>
    <phoneticPr fontId="1"/>
  </si>
  <si>
    <t>round（円, 丸）と音が似ていることから以下の意味へと変化
&lt;span class="spacer"&gt;&lt;/span&gt;1610年代
四方を取り囲む, 包囲する, 完全に取り囲む
&lt;span class="spacer"&gt;&lt;/span&gt;1680年代
周囲を取り巻く</t>
    <rPh sb="6" eb="7">
      <t>エン</t>
    </rPh>
    <rPh sb="9" eb="10">
      <t>マル</t>
    </rPh>
    <rPh sb="12" eb="13">
      <t>オト</t>
    </rPh>
    <rPh sb="14" eb="15">
      <t>ニ</t>
    </rPh>
    <rPh sb="22" eb="24">
      <t>イカ</t>
    </rPh>
    <rPh sb="25" eb="27">
      <t>イミ</t>
    </rPh>
    <rPh sb="29" eb="31">
      <t>ヘンカ</t>
    </rPh>
    <rPh sb="64" eb="66">
      <t>ネンダイ</t>
    </rPh>
    <rPh sb="67" eb="69">
      <t>シホウ</t>
    </rPh>
    <rPh sb="70" eb="71">
      <t>ト</t>
    </rPh>
    <rPh sb="72" eb="73">
      <t>カコ</t>
    </rPh>
    <rPh sb="76" eb="78">
      <t>ホウイ</t>
    </rPh>
    <rPh sb="82" eb="84">
      <t>カンゼン</t>
    </rPh>
    <rPh sb="85" eb="86">
      <t>ト</t>
    </rPh>
    <rPh sb="87" eb="88">
      <t>カコ</t>
    </rPh>
    <rPh sb="122" eb="124">
      <t>ネンダイ</t>
    </rPh>
    <rPh sb="125" eb="127">
      <t>シュウイ</t>
    </rPh>
    <rPh sb="128" eb="129">
      <t>ト</t>
    </rPh>
    <rPh sb="130" eb="131">
      <t>マ</t>
    </rPh>
    <phoneticPr fontId="1"/>
  </si>
  <si>
    <t>もとになった印欧祖語から意味の変化はほとんどないので、関連語と一緒に覚える。</t>
    <rPh sb="12" eb="14">
      <t>イミ</t>
    </rPh>
    <rPh sb="15" eb="17">
      <t>ヘンカ</t>
    </rPh>
    <rPh sb="27" eb="30">
      <t>カンレンゴ</t>
    </rPh>
    <rPh sb="31" eb="33">
      <t>イッショ</t>
    </rPh>
    <rPh sb="34" eb="35">
      <t>オボ</t>
    </rPh>
    <phoneticPr fontId="1"/>
  </si>
  <si>
    <t>*pleu-（流れる, 流動する）</t>
    <rPh sb="7" eb="8">
      <t>ナガ</t>
    </rPh>
    <rPh sb="12" eb="14">
      <t>リュウドウ</t>
    </rPh>
    <phoneticPr fontId="1"/>
  </si>
  <si>
    <t>borian（円形の穴をあける）</t>
    <rPh sb="7" eb="9">
      <t>エンケイ</t>
    </rPh>
    <rPh sb="10" eb="11">
      <t>アナ</t>
    </rPh>
    <phoneticPr fontId="1"/>
  </si>
  <si>
    <t>1766年
退屈な状態（名詞）
退屈なことをする（動詞）
&lt;span class="spacer"&gt;&lt;/span&gt;1840年までに
退屈させる</t>
    <rPh sb="4" eb="5">
      <t>ネン</t>
    </rPh>
    <rPh sb="6" eb="8">
      <t>タイクツ</t>
    </rPh>
    <rPh sb="9" eb="11">
      <t>ジョウタイ</t>
    </rPh>
    <rPh sb="12" eb="14">
      <t>メイシ</t>
    </rPh>
    <rPh sb="16" eb="18">
      <t>タイクツ</t>
    </rPh>
    <rPh sb="25" eb="27">
      <t>ドウシ</t>
    </rPh>
    <rPh sb="61" eb="62">
      <t>ネン</t>
    </rPh>
    <rPh sb="66" eb="68">
      <t>タイクツ</t>
    </rPh>
    <phoneticPr fontId="1"/>
  </si>
  <si>
    <t>com（強意）+plangere（打つ, 胸を打つ）</t>
    <rPh sb="4" eb="6">
      <t>キョウイ</t>
    </rPh>
    <rPh sb="21" eb="22">
      <t>ムネ</t>
    </rPh>
    <rPh sb="23" eb="24">
      <t>ウ</t>
    </rPh>
    <phoneticPr fontId="1"/>
  </si>
  <si>
    <t>*complangere（胸を打つ）</t>
    <rPh sb="13" eb="14">
      <t>ムネ</t>
    </rPh>
    <rPh sb="15" eb="16">
      <t>ウ</t>
    </rPh>
    <phoneticPr fontId="1"/>
  </si>
  <si>
    <t>complaindre（嘆く, 悲しむ）</t>
    <rPh sb="12" eb="13">
      <t>ナゲ</t>
    </rPh>
    <rPh sb="16" eb="17">
      <t>カナ</t>
    </rPh>
    <phoneticPr fontId="1"/>
  </si>
  <si>
    <t>compleinen
&lt;span class="spacer"&gt;&lt;/span&gt;14世紀後期
嘆く, 悲しむ
不満を表明する
権威に対して正式な訴えを行う</t>
    <rPh sb="41" eb="43">
      <t>セイキ</t>
    </rPh>
    <rPh sb="43" eb="45">
      <t>コウキ</t>
    </rPh>
    <rPh sb="46" eb="47">
      <t>ナゲ</t>
    </rPh>
    <rPh sb="50" eb="51">
      <t>カナ</t>
    </rPh>
    <rPh sb="54" eb="56">
      <t>フマン</t>
    </rPh>
    <rPh sb="57" eb="59">
      <t>ヒョウメイ</t>
    </rPh>
    <rPh sb="62" eb="64">
      <t>ケンイ</t>
    </rPh>
    <rPh sb="65" eb="66">
      <t>タイ</t>
    </rPh>
    <rPh sb="68" eb="70">
      <t>セイシキ</t>
    </rPh>
    <rPh sb="71" eb="72">
      <t>ウッタ</t>
    </rPh>
    <rPh sb="74" eb="75">
      <t>オコナ</t>
    </rPh>
    <phoneticPr fontId="1"/>
  </si>
  <si>
    <t>*ghos-ti-（よそ者, 客, 主人）+*poti-（力ある者, 主）
*ghos-pot-（客の主）</t>
    <rPh sb="12" eb="13">
      <t>モノ</t>
    </rPh>
    <rPh sb="15" eb="16">
      <t>キャク</t>
    </rPh>
    <rPh sb="18" eb="20">
      <t>シュジン</t>
    </rPh>
    <rPh sb="29" eb="30">
      <t>チカラ</t>
    </rPh>
    <rPh sb="32" eb="33">
      <t>モノ</t>
    </rPh>
    <rPh sb="49" eb="50">
      <t>キャク</t>
    </rPh>
    <rPh sb="51" eb="52">
      <t>シュ</t>
    </rPh>
    <phoneticPr fontId="1"/>
  </si>
  <si>
    <t>hospes（客, 見知らぬ者, 訪問者）</t>
    <rPh sb="7" eb="8">
      <t>キャク</t>
    </rPh>
    <rPh sb="10" eb="12">
      <t>ミシ</t>
    </rPh>
    <rPh sb="14" eb="15">
      <t>モノ</t>
    </rPh>
    <rPh sb="17" eb="20">
      <t>ホウモンシャ</t>
    </rPh>
    <phoneticPr fontId="1"/>
  </si>
  <si>
    <t>hoste（客, 主人, 宿屋の主人）</t>
    <rPh sb="6" eb="7">
      <t>キャク</t>
    </rPh>
    <rPh sb="9" eb="11">
      <t>シュジン</t>
    </rPh>
    <rPh sb="13" eb="15">
      <t>ヤドヤ</t>
    </rPh>
    <rPh sb="16" eb="18">
      <t>シュジン</t>
    </rPh>
    <phoneticPr fontId="1"/>
  </si>
  <si>
    <t>13世紀後期
客を迎える人
報酬を得て客を迎える人
&lt;span class="spacer"&gt;&lt;/span&gt;15世紀初頭
主人として務める
もてなす</t>
    <rPh sb="2" eb="4">
      <t>セイキ</t>
    </rPh>
    <rPh sb="4" eb="6">
      <t>コウキ</t>
    </rPh>
    <rPh sb="7" eb="8">
      <t>キャク</t>
    </rPh>
    <rPh sb="9" eb="10">
      <t>ムカ</t>
    </rPh>
    <rPh sb="12" eb="13">
      <t>ヒト</t>
    </rPh>
    <rPh sb="14" eb="16">
      <t>ホウシュウ</t>
    </rPh>
    <rPh sb="17" eb="18">
      <t>エ</t>
    </rPh>
    <rPh sb="19" eb="20">
      <t>キャク</t>
    </rPh>
    <rPh sb="21" eb="22">
      <t>ムカ</t>
    </rPh>
    <rPh sb="24" eb="25">
      <t>ヒト</t>
    </rPh>
    <rPh sb="58" eb="60">
      <t>ショトウ</t>
    </rPh>
    <rPh sb="61" eb="63">
      <t>シュジン</t>
    </rPh>
    <rPh sb="66" eb="67">
      <t>ツト</t>
    </rPh>
    <phoneticPr fontId="1"/>
  </si>
  <si>
    <t>com（共に）+bini（2つずつ）
combinare（2つを共にする, 結びつける）</t>
    <rPh sb="4" eb="5">
      <t>トモ</t>
    </rPh>
    <rPh sb="32" eb="33">
      <t>トモ</t>
    </rPh>
    <rPh sb="38" eb="39">
      <t>ムス</t>
    </rPh>
    <phoneticPr fontId="1"/>
  </si>
  <si>
    <t>combinare（2つを共にする, 結びつける）</t>
    <phoneticPr fontId="1"/>
  </si>
  <si>
    <t>combiner（結合する, 結びつける）</t>
    <rPh sb="9" eb="11">
      <t>ケツゴウ</t>
    </rPh>
    <rPh sb="15" eb="16">
      <t>ムス</t>
    </rPh>
    <phoneticPr fontId="1"/>
  </si>
  <si>
    <t>15世紀初頭
結びつける
2つのものをひとつにする</t>
    <rPh sb="2" eb="4">
      <t>セイキ</t>
    </rPh>
    <rPh sb="4" eb="6">
      <t>ショトウ</t>
    </rPh>
    <rPh sb="7" eb="8">
      <t>ムス</t>
    </rPh>
    <phoneticPr fontId="1"/>
  </si>
  <si>
    <t>1712年から
結合する, 合体する</t>
    <rPh sb="4" eb="5">
      <t>ネン</t>
    </rPh>
    <rPh sb="8" eb="10">
      <t>ケツゴウ</t>
    </rPh>
    <rPh sb="14" eb="16">
      <t>ガッタイ</t>
    </rPh>
    <phoneticPr fontId="1"/>
  </si>
  <si>
    <t>ex（外に）+tendere（伸ばす）
extendere（外に伸ばす, 広げる）</t>
    <rPh sb="3" eb="4">
      <t>ソト</t>
    </rPh>
    <rPh sb="15" eb="16">
      <t>ノ</t>
    </rPh>
    <rPh sb="30" eb="31">
      <t>ソト</t>
    </rPh>
    <rPh sb="32" eb="33">
      <t>ノ</t>
    </rPh>
    <rPh sb="37" eb="38">
      <t>ヒロ</t>
    </rPh>
    <phoneticPr fontId="1"/>
  </si>
  <si>
    <t>estendre（伸ばす, 広げる）</t>
    <rPh sb="9" eb="10">
      <t>ノ</t>
    </rPh>
    <rPh sb="14" eb="15">
      <t>ヒロ</t>
    </rPh>
    <phoneticPr fontId="1"/>
  </si>
  <si>
    <t>13世紀後期
estendre</t>
    <rPh sb="2" eb="6">
      <t>セイキコウキ</t>
    </rPh>
    <phoneticPr fontId="1"/>
  </si>
  <si>
    <t>14世紀初頭
&lt;span class="obsolete"&gt;評価する（現在は廃用）&lt;/span&gt;
&lt;span class="spacer"&gt;&lt;/span&gt;14世紀後期
時間的に伸ばす
まっすぐに伸ばす</t>
    <rPh sb="2" eb="4">
      <t>セイキ</t>
    </rPh>
    <rPh sb="4" eb="6">
      <t>ショトウ</t>
    </rPh>
    <rPh sb="30" eb="32">
      <t>ヒョウカ</t>
    </rPh>
    <rPh sb="79" eb="81">
      <t>セイキ</t>
    </rPh>
    <rPh sb="81" eb="83">
      <t>コウキ</t>
    </rPh>
    <rPh sb="84" eb="87">
      <t>ジカンテキ</t>
    </rPh>
    <rPh sb="88" eb="89">
      <t>ノ</t>
    </rPh>
    <rPh sb="97" eb="98">
      <t>ノ</t>
    </rPh>
    <phoneticPr fontId="1"/>
  </si>
  <si>
    <t>1753年
膨張する, 張り出す</t>
    <rPh sb="4" eb="5">
      <t>ネン</t>
    </rPh>
    <rPh sb="6" eb="8">
      <t>ボウチョウ</t>
    </rPh>
    <rPh sb="12" eb="13">
      <t>ハ</t>
    </rPh>
    <rPh sb="14" eb="15">
      <t>ダ</t>
    </rPh>
    <phoneticPr fontId="1"/>
  </si>
  <si>
    <t>ad（～へ）+pretium（価格）</t>
    <rPh sb="15" eb="17">
      <t>カカク</t>
    </rPh>
    <phoneticPr fontId="1"/>
  </si>
  <si>
    <t>appretiare（価格を定める）
&lt;span class="spacer"&gt;&lt;/span&gt;過去分詞appretiatus</t>
    <rPh sb="11" eb="13">
      <t>カカク</t>
    </rPh>
    <rPh sb="14" eb="15">
      <t>サダ</t>
    </rPh>
    <rPh sb="47" eb="51">
      <t>カコブンシ</t>
    </rPh>
    <phoneticPr fontId="1"/>
  </si>
  <si>
    <t>1650年代
高く評価する
&lt;span class="spacer"&gt;&lt;/span&gt;1833年から
正しく理解する
十分に意識する</t>
    <rPh sb="4" eb="6">
      <t>ネンダイ</t>
    </rPh>
    <rPh sb="7" eb="8">
      <t>タカ</t>
    </rPh>
    <rPh sb="9" eb="11">
      <t>ヒョウカ</t>
    </rPh>
    <rPh sb="46" eb="47">
      <t>ネン</t>
    </rPh>
    <rPh sb="50" eb="51">
      <t>タダ</t>
    </rPh>
    <rPh sb="53" eb="55">
      <t>リカイ</t>
    </rPh>
    <rPh sb="58" eb="60">
      <t>ジュウブン</t>
    </rPh>
    <rPh sb="61" eb="63">
      <t>イシキ</t>
    </rPh>
    <phoneticPr fontId="1"/>
  </si>
  <si>
    <t>targe（盾）</t>
    <rPh sb="6" eb="7">
      <t>タテ</t>
    </rPh>
    <phoneticPr fontId="1"/>
  </si>
  <si>
    <t>targete（軽い盾）</t>
    <rPh sb="8" eb="9">
      <t>カル</t>
    </rPh>
    <rPh sb="10" eb="11">
      <t>タテ</t>
    </rPh>
    <phoneticPr fontId="1"/>
  </si>
  <si>
    <t>1300年頃
軽い盾</t>
    <rPh sb="4" eb="6">
      <t>ネンゴロ</t>
    </rPh>
    <rPh sb="7" eb="8">
      <t>カル</t>
    </rPh>
    <rPh sb="9" eb="10">
      <t>タテ</t>
    </rPh>
    <phoneticPr fontId="1"/>
  </si>
  <si>
    <t>1757年
射撃で狙う円形の物体
比喩的に、注意や攻撃の対象</t>
    <rPh sb="4" eb="5">
      <t>ネン</t>
    </rPh>
    <rPh sb="6" eb="8">
      <t>シャゲキ</t>
    </rPh>
    <rPh sb="9" eb="10">
      <t>ネラ</t>
    </rPh>
    <rPh sb="11" eb="13">
      <t>エンケイ</t>
    </rPh>
    <rPh sb="14" eb="16">
      <t>ブッタイ</t>
    </rPh>
    <rPh sb="17" eb="20">
      <t>ヒユテキ</t>
    </rPh>
    <rPh sb="22" eb="24">
      <t>チュウイ</t>
    </rPh>
    <rPh sb="25" eb="27">
      <t>コウゲキ</t>
    </rPh>
    <rPh sb="28" eb="30">
      <t>タイショウ</t>
    </rPh>
    <phoneticPr fontId="1"/>
  </si>
  <si>
    <t>elementum（初歩, 第一原理, 基本原理）</t>
    <rPh sb="10" eb="12">
      <t>ショホ</t>
    </rPh>
    <rPh sb="14" eb="18">
      <t>ダイイチゲンリ</t>
    </rPh>
    <rPh sb="20" eb="24">
      <t>キホンゲンリ</t>
    </rPh>
    <phoneticPr fontId="1"/>
  </si>
  <si>
    <t>element</t>
    <phoneticPr fontId="1"/>
  </si>
  <si>
    <t>1300年頃
地・空気・火・水
古代において万物の構成要素と考えられていた4つのもの
&lt;span class="spacer"&gt;&lt;/span&gt;14世紀後期
複合物を構成する要素</t>
    <rPh sb="4" eb="6">
      <t>ネンゴロ</t>
    </rPh>
    <rPh sb="7" eb="8">
      <t>チ</t>
    </rPh>
    <rPh sb="9" eb="11">
      <t>クウキ</t>
    </rPh>
    <rPh sb="12" eb="13">
      <t>ヒ</t>
    </rPh>
    <rPh sb="14" eb="15">
      <t>ミズ</t>
    </rPh>
    <rPh sb="16" eb="18">
      <t>コダイ</t>
    </rPh>
    <rPh sb="22" eb="24">
      <t>バンブツ</t>
    </rPh>
    <rPh sb="25" eb="27">
      <t>コウセイ</t>
    </rPh>
    <rPh sb="27" eb="29">
      <t>ヨウソ</t>
    </rPh>
    <rPh sb="30" eb="31">
      <t>カンガ</t>
    </rPh>
    <rPh sb="73" eb="75">
      <t>セイキ</t>
    </rPh>
    <rPh sb="75" eb="77">
      <t>コウキ</t>
    </rPh>
    <rPh sb="78" eb="81">
      <t>フクゴウブツ</t>
    </rPh>
    <rPh sb="82" eb="84">
      <t>コウセイ</t>
    </rPh>
    <rPh sb="86" eb="88">
      <t>ヨウソ</t>
    </rPh>
    <phoneticPr fontId="1"/>
  </si>
  <si>
    <t>principe（起源, 原理）</t>
    <rPh sb="9" eb="11">
      <t>キゲン</t>
    </rPh>
    <rPh sb="13" eb="15">
      <t>ゲンリ</t>
    </rPh>
    <phoneticPr fontId="1"/>
  </si>
  <si>
    <t>14世紀後期
起源, 行為の規範, 基本前提</t>
    <rPh sb="2" eb="6">
      <t>セイキコウキ</t>
    </rPh>
    <rPh sb="7" eb="9">
      <t>キゲン</t>
    </rPh>
    <rPh sb="11" eb="13">
      <t>コウイ</t>
    </rPh>
    <rPh sb="14" eb="16">
      <t>キハン</t>
    </rPh>
    <rPh sb="18" eb="22">
      <t>キホンゼンテイ</t>
    </rPh>
    <phoneticPr fontId="1"/>
  </si>
  <si>
    <t>1530年代
体系の根本的な信条
物事が基づく原理や原則
&lt;span class="spacer"&gt;&lt;/span&gt;1802年
自然の一般法則</t>
    <phoneticPr fontId="1"/>
  </si>
  <si>
    <t>phainein（明らかにする, 出現させる）
&lt;span class="spacer"&gt;&lt;/span&gt;受動形phainesthai
&lt;span class="spacer"&gt;&lt;/span&gt;現在分詞phainomenon（現れるもの, 見えるもの）</t>
    <phoneticPr fontId="1"/>
  </si>
  <si>
    <t>phænomenon（観察される事実, 現象）</t>
    <rPh sb="11" eb="13">
      <t>カンサツ</t>
    </rPh>
    <rPh sb="16" eb="18">
      <t>ジジツ</t>
    </rPh>
    <rPh sb="20" eb="22">
      <t>ゲンショウ</t>
    </rPh>
    <phoneticPr fontId="1"/>
  </si>
  <si>
    <t>1570年代
直接観察される事実
現れて知覚させること
&lt;span class="spacer"&gt;&lt;/span&gt;1788年
現象</t>
    <rPh sb="4" eb="6">
      <t>ネンダイ</t>
    </rPh>
    <rPh sb="7" eb="9">
      <t>チョクセツ</t>
    </rPh>
    <rPh sb="9" eb="11">
      <t>カンサツ</t>
    </rPh>
    <rPh sb="14" eb="16">
      <t>ジジツ</t>
    </rPh>
    <rPh sb="17" eb="18">
      <t>アラワ</t>
    </rPh>
    <rPh sb="20" eb="22">
      <t>チカク</t>
    </rPh>
    <rPh sb="60" eb="61">
      <t>ネン</t>
    </rPh>
    <rPh sb="62" eb="64">
      <t>ゲンショウ</t>
    </rPh>
    <phoneticPr fontId="1"/>
  </si>
  <si>
    <t>atmosphaera（蒸気の球体）</t>
    <rPh sb="12" eb="14">
      <t>ジョウキ</t>
    </rPh>
    <rPh sb="15" eb="17">
      <t>キュウタイ</t>
    </rPh>
    <phoneticPr fontId="1"/>
  </si>
  <si>
    <t>atmosphaera
&lt;span class="spacer"&gt;&lt;/span&gt;1630年代
地球を取り巻く気体の層
大気
&lt;span class="spacer"&gt;&lt;/span&gt;1800年頃から
特定の場所に漂う空気
比喩的に、雰囲気</t>
    <rPh sb="44" eb="46">
      <t>ネンダイ</t>
    </rPh>
    <rPh sb="47" eb="49">
      <t>チキュウ</t>
    </rPh>
    <rPh sb="50" eb="51">
      <t>ト</t>
    </rPh>
    <rPh sb="52" eb="53">
      <t>マ</t>
    </rPh>
    <rPh sb="54" eb="56">
      <t>キタイ</t>
    </rPh>
    <rPh sb="57" eb="58">
      <t>ソウ</t>
    </rPh>
    <rPh sb="59" eb="61">
      <t>タイキ</t>
    </rPh>
    <rPh sb="95" eb="96">
      <t>コロ</t>
    </rPh>
    <rPh sb="99" eb="101">
      <t>トクテイ</t>
    </rPh>
    <rPh sb="102" eb="104">
      <t>バショ</t>
    </rPh>
    <rPh sb="105" eb="106">
      <t>タダヨ</t>
    </rPh>
    <rPh sb="107" eb="109">
      <t>クウキ</t>
    </rPh>
    <rPh sb="110" eb="113">
      <t>ヒユテキ</t>
    </rPh>
    <rPh sb="115" eb="118">
      <t>フンイキ</t>
    </rPh>
    <phoneticPr fontId="1"/>
  </si>
  <si>
    <t>oriri（起き上がる, 昇る, 始まる）
&lt;span class="spacer"&gt;&lt;/span&gt;名詞になって
origo（立ち上がり, 始まり, 源）</t>
    <rPh sb="6" eb="7">
      <t>オ</t>
    </rPh>
    <rPh sb="8" eb="9">
      <t>ア</t>
    </rPh>
    <rPh sb="13" eb="14">
      <t>ノボ</t>
    </rPh>
    <rPh sb="17" eb="18">
      <t>ハジ</t>
    </rPh>
    <rPh sb="50" eb="52">
      <t>メイシ</t>
    </rPh>
    <rPh sb="63" eb="64">
      <t>タ</t>
    </rPh>
    <rPh sb="65" eb="66">
      <t>ア</t>
    </rPh>
    <rPh sb="70" eb="71">
      <t>ハジ</t>
    </rPh>
    <rPh sb="75" eb="76">
      <t>ミナモト</t>
    </rPh>
    <phoneticPr fontId="1"/>
  </si>
  <si>
    <t>中英語</t>
    <rPh sb="0" eb="1">
      <t>チュウ</t>
    </rPh>
    <rPh sb="1" eb="3">
      <t>エイゴ</t>
    </rPh>
    <phoneticPr fontId="1"/>
  </si>
  <si>
    <t>1400年頃
祖先</t>
    <rPh sb="4" eb="6">
      <t>ネンコロ</t>
    </rPh>
    <rPh sb="7" eb="9">
      <t>ソセン</t>
    </rPh>
    <phoneticPr fontId="1"/>
  </si>
  <si>
    <t>1560年代
存在の始まり
&lt;span class="spacer"&gt;&lt;/span&gt;1600年頃から
起源, 源</t>
    <rPh sb="47" eb="48">
      <t>コロ</t>
    </rPh>
    <rPh sb="51" eb="53">
      <t>キゲン</t>
    </rPh>
    <rPh sb="55" eb="56">
      <t>ミナモト</t>
    </rPh>
    <phoneticPr fontId="1"/>
  </si>
  <si>
    <t>persona（仮面, 役, 人物）
&lt;span class="spacer"&gt;&lt;/span&gt;形容詞を作る-alisが付いて
personalis（個人の）</t>
    <rPh sb="8" eb="10">
      <t>カメン</t>
    </rPh>
    <rPh sb="12" eb="13">
      <t>ヤク</t>
    </rPh>
    <rPh sb="15" eb="17">
      <t>ジンブツ</t>
    </rPh>
    <rPh sb="47" eb="50">
      <t>ケイヨウシ</t>
    </rPh>
    <rPh sb="51" eb="52">
      <t>ツク</t>
    </rPh>
    <rPh sb="59" eb="60">
      <t>ツ</t>
    </rPh>
    <rPh sb="74" eb="76">
      <t>コジン</t>
    </rPh>
    <phoneticPr fontId="1"/>
  </si>
  <si>
    <t>personalité</t>
    <phoneticPr fontId="1"/>
  </si>
  <si>
    <t>personalite
&lt;span class="spacer"&gt;&lt;/span&gt;14世紀後期
人であることの性質</t>
    <rPh sb="42" eb="44">
      <t>セイキ</t>
    </rPh>
    <rPh sb="44" eb="46">
      <t>コウキ</t>
    </rPh>
    <rPh sb="47" eb="48">
      <t>ヒト</t>
    </rPh>
    <rPh sb="54" eb="56">
      <t>セイシツ</t>
    </rPh>
    <phoneticPr fontId="1"/>
  </si>
  <si>
    <t>1795年までに
性格, 個性</t>
    <rPh sb="4" eb="5">
      <t>ネン</t>
    </rPh>
    <rPh sb="9" eb="11">
      <t>セイカク</t>
    </rPh>
    <rPh sb="13" eb="15">
      <t>コセイ</t>
    </rPh>
    <phoneticPr fontId="1"/>
  </si>
  <si>
    <t>capacité（収める能力）</t>
    <rPh sb="9" eb="10">
      <t>オサ</t>
    </rPh>
    <rPh sb="12" eb="14">
      <t>ノウリョク</t>
    </rPh>
    <phoneticPr fontId="1"/>
  </si>
  <si>
    <t>15世紀初頭
収容能力</t>
    <rPh sb="2" eb="4">
      <t>セイキ</t>
    </rPh>
    <rPh sb="4" eb="6">
      <t>ショトウ</t>
    </rPh>
    <rPh sb="7" eb="11">
      <t>シュウヨウノウリョク</t>
    </rPh>
    <phoneticPr fontId="1"/>
  </si>
  <si>
    <t>porfit（利益, 利得）</t>
    <rPh sb="7" eb="9">
      <t>リエキ</t>
    </rPh>
    <rPh sb="11" eb="13">
      <t>リトク</t>
    </rPh>
    <phoneticPr fontId="1"/>
  </si>
  <si>
    <t>13世紀半ば
取引などから生じる収入
&lt;span class="spacer"&gt;&lt;/span&gt;1300年頃
利益</t>
    <rPh sb="2" eb="4">
      <t>セイキ</t>
    </rPh>
    <rPh sb="4" eb="5">
      <t>ナカ</t>
    </rPh>
    <rPh sb="7" eb="9">
      <t>トリヒキ</t>
    </rPh>
    <rPh sb="13" eb="14">
      <t>ショウ</t>
    </rPh>
    <rPh sb="16" eb="18">
      <t>シュウニュウ</t>
    </rPh>
    <rPh sb="51" eb="53">
      <t>ネンコロ</t>
    </rPh>
    <rPh sb="54" eb="56">
      <t>リエキ</t>
    </rPh>
    <phoneticPr fontId="1"/>
  </si>
  <si>
    <t>1600年頃
事業における支出を超える取り分
収益</t>
    <rPh sb="4" eb="6">
      <t>ネンコロ</t>
    </rPh>
    <rPh sb="7" eb="9">
      <t>ジギョウ</t>
    </rPh>
    <rPh sb="13" eb="15">
      <t>シシュツ</t>
    </rPh>
    <rPh sb="16" eb="17">
      <t>コ</t>
    </rPh>
    <rPh sb="19" eb="20">
      <t>ト</t>
    </rPh>
    <rPh sb="21" eb="22">
      <t>ブン</t>
    </rPh>
    <rPh sb="23" eb="25">
      <t>シュウエキ</t>
    </rPh>
    <phoneticPr fontId="1"/>
  </si>
  <si>
    <t>circonstance（状況, 事情）</t>
    <rPh sb="13" eb="15">
      <t>ジョウキョウ</t>
    </rPh>
    <rPh sb="17" eb="19">
      <t>ジジョウ</t>
    </rPh>
    <phoneticPr fontId="1"/>
  </si>
  <si>
    <t>14世紀半ば
取り巻く環境, 周囲の状況</t>
    <rPh sb="2" eb="4">
      <t>セイキ</t>
    </rPh>
    <rPh sb="4" eb="5">
      <t>ナカ</t>
    </rPh>
    <rPh sb="7" eb="8">
      <t>ト</t>
    </rPh>
    <rPh sb="9" eb="10">
      <t>マ</t>
    </rPh>
    <rPh sb="11" eb="13">
      <t>カンキョウ</t>
    </rPh>
    <rPh sb="15" eb="17">
      <t>シュウイ</t>
    </rPh>
    <rPh sb="18" eb="20">
      <t>ジョウキョウ</t>
    </rPh>
    <phoneticPr fontId="1"/>
  </si>
  <si>
    <t>manus（手）
&lt;span class="spacer"&gt;&lt;/span&gt;形容詞を作る-ariusが付いて
manuarius（手に関する, 手作業の）</t>
    <rPh sb="6" eb="7">
      <t>テ</t>
    </rPh>
    <rPh sb="37" eb="40">
      <t>ケイヨウシ</t>
    </rPh>
    <rPh sb="41" eb="42">
      <t>ツク</t>
    </rPh>
    <rPh sb="50" eb="51">
      <t>ツ</t>
    </rPh>
    <rPh sb="64" eb="65">
      <t>テ</t>
    </rPh>
    <rPh sb="66" eb="67">
      <t>カン</t>
    </rPh>
    <rPh sb="71" eb="74">
      <t>テサギョウ</t>
    </rPh>
    <phoneticPr fontId="1"/>
  </si>
  <si>
    <t>*manaria（やり方, 扱い方）</t>
    <rPh sb="11" eb="12">
      <t>カタ</t>
    </rPh>
    <rPh sb="14" eb="15">
      <t>アツカ</t>
    </rPh>
    <rPh sb="16" eb="17">
      <t>カタ</t>
    </rPh>
    <phoneticPr fontId="1"/>
  </si>
  <si>
    <t>maniere（作法, 方法）</t>
    <rPh sb="8" eb="10">
      <t>サホウ</t>
    </rPh>
    <rPh sb="12" eb="14">
      <t>ホウホウ</t>
    </rPh>
    <phoneticPr fontId="1"/>
  </si>
  <si>
    <t>manere</t>
    <phoneticPr fontId="1"/>
  </si>
  <si>
    <t>manere
&lt;span class="spacer"&gt;&lt;/span&gt;1200年頃
様式
&lt;span class="spacer"&gt;&lt;/span&gt;1300年頃
物事のやり方, 方法
振る舞い方, 作法</t>
    <rPh sb="39" eb="41">
      <t>ネンコロ</t>
    </rPh>
    <rPh sb="42" eb="44">
      <t>ヨウシキ</t>
    </rPh>
    <rPh sb="80" eb="82">
      <t>モノゴト</t>
    </rPh>
    <rPh sb="85" eb="86">
      <t>カタ</t>
    </rPh>
    <rPh sb="88" eb="90">
      <t>ホウホウ</t>
    </rPh>
    <rPh sb="91" eb="92">
      <t>フ</t>
    </rPh>
    <rPh sb="93" eb="94">
      <t>マ</t>
    </rPh>
    <rPh sb="95" eb="96">
      <t>カタ</t>
    </rPh>
    <rPh sb="98" eb="100">
      <t>サホウ</t>
    </rPh>
    <phoneticPr fontId="1"/>
  </si>
  <si>
    <t>þreat
&lt;span class="obsolete"&gt;多数, 群衆（現在は廃用）&lt;/span&gt;
圧迫, 脅威</t>
    <rPh sb="29" eb="31">
      <t>タスウ</t>
    </rPh>
    <rPh sb="33" eb="35">
      <t>グンシュウ</t>
    </rPh>
    <rPh sb="54" eb="56">
      <t>キョウイ</t>
    </rPh>
    <phoneticPr fontId="1"/>
  </si>
  <si>
    <t>thret（言葉による脅威, 口頭での脅し）</t>
    <rPh sb="6" eb="8">
      <t>コトバ</t>
    </rPh>
    <rPh sb="11" eb="13">
      <t>キョウイ</t>
    </rPh>
    <rPh sb="15" eb="17">
      <t>コウトウ</t>
    </rPh>
    <rPh sb="19" eb="20">
      <t>オド</t>
    </rPh>
    <phoneticPr fontId="1"/>
  </si>
  <si>
    <t>re（再び）+sedere（座る）
residere（再び座る）
&lt;span class="spacer"&gt;&lt;/span&gt;現在分詞residentem（住んでいる者, 定住している者）</t>
    <rPh sb="3" eb="4">
      <t>フタタ</t>
    </rPh>
    <rPh sb="61" eb="63">
      <t>ゲンザイ</t>
    </rPh>
    <rPh sb="76" eb="77">
      <t>ス</t>
    </rPh>
    <rPh sb="81" eb="82">
      <t>モノ</t>
    </rPh>
    <rPh sb="84" eb="86">
      <t>テイジュウ</t>
    </rPh>
    <rPh sb="90" eb="91">
      <t>モノ</t>
    </rPh>
    <phoneticPr fontId="1"/>
  </si>
  <si>
    <t>14世紀後期
居住していること
&lt;span class="spacer"&gt;&lt;/span&gt;15世紀半ば
ある場所に相当な期間住んでいる人
居住者</t>
    <rPh sb="2" eb="4">
      <t>セイキ</t>
    </rPh>
    <rPh sb="4" eb="6">
      <t>コウキ</t>
    </rPh>
    <rPh sb="7" eb="9">
      <t>キョジュウ</t>
    </rPh>
    <rPh sb="46" eb="48">
      <t>セイキ</t>
    </rPh>
    <rPh sb="48" eb="49">
      <t>ナカ</t>
    </rPh>
    <rPh sb="53" eb="55">
      <t>バショ</t>
    </rPh>
    <rPh sb="56" eb="58">
      <t>ソウトウ</t>
    </rPh>
    <rPh sb="59" eb="61">
      <t>キカン</t>
    </rPh>
    <rPh sb="61" eb="62">
      <t>ス</t>
    </rPh>
    <rPh sb="66" eb="67">
      <t>ヒト</t>
    </rPh>
    <rPh sb="68" eb="71">
      <t>キョジュウシャ</t>
    </rPh>
    <phoneticPr fontId="1"/>
  </si>
  <si>
    <t>institucion（創設, 確立されたもの）</t>
    <rPh sb="12" eb="14">
      <t>ソウセツ</t>
    </rPh>
    <rPh sb="16" eb="18">
      <t>カクリツ</t>
    </rPh>
    <phoneticPr fontId="1"/>
  </si>
  <si>
    <t>1400年頃
制度の確立, 団体の創設</t>
    <rPh sb="4" eb="6">
      <t>ネンコロ</t>
    </rPh>
    <rPh sb="7" eb="9">
      <t>セイド</t>
    </rPh>
    <rPh sb="10" eb="12">
      <t>カクリツ</t>
    </rPh>
    <rPh sb="14" eb="16">
      <t>ダンタイ</t>
    </rPh>
    <rPh sb="17" eb="19">
      <t>ソウセツ</t>
    </rPh>
    <phoneticPr fontId="1"/>
  </si>
  <si>
    <t>1550年代
確立された法律や慣行
&lt;span class="spacer"&gt;&lt;/span&gt;1707年
設立された組織
確立された制度</t>
    <rPh sb="4" eb="6">
      <t>ネンダイ</t>
    </rPh>
    <rPh sb="7" eb="9">
      <t>カクリツ</t>
    </rPh>
    <rPh sb="12" eb="14">
      <t>ホウリツ</t>
    </rPh>
    <rPh sb="15" eb="17">
      <t>カンコウ</t>
    </rPh>
    <rPh sb="50" eb="51">
      <t>ネン</t>
    </rPh>
    <rPh sb="52" eb="54">
      <t>セツリツ</t>
    </rPh>
    <rPh sb="57" eb="59">
      <t>ソシキ</t>
    </rPh>
    <rPh sb="60" eb="62">
      <t>カクリツ</t>
    </rPh>
    <rPh sb="65" eb="67">
      <t>セイド</t>
    </rPh>
    <phoneticPr fontId="1"/>
  </si>
  <si>
    <t>autorité（権威, 威信）</t>
    <rPh sb="9" eb="11">
      <t>ケンイ</t>
    </rPh>
    <rPh sb="13" eb="15">
      <t>イシン</t>
    </rPh>
    <phoneticPr fontId="1"/>
  </si>
  <si>
    <t>1200年頃
権威ある書物からの引用
&lt;span class="spacer"&gt;&lt;/span&gt;1300年頃
権威ある教義
内容が正しいとされる著書
&lt;span class="spacer"&gt;&lt;/span&gt;1400年頃
公式な承認, 権限</t>
    <rPh sb="4" eb="6">
      <t>ネンゴロ</t>
    </rPh>
    <rPh sb="7" eb="9">
      <t>ケンイ</t>
    </rPh>
    <rPh sb="11" eb="13">
      <t>ショモツ</t>
    </rPh>
    <rPh sb="16" eb="18">
      <t>インヨウ</t>
    </rPh>
    <rPh sb="51" eb="53">
      <t>ネンゴロ</t>
    </rPh>
    <rPh sb="54" eb="56">
      <t>ケンイ</t>
    </rPh>
    <rPh sb="58" eb="60">
      <t>キョウギ</t>
    </rPh>
    <rPh sb="61" eb="63">
      <t>ナイヨウ</t>
    </rPh>
    <rPh sb="64" eb="65">
      <t>タダ</t>
    </rPh>
    <rPh sb="71" eb="73">
      <t>チョショ</t>
    </rPh>
    <rPh sb="109" eb="111">
      <t>コウシキ</t>
    </rPh>
    <rPh sb="112" eb="114">
      <t>ショウニン</t>
    </rPh>
    <rPh sb="116" eb="118">
      <t>ケンゲン</t>
    </rPh>
    <phoneticPr fontId="1"/>
  </si>
  <si>
    <t>1610年代
権力を持つ人々
&lt;span class="spacer"&gt;&lt;/span&gt;19世紀半ば
the authorities（the+複数形）
警察権限を持つ人々
当局</t>
    <rPh sb="4" eb="6">
      <t>ネンダイ</t>
    </rPh>
    <rPh sb="7" eb="9">
      <t>ケンリョク</t>
    </rPh>
    <rPh sb="10" eb="11">
      <t>モ</t>
    </rPh>
    <rPh sb="12" eb="14">
      <t>ヒトビト</t>
    </rPh>
    <rPh sb="45" eb="47">
      <t>セイキ</t>
    </rPh>
    <rPh sb="47" eb="48">
      <t>ナカ</t>
    </rPh>
    <rPh sb="70" eb="73">
      <t>フクスウケイ</t>
    </rPh>
    <rPh sb="75" eb="79">
      <t>ケイサツケンゲン</t>
    </rPh>
    <rPh sb="80" eb="81">
      <t>モ</t>
    </rPh>
    <rPh sb="82" eb="84">
      <t>ヒトビト</t>
    </rPh>
    <rPh sb="85" eb="87">
      <t>トウキョク</t>
    </rPh>
    <phoneticPr fontId="1"/>
  </si>
  <si>
    <t>vovere（約束する, 奉献する）
&lt;span class="spacer"&gt;&lt;/span&gt;過去分詞votus（約束された, 奉献された）
&lt;span class="spacer"&gt;&lt;/span&gt;名詞を作る-umが付いて
votum（神への約束, 奉献）</t>
    <rPh sb="47" eb="49">
      <t>カコ</t>
    </rPh>
    <rPh sb="57" eb="59">
      <t>ヤクソク</t>
    </rPh>
    <rPh sb="64" eb="66">
      <t>ホウケン</t>
    </rPh>
    <rPh sb="99" eb="101">
      <t>メイシ</t>
    </rPh>
    <rPh sb="102" eb="103">
      <t>ツク</t>
    </rPh>
    <rPh sb="108" eb="109">
      <t>ツ</t>
    </rPh>
    <rPh sb="118" eb="119">
      <t>カミ</t>
    </rPh>
    <rPh sb="121" eb="123">
      <t>ヤクソク</t>
    </rPh>
    <rPh sb="125" eb="127">
      <t>ホウケン</t>
    </rPh>
    <phoneticPr fontId="1"/>
  </si>
  <si>
    <t>15世紀半ば
候補者に対して自分の意思を表明すること</t>
    <rPh sb="2" eb="5">
      <t>セイキナカ</t>
    </rPh>
    <rPh sb="7" eb="10">
      <t>コウホシャ</t>
    </rPh>
    <rPh sb="11" eb="12">
      <t>タイ</t>
    </rPh>
    <rPh sb="14" eb="16">
      <t>ジブン</t>
    </rPh>
    <rPh sb="17" eb="19">
      <t>イシ</t>
    </rPh>
    <rPh sb="20" eb="22">
      <t>ヒョウメイ</t>
    </rPh>
    <phoneticPr fontId="1"/>
  </si>
  <si>
    <t>1530年代
&lt;span class="obsolete"&gt;強い願望（現在は廃用）&lt;/span&gt;
&lt;span class="spacer"&gt;&lt;/span&gt;1817年までに
投票用紙
&lt;span class="spacer"&gt;&lt;/span&gt;1888年までに
投票, 投票数</t>
    <rPh sb="86" eb="88">
      <t>トウヒョウ</t>
    </rPh>
    <rPh sb="88" eb="90">
      <t>ヨウシ</t>
    </rPh>
    <rPh sb="132" eb="135">
      <t>トウヒョウスウ</t>
    </rPh>
    <phoneticPr fontId="1"/>
  </si>
  <si>
    <t>seon（見る）+th（名詞化）
sihð, gesiht, gesifð（見えるもの）</t>
    <rPh sb="5" eb="6">
      <t>ミ</t>
    </rPh>
    <rPh sb="12" eb="15">
      <t>メイシカ</t>
    </rPh>
    <phoneticPr fontId="1"/>
  </si>
  <si>
    <t>sight
&lt;span class="spacer"&gt;&lt;/span&gt;13世紀初頭
目による知覚や認識
&lt;span class="spacer"&gt;&lt;/span&gt;1300年頃
ひと目で理解すること</t>
    <rPh sb="36" eb="38">
      <t>セイキ</t>
    </rPh>
    <rPh sb="38" eb="40">
      <t>ショトウ</t>
    </rPh>
    <rPh sb="41" eb="42">
      <t>メ</t>
    </rPh>
    <rPh sb="45" eb="47">
      <t>チカク</t>
    </rPh>
    <rPh sb="48" eb="50">
      <t>ニンシキ</t>
    </rPh>
    <rPh sb="83" eb="85">
      <t>ネンコロ</t>
    </rPh>
    <rPh sb="88" eb="89">
      <t>メ</t>
    </rPh>
    <rPh sb="90" eb="92">
      <t>リカイ</t>
    </rPh>
    <phoneticPr fontId="1"/>
  </si>
  <si>
    <t>champagne（開けた土地, 軍事行動に適した土地）</t>
    <rPh sb="10" eb="11">
      <t>ア</t>
    </rPh>
    <rPh sb="13" eb="15">
      <t>トチ</t>
    </rPh>
    <rPh sb="17" eb="19">
      <t>グンジ</t>
    </rPh>
    <rPh sb="19" eb="21">
      <t>コウドウ</t>
    </rPh>
    <rPh sb="22" eb="23">
      <t>テキ</t>
    </rPh>
    <rPh sb="25" eb="27">
      <t>トチ</t>
    </rPh>
    <phoneticPr fontId="1"/>
  </si>
  <si>
    <t>campagne（開けた土地）</t>
    <phoneticPr fontId="1"/>
  </si>
  <si>
    <t>1640年代
野外での軍事活動
&lt;span class="spacer"&gt;&lt;/span&gt;1790年代
ある目的を達成するための継続的な活動
&lt;span class="spacer"&gt;&lt;/span&gt;1809年から
有権者に影響を与えるために選挙前に行われる政治活動</t>
    <rPh sb="4" eb="6">
      <t>ネンダイ</t>
    </rPh>
    <rPh sb="7" eb="9">
      <t>ヤガイ</t>
    </rPh>
    <rPh sb="11" eb="15">
      <t>グンジカツドウ</t>
    </rPh>
    <rPh sb="48" eb="50">
      <t>ネンダイ</t>
    </rPh>
    <rPh sb="53" eb="55">
      <t>モクテキ</t>
    </rPh>
    <rPh sb="56" eb="58">
      <t>タッセイ</t>
    </rPh>
    <rPh sb="63" eb="66">
      <t>ケイゾクテキ</t>
    </rPh>
    <rPh sb="67" eb="69">
      <t>カツドウ</t>
    </rPh>
    <rPh sb="106" eb="109">
      <t>ユウケンシャ</t>
    </rPh>
    <rPh sb="110" eb="112">
      <t>エイキョウ</t>
    </rPh>
    <rPh sb="113" eb="114">
      <t>アタ</t>
    </rPh>
    <rPh sb="119" eb="122">
      <t>センキョマエ</t>
    </rPh>
    <rPh sb="123" eb="124">
      <t>オコナ</t>
    </rPh>
    <rPh sb="127" eb="131">
      <t>セイジカツドウ</t>
    </rPh>
    <phoneticPr fontId="1"/>
  </si>
  <si>
    <t>fundus（底, 基礎）</t>
    <phoneticPr fontId="1"/>
  </si>
  <si>
    <t>1670年代
底, 基礎
&lt;span class="spacer"&gt;&lt;/span&gt;1690年代
特定の目的のため使える金銭や財産の蓄え
&lt;span class="spacer"&gt;&lt;/span&gt;1704年から
使えるあらゆるものの蓄え
&lt;span class="spacer"&gt;&lt;/span&gt;1728年から
funds（複数形）
資金や基金</t>
    <rPh sb="4" eb="6">
      <t>ネンダイ</t>
    </rPh>
    <rPh sb="7" eb="8">
      <t>ソコ</t>
    </rPh>
    <rPh sb="10" eb="12">
      <t>キソ</t>
    </rPh>
    <rPh sb="45" eb="47">
      <t>ネンダイ</t>
    </rPh>
    <rPh sb="48" eb="50">
      <t>トクテイ</t>
    </rPh>
    <rPh sb="51" eb="53">
      <t>モクテキ</t>
    </rPh>
    <rPh sb="56" eb="57">
      <t>ツカ</t>
    </rPh>
    <rPh sb="59" eb="61">
      <t>キンセン</t>
    </rPh>
    <rPh sb="62" eb="64">
      <t>ザイサン</t>
    </rPh>
    <rPh sb="65" eb="66">
      <t>タクワ</t>
    </rPh>
    <rPh sb="104" eb="105">
      <t>ツカ</t>
    </rPh>
    <rPh sb="114" eb="115">
      <t>タクワ</t>
    </rPh>
    <rPh sb="159" eb="162">
      <t>フクスウケイ</t>
    </rPh>
    <rPh sb="164" eb="166">
      <t>シキン</t>
    </rPh>
    <rPh sb="167" eb="169">
      <t>キキン</t>
    </rPh>
    <phoneticPr fontId="1"/>
  </si>
  <si>
    <t>*(h)uebh-（織る）</t>
    <rPh sb="10" eb="11">
      <t>オ</t>
    </rPh>
    <phoneticPr fontId="1"/>
  </si>
  <si>
    <t>1300年代
クモの巣</t>
    <rPh sb="4" eb="6">
      <t>ネンダイ</t>
    </rPh>
    <rPh sb="10" eb="11">
      <t>ス</t>
    </rPh>
    <phoneticPr fontId="1"/>
  </si>
  <si>
    <t>symbolum（合言葉, しるし）</t>
    <rPh sb="9" eb="12">
      <t>アイコトバ</t>
    </rPh>
    <phoneticPr fontId="1"/>
  </si>
  <si>
    <t>15世紀半ば
信条</t>
    <rPh sb="2" eb="4">
      <t>セイキ</t>
    </rPh>
    <rPh sb="4" eb="5">
      <t>ナカ</t>
    </rPh>
    <rPh sb="7" eb="9">
      <t>シンジョウ</t>
    </rPh>
    <phoneticPr fontId="1"/>
  </si>
  <si>
    <t>1580年代
他の物を代表するもの
&lt;span class="spacer"&gt;&lt;/span&gt;1610年代
何かを表す文字, 記号, 印</t>
    <rPh sb="4" eb="6">
      <t>ネンダイ</t>
    </rPh>
    <rPh sb="7" eb="8">
      <t>ホカ</t>
    </rPh>
    <rPh sb="9" eb="10">
      <t>モノ</t>
    </rPh>
    <rPh sb="11" eb="13">
      <t>ダイヒョウ</t>
    </rPh>
    <rPh sb="50" eb="52">
      <t>ネンダイ</t>
    </rPh>
    <rPh sb="53" eb="54">
      <t>ナニ</t>
    </rPh>
    <rPh sb="56" eb="57">
      <t>アラワ</t>
    </rPh>
    <rPh sb="58" eb="60">
      <t>モジ</t>
    </rPh>
    <rPh sb="62" eb="64">
      <t>キゴウ</t>
    </rPh>
    <rPh sb="66" eb="67">
      <t>シルシ</t>
    </rPh>
    <phoneticPr fontId="1"/>
  </si>
  <si>
    <t>analysis（分析, 門外解決のための分解）</t>
    <rPh sb="9" eb="11">
      <t>ブンセキ</t>
    </rPh>
    <rPh sb="13" eb="17">
      <t>モンガイカイケツ</t>
    </rPh>
    <rPh sb="21" eb="23">
      <t>ブンカイ</t>
    </rPh>
    <phoneticPr fontId="1"/>
  </si>
  <si>
    <t>1580年代
複雑なものを単純な要素に分解すること
分析</t>
    <rPh sb="4" eb="6">
      <t>ネンダイ</t>
    </rPh>
    <rPh sb="7" eb="9">
      <t>フクザツ</t>
    </rPh>
    <rPh sb="13" eb="15">
      <t>タンジュン</t>
    </rPh>
    <rPh sb="16" eb="18">
      <t>ヨウソ</t>
    </rPh>
    <rPh sb="19" eb="21">
      <t>ブンカイ</t>
    </rPh>
    <rPh sb="26" eb="28">
      <t>ブンセキ</t>
    </rPh>
    <phoneticPr fontId="1"/>
  </si>
  <si>
    <t>version（翻訳）</t>
    <rPh sb="8" eb="10">
      <t>ホンヤク</t>
    </rPh>
    <phoneticPr fontId="1"/>
  </si>
  <si>
    <t>1580年代
翻訳
&lt;span class="spacer"&gt;&lt;/span&gt;1788年までに
解釈</t>
    <rPh sb="4" eb="6">
      <t>ネンダイ</t>
    </rPh>
    <rPh sb="7" eb="9">
      <t>ホンヤク</t>
    </rPh>
    <rPh sb="42" eb="43">
      <t>ネン</t>
    </rPh>
    <rPh sb="47" eb="49">
      <t>カイシャク</t>
    </rPh>
    <phoneticPr fontId="1"/>
  </si>
  <si>
    <t>per（通して）+specere（見る）
perspicere（見通す, 詳しく見る）
&lt;span class="spacer"&gt;&lt;/span&gt;過去分詞perspectus（はっきり見えた）</t>
    <rPh sb="4" eb="5">
      <t>トオ</t>
    </rPh>
    <rPh sb="17" eb="18">
      <t>ミ</t>
    </rPh>
    <rPh sb="32" eb="34">
      <t>ミトオ</t>
    </rPh>
    <rPh sb="37" eb="38">
      <t>クワ</t>
    </rPh>
    <rPh sb="40" eb="41">
      <t>ミ</t>
    </rPh>
    <rPh sb="72" eb="74">
      <t>カコ</t>
    </rPh>
    <phoneticPr fontId="1"/>
  </si>
  <si>
    <t>形容詞を作る-ivusが付いて
perspectivus（視覚の, 光学の）
&lt;span class="spacer"&gt;&lt;/span&gt;perspectiva ars
光学の科学
&lt;span class="spacer"&gt;&lt;/span&gt;※光学：光がどのように我々の目に届くかを研究する学問</t>
    <rPh sb="0" eb="3">
      <t>ケイヨウシ</t>
    </rPh>
    <rPh sb="4" eb="5">
      <t>ツク</t>
    </rPh>
    <rPh sb="12" eb="13">
      <t>ツ</t>
    </rPh>
    <rPh sb="29" eb="31">
      <t>シカク</t>
    </rPh>
    <rPh sb="34" eb="36">
      <t>コウガク</t>
    </rPh>
    <rPh sb="83" eb="85">
      <t>コウガク</t>
    </rPh>
    <rPh sb="86" eb="88">
      <t>カガク</t>
    </rPh>
    <rPh sb="118" eb="120">
      <t>コウガク</t>
    </rPh>
    <rPh sb="121" eb="122">
      <t>ヒカリ</t>
    </rPh>
    <rPh sb="128" eb="130">
      <t>ワレワレ</t>
    </rPh>
    <rPh sb="131" eb="132">
      <t>メ</t>
    </rPh>
    <rPh sb="133" eb="134">
      <t>トド</t>
    </rPh>
    <rPh sb="137" eb="139">
      <t>ケンキュウ</t>
    </rPh>
    <rPh sb="141" eb="143">
      <t>ガクモン</t>
    </rPh>
    <phoneticPr fontId="1"/>
  </si>
  <si>
    <t>perspective ars（光学の科学）
&lt;span class="spacer"&gt;&lt;/span&gt;※光学：光がどのように我々の目に届くかを研究する学問</t>
    <rPh sb="16" eb="18">
      <t>コウガク</t>
    </rPh>
    <rPh sb="19" eb="21">
      <t>カガク</t>
    </rPh>
    <phoneticPr fontId="1"/>
  </si>
  <si>
    <t>perspectif
&lt;span class="spacer"&gt;&lt;/span&gt;14世紀後期
光学
&lt;span class="spacer"&gt;&lt;/span&gt;1590年代までに
遠近法
&lt;span class="spacer"&gt;&lt;/span&gt;1762年
観点</t>
    <rPh sb="44" eb="46">
      <t>ショトウ</t>
    </rPh>
    <rPh sb="47" eb="49">
      <t>コウガク</t>
    </rPh>
    <rPh sb="50" eb="51">
      <t>カン</t>
    </rPh>
    <rPh sb="81" eb="83">
      <t>ネンダイ</t>
    </rPh>
    <rPh sb="87" eb="90">
      <t>エンキンホウ</t>
    </rPh>
    <rPh sb="125" eb="127">
      <t>カンテン</t>
    </rPh>
    <phoneticPr fontId="1"/>
  </si>
  <si>
    <t>crisis
&lt;span class="spacer"&gt;&lt;/span&gt;15世紀初頭
医学用語で
病気の経過における決定的局面
良くも悪くも変化が起こる分岐点
極めて重要な状態</t>
    <rPh sb="37" eb="41">
      <t>セイキショトウ</t>
    </rPh>
    <rPh sb="42" eb="46">
      <t>イガクヨウゴ</t>
    </rPh>
    <rPh sb="48" eb="50">
      <t>ビョウキ</t>
    </rPh>
    <rPh sb="51" eb="53">
      <t>ケイカ</t>
    </rPh>
    <rPh sb="57" eb="60">
      <t>ケッテイテキ</t>
    </rPh>
    <rPh sb="60" eb="62">
      <t>キョクメン</t>
    </rPh>
    <rPh sb="63" eb="64">
      <t>ヨ</t>
    </rPh>
    <rPh sb="66" eb="67">
      <t>ワル</t>
    </rPh>
    <rPh sb="69" eb="71">
      <t>ヘンカ</t>
    </rPh>
    <rPh sb="72" eb="73">
      <t>オ</t>
    </rPh>
    <rPh sb="75" eb="78">
      <t>ブンキテン</t>
    </rPh>
    <rPh sb="79" eb="80">
      <t>キワ</t>
    </rPh>
    <rPh sb="82" eb="84">
      <t>ジュウヨウ</t>
    </rPh>
    <rPh sb="85" eb="87">
      <t>ジョウタイ</t>
    </rPh>
    <phoneticPr fontId="1"/>
  </si>
  <si>
    <t>astron（星）</t>
    <rPh sb="7" eb="8">
      <t>ホシ</t>
    </rPh>
    <phoneticPr fontId="1"/>
  </si>
  <si>
    <t>astrum（星, 天体）</t>
    <rPh sb="7" eb="8">
      <t>ホシ</t>
    </rPh>
    <rPh sb="10" eb="12">
      <t>テンタイ</t>
    </rPh>
    <phoneticPr fontId="1"/>
  </si>
  <si>
    <t>désastre（災厄）</t>
    <rPh sb="9" eb="11">
      <t>サイヤク</t>
    </rPh>
    <phoneticPr fontId="1"/>
  </si>
  <si>
    <t>1590年代
不幸な出来事
破滅的で悲惨な出来事</t>
    <rPh sb="4" eb="6">
      <t>ネンダイ</t>
    </rPh>
    <rPh sb="7" eb="9">
      <t>フコウ</t>
    </rPh>
    <rPh sb="10" eb="13">
      <t>デキゴト</t>
    </rPh>
    <rPh sb="14" eb="17">
      <t>ハメツテキ</t>
    </rPh>
    <rPh sb="18" eb="20">
      <t>ヒサン</t>
    </rPh>
    <rPh sb="21" eb="24">
      <t>デキゴト</t>
    </rPh>
    <phoneticPr fontId="1"/>
  </si>
  <si>
    <t>legere（集める, 選び取る, 言葉を選び取る, 読む）
&lt;span class="spacer"&gt;&lt;/span&gt;過去分詞lectus（読まれた）</t>
    <rPh sb="7" eb="8">
      <t>アツ</t>
    </rPh>
    <rPh sb="12" eb="13">
      <t>エラ</t>
    </rPh>
    <rPh sb="14" eb="15">
      <t>ト</t>
    </rPh>
    <rPh sb="18" eb="20">
      <t>コトバ</t>
    </rPh>
    <rPh sb="21" eb="22">
      <t>エラ</t>
    </rPh>
    <rPh sb="23" eb="24">
      <t>ト</t>
    </rPh>
    <rPh sb="27" eb="28">
      <t>ヨ</t>
    </rPh>
    <rPh sb="59" eb="63">
      <t>カコブンシ</t>
    </rPh>
    <rPh sb="70" eb="71">
      <t>ヨ</t>
    </rPh>
    <phoneticPr fontId="1"/>
  </si>
  <si>
    <t>名詞を作る-uraが付いて
lectura（読むこと, 読書）</t>
    <rPh sb="0" eb="2">
      <t>メイシ</t>
    </rPh>
    <rPh sb="3" eb="4">
      <t>ツク</t>
    </rPh>
    <rPh sb="10" eb="11">
      <t>ツ</t>
    </rPh>
    <rPh sb="22" eb="23">
      <t>ヨ</t>
    </rPh>
    <rPh sb="28" eb="30">
      <t>ドクショ</t>
    </rPh>
    <phoneticPr fontId="1"/>
  </si>
  <si>
    <t>14世紀後期
書物から得られる知識
&lt;span class="spacer"&gt;&lt;/span&gt;15世紀初頭
朗読, 声に出して読むこと</t>
    <rPh sb="2" eb="4">
      <t>セイキ</t>
    </rPh>
    <rPh sb="4" eb="6">
      <t>コウキ</t>
    </rPh>
    <rPh sb="7" eb="9">
      <t>ショモツ</t>
    </rPh>
    <rPh sb="11" eb="12">
      <t>エ</t>
    </rPh>
    <rPh sb="15" eb="17">
      <t>チシキ</t>
    </rPh>
    <rPh sb="48" eb="50">
      <t>セイキ</t>
    </rPh>
    <rPh sb="50" eb="52">
      <t>ショトウ</t>
    </rPh>
    <rPh sb="53" eb="55">
      <t>ロウドク</t>
    </rPh>
    <rPh sb="57" eb="58">
      <t>コエ</t>
    </rPh>
    <rPh sb="59" eb="60">
      <t>ダ</t>
    </rPh>
    <rPh sb="62" eb="63">
      <t>ヨ</t>
    </rPh>
    <phoneticPr fontId="1"/>
  </si>
  <si>
    <t>1530年代
教育目的で聴衆の前で行われる講話
&lt;span class="spacer"&gt;&lt;/span&gt;1600年代
戒告や叱責を目的とした説教</t>
    <rPh sb="4" eb="6">
      <t>ネンダイ</t>
    </rPh>
    <rPh sb="7" eb="11">
      <t>キョウイクモクテキ</t>
    </rPh>
    <rPh sb="12" eb="14">
      <t>チョウシュウ</t>
    </rPh>
    <rPh sb="15" eb="16">
      <t>マエ</t>
    </rPh>
    <rPh sb="17" eb="18">
      <t>オコナ</t>
    </rPh>
    <rPh sb="21" eb="23">
      <t>コウワ</t>
    </rPh>
    <rPh sb="56" eb="58">
      <t>ネンダイ</t>
    </rPh>
    <rPh sb="59" eb="61">
      <t>カイコク</t>
    </rPh>
    <rPh sb="62" eb="64">
      <t>シッセキ</t>
    </rPh>
    <rPh sb="65" eb="67">
      <t>モクテキ</t>
    </rPh>
    <rPh sb="70" eb="72">
      <t>セッキョウ</t>
    </rPh>
    <phoneticPr fontId="1"/>
  </si>
  <si>
    <t>*gene-（生む, 産む）</t>
    <phoneticPr fontId="1"/>
  </si>
  <si>
    <t>genus（種族, 血統, 性別）</t>
    <rPh sb="6" eb="8">
      <t>シュゾク</t>
    </rPh>
    <rPh sb="10" eb="12">
      <t>ケットウ</t>
    </rPh>
    <rPh sb="14" eb="16">
      <t>セイベツ</t>
    </rPh>
    <phoneticPr fontId="1"/>
  </si>
  <si>
    <t>gendre（種類, 文法上の性）</t>
    <rPh sb="7" eb="9">
      <t>シュルイ</t>
    </rPh>
    <rPh sb="11" eb="14">
      <t>ブンポウジョウ</t>
    </rPh>
    <rPh sb="15" eb="16">
      <t>セイ</t>
    </rPh>
    <phoneticPr fontId="1"/>
  </si>
  <si>
    <t>1300年頃
種類, 種別
&lt;span class="spacer"&gt;&lt;/span&gt;14世紀後期
文法における性
&lt;span class="spacer"&gt;&lt;/span&gt;15世紀初頭
男女を隔てる性別</t>
    <rPh sb="4" eb="6">
      <t>ネンゴロ</t>
    </rPh>
    <rPh sb="7" eb="9">
      <t>シュルイ</t>
    </rPh>
    <rPh sb="11" eb="13">
      <t>シュベツ</t>
    </rPh>
    <rPh sb="44" eb="46">
      <t>セイキ</t>
    </rPh>
    <rPh sb="46" eb="48">
      <t>コウキ</t>
    </rPh>
    <rPh sb="49" eb="51">
      <t>ブンポウ</t>
    </rPh>
    <rPh sb="55" eb="56">
      <t>セイ</t>
    </rPh>
    <rPh sb="89" eb="91">
      <t>ショトウ</t>
    </rPh>
    <rPh sb="92" eb="94">
      <t>ダンジョ</t>
    </rPh>
    <rPh sb="95" eb="96">
      <t>ヘダ</t>
    </rPh>
    <rPh sb="98" eb="100">
      <t>セイベツ</t>
    </rPh>
    <phoneticPr fontId="1"/>
  </si>
  <si>
    <t>1963年
生物学的性と社会的属性の性</t>
    <rPh sb="4" eb="5">
      <t>ネン</t>
    </rPh>
    <rPh sb="6" eb="10">
      <t>セイブツガクテキ</t>
    </rPh>
    <rPh sb="10" eb="11">
      <t>セイ</t>
    </rPh>
    <rPh sb="12" eb="15">
      <t>シャカイテキ</t>
    </rPh>
    <rPh sb="15" eb="17">
      <t>ゾクセイ</t>
    </rPh>
    <rPh sb="18" eb="19">
      <t>セイ</t>
    </rPh>
    <phoneticPr fontId="1"/>
  </si>
  <si>
    <t>com（強意）+suescere（慣れる）
consuescere（慣習づける）
&lt;span class="spacer"&gt;&lt;/span&gt;過去分詞consuetus
&lt;span class="spacer"&gt;&lt;/span&gt;名詞を作る-tudoが付いて
consuetudo（慣習）</t>
    <rPh sb="4" eb="6">
      <t>キョウイ</t>
    </rPh>
    <rPh sb="17" eb="18">
      <t>ナ</t>
    </rPh>
    <rPh sb="34" eb="36">
      <t>カンシュウ</t>
    </rPh>
    <rPh sb="69" eb="71">
      <t>カコ</t>
    </rPh>
    <rPh sb="111" eb="113">
      <t>メイシ</t>
    </rPh>
    <rPh sb="114" eb="115">
      <t>ツク</t>
    </rPh>
    <rPh sb="122" eb="123">
      <t>ツ</t>
    </rPh>
    <rPh sb="137" eb="139">
      <t>カンシュウ</t>
    </rPh>
    <phoneticPr fontId="1"/>
  </si>
  <si>
    <t>*consuetumen</t>
    <phoneticPr fontId="1"/>
  </si>
  <si>
    <t>12世紀
costume（慣習）</t>
    <rPh sb="2" eb="4">
      <t>セイキ</t>
    </rPh>
    <rPh sb="13" eb="15">
      <t>カンシュウ</t>
    </rPh>
    <phoneticPr fontId="1"/>
  </si>
  <si>
    <t>custume
&lt;span class="spacer"&gt;&lt;/span&gt;1200年頃
個人的な慣習
社会レベル・国家レベルの慣習
&lt;span class="spacer"&gt;&lt;/span&gt;14世紀初頭
定期的に払わなければならない関税
&lt;span class="spacer"&gt;&lt;/span&gt;15世紀後期
関税を徴収するための税関</t>
    <rPh sb="40" eb="42">
      <t>ネンコロ</t>
    </rPh>
    <rPh sb="43" eb="46">
      <t>コジンテキ</t>
    </rPh>
    <rPh sb="47" eb="49">
      <t>カンシュウ</t>
    </rPh>
    <rPh sb="50" eb="52">
      <t>シャカイ</t>
    </rPh>
    <rPh sb="56" eb="58">
      <t>コッカ</t>
    </rPh>
    <rPh sb="62" eb="64">
      <t>カンシュウ</t>
    </rPh>
    <rPh sb="95" eb="97">
      <t>セイキ</t>
    </rPh>
    <rPh sb="97" eb="99">
      <t>ショトウ</t>
    </rPh>
    <rPh sb="100" eb="103">
      <t>テイキテキ</t>
    </rPh>
    <rPh sb="104" eb="105">
      <t>ハラ</t>
    </rPh>
    <rPh sb="114" eb="116">
      <t>カンゼイ</t>
    </rPh>
    <rPh sb="149" eb="151">
      <t>コウキ</t>
    </rPh>
    <rPh sb="152" eb="154">
      <t>カンゼイ</t>
    </rPh>
    <rPh sb="155" eb="157">
      <t>チョウシュウ</t>
    </rPh>
    <rPh sb="162" eb="164">
      <t>ゼイカン</t>
    </rPh>
    <phoneticPr fontId="1"/>
  </si>
  <si>
    <t>cort（王の宮廷）</t>
    <rPh sb="5" eb="6">
      <t>オウ</t>
    </rPh>
    <rPh sb="7" eb="9">
      <t>キュウテイ</t>
    </rPh>
    <phoneticPr fontId="1"/>
  </si>
  <si>
    <t>中英語</t>
    <rPh sb="0" eb="3">
      <t>ナカエイゴ</t>
    </rPh>
    <phoneticPr fontId="1"/>
  </si>
  <si>
    <t>12世紀
君主が主宰する正式な集会
&lt;span class="spacer"&gt;&lt;/span&gt;1200年頃
君主の居所, 宮殿, 宮廷
&lt;span class="spacer"&gt;&lt;/span&gt;1300年頃
君主自らが監督した法廷
裁判所
&lt;span class="spacer"&gt;&lt;/span&gt;14世紀初頭
中庭
&lt;span class="spacer"&gt;&lt;/span&gt;1510年代
テニスコート</t>
    <rPh sb="2" eb="4">
      <t>セイキ</t>
    </rPh>
    <rPh sb="5" eb="7">
      <t>クンシュ</t>
    </rPh>
    <rPh sb="8" eb="10">
      <t>シュサイ</t>
    </rPh>
    <rPh sb="12" eb="14">
      <t>セイシキ</t>
    </rPh>
    <rPh sb="15" eb="17">
      <t>シュウカイ</t>
    </rPh>
    <rPh sb="50" eb="51">
      <t>ネン</t>
    </rPh>
    <rPh sb="51" eb="52">
      <t>コロ</t>
    </rPh>
    <rPh sb="53" eb="55">
      <t>クンシュ</t>
    </rPh>
    <rPh sb="56" eb="58">
      <t>イドコロ</t>
    </rPh>
    <rPh sb="60" eb="62">
      <t>キュウデン</t>
    </rPh>
    <rPh sb="64" eb="66">
      <t>キュウテイ</t>
    </rPh>
    <rPh sb="102" eb="104">
      <t>クンシュ</t>
    </rPh>
    <rPh sb="104" eb="105">
      <t>ミズカ</t>
    </rPh>
    <rPh sb="107" eb="109">
      <t>カントク</t>
    </rPh>
    <rPh sb="111" eb="113">
      <t>ホウテイ</t>
    </rPh>
    <rPh sb="114" eb="117">
      <t>サイバンショ</t>
    </rPh>
    <rPh sb="148" eb="150">
      <t>セイキ</t>
    </rPh>
    <rPh sb="150" eb="152">
      <t>ショトウ</t>
    </rPh>
    <rPh sb="153" eb="155">
      <t>ナカニワ</t>
    </rPh>
    <rPh sb="188" eb="190">
      <t>ネンダイ</t>
    </rPh>
    <phoneticPr fontId="1"/>
  </si>
  <si>
    <t>de（離れて）+serere（結びつける）
deserere（放棄する, 見捨てる）
&lt;span class="spacer"&gt;&lt;/span&gt;過去分詞desertus（放棄された）</t>
    <rPh sb="15" eb="16">
      <t>ムス</t>
    </rPh>
    <rPh sb="31" eb="33">
      <t>ホウキ</t>
    </rPh>
    <rPh sb="37" eb="39">
      <t>ミス</t>
    </rPh>
    <rPh sb="84" eb="86">
      <t>ホウキ</t>
    </rPh>
    <phoneticPr fontId="1"/>
  </si>
  <si>
    <t>名詞を作る-tumが付いて
desertum（放棄されたもの）</t>
    <rPh sb="0" eb="2">
      <t>メイシ</t>
    </rPh>
    <rPh sb="3" eb="4">
      <t>ツク</t>
    </rPh>
    <rPh sb="10" eb="11">
      <t>ツ</t>
    </rPh>
    <rPh sb="23" eb="25">
      <t>ホウキ</t>
    </rPh>
    <phoneticPr fontId="1"/>
  </si>
  <si>
    <t>12世紀
desert（不毛な土地, 荒地）</t>
    <rPh sb="2" eb="4">
      <t>セイキ</t>
    </rPh>
    <rPh sb="12" eb="14">
      <t>フモウ</t>
    </rPh>
    <rPh sb="15" eb="17">
      <t>トチ</t>
    </rPh>
    <rPh sb="19" eb="21">
      <t>アレチ</t>
    </rPh>
    <phoneticPr fontId="1"/>
  </si>
  <si>
    <t>1200年頃
不毛な土地, 荒れ地
広範囲に水も木もない土地, 砂漠</t>
    <rPh sb="4" eb="6">
      <t>ネンコロ</t>
    </rPh>
    <rPh sb="7" eb="9">
      <t>フモウ</t>
    </rPh>
    <rPh sb="10" eb="12">
      <t>トチ</t>
    </rPh>
    <rPh sb="14" eb="15">
      <t>ア</t>
    </rPh>
    <rPh sb="16" eb="17">
      <t>チ</t>
    </rPh>
    <rPh sb="18" eb="21">
      <t>コウハンイ</t>
    </rPh>
    <rPh sb="22" eb="23">
      <t>ミズ</t>
    </rPh>
    <rPh sb="24" eb="25">
      <t>キ</t>
    </rPh>
    <rPh sb="28" eb="30">
      <t>トチ</t>
    </rPh>
    <rPh sb="32" eb="34">
      <t>サバク</t>
    </rPh>
    <phoneticPr fontId="1"/>
  </si>
  <si>
    <t>soil（土地の一片, 場所）</t>
    <rPh sb="5" eb="7">
      <t>トチ</t>
    </rPh>
    <rPh sb="8" eb="10">
      <t>イッペン</t>
    </rPh>
    <rPh sb="12" eb="14">
      <t>バショ</t>
    </rPh>
    <phoneticPr fontId="1"/>
  </si>
  <si>
    <t>1300年頃
土地
&lt;span class="spacer"&gt;&lt;/span&gt;14世紀後期
土壌, 地面
&lt;span class="spacer"&gt;&lt;/span&gt;1400年頃
自分の土地
&lt;span class="spacer"&gt;&lt;/span&gt;15世紀半ば
土壌, 植物が育つ土地</t>
    <rPh sb="4" eb="5">
      <t>ネン</t>
    </rPh>
    <rPh sb="5" eb="6">
      <t>コロ</t>
    </rPh>
    <rPh sb="7" eb="9">
      <t>トチ</t>
    </rPh>
    <rPh sb="40" eb="42">
      <t>セイキ</t>
    </rPh>
    <rPh sb="42" eb="44">
      <t>コウキ</t>
    </rPh>
    <rPh sb="45" eb="47">
      <t>ドジョウ</t>
    </rPh>
    <rPh sb="49" eb="51">
      <t>ジメン</t>
    </rPh>
    <rPh sb="84" eb="85">
      <t>ネン</t>
    </rPh>
    <rPh sb="85" eb="86">
      <t>コロ</t>
    </rPh>
    <rPh sb="87" eb="89">
      <t>ジブン</t>
    </rPh>
    <rPh sb="90" eb="92">
      <t>トチ</t>
    </rPh>
    <rPh sb="123" eb="125">
      <t>セイキ</t>
    </rPh>
    <rPh sb="125" eb="126">
      <t>ナカ</t>
    </rPh>
    <rPh sb="128" eb="130">
      <t>ドジョウ</t>
    </rPh>
    <rPh sb="132" eb="134">
      <t>ショクブツ</t>
    </rPh>
    <rPh sb="135" eb="136">
      <t>ソダ</t>
    </rPh>
    <rPh sb="137" eb="139">
      <t>トチ</t>
    </rPh>
    <phoneticPr fontId="1"/>
  </si>
  <si>
    <t>15世紀半ば
耕作, 農耕, 農業</t>
    <rPh sb="2" eb="4">
      <t>セイキ</t>
    </rPh>
    <rPh sb="4" eb="5">
      <t>ナカ</t>
    </rPh>
    <rPh sb="7" eb="9">
      <t>コウサク</t>
    </rPh>
    <rPh sb="11" eb="13">
      <t>ノウコウ</t>
    </rPh>
    <rPh sb="15" eb="17">
      <t>ノウギョウ</t>
    </rPh>
    <phoneticPr fontId="1"/>
  </si>
  <si>
    <t>fodere（掘る）
&lt;span class="spacer"&gt;&lt;/span&gt;過去分詞fossus
&lt;span class="spacer"&gt;&lt;/span&gt;形容詞を作る-ilisが付いて
fossilis（掘り出された）</t>
    <rPh sb="7" eb="8">
      <t>ホ</t>
    </rPh>
    <rPh sb="39" eb="43">
      <t>カコブンシ</t>
    </rPh>
    <rPh sb="78" eb="81">
      <t>ケイヨウシ</t>
    </rPh>
    <rPh sb="82" eb="83">
      <t>ツク</t>
    </rPh>
    <rPh sb="90" eb="91">
      <t>ツ</t>
    </rPh>
    <rPh sb="103" eb="104">
      <t>ホ</t>
    </rPh>
    <rPh sb="105" eb="106">
      <t>ダ</t>
    </rPh>
    <phoneticPr fontId="1"/>
  </si>
  <si>
    <t>16世紀
fossile（掘り出されたもの）</t>
    <rPh sb="2" eb="4">
      <t>セイキ</t>
    </rPh>
    <rPh sb="13" eb="14">
      <t>ホ</t>
    </rPh>
    <rPh sb="15" eb="16">
      <t>ダ</t>
    </rPh>
    <phoneticPr fontId="1"/>
  </si>
  <si>
    <t>1610年代
掘り出されたあらゆるもの
&lt;span class="spacer"&gt;&lt;/span&gt;1660年代
化石に関する
&lt;span class="spacer"&gt;&lt;/span&gt;1736年から
化石（1610年代より狭い意味に）
&lt;span class="spacer"&gt;&lt;/span&gt;1859年
比喩的に、老人, 時代遅れの人</t>
    <rPh sb="4" eb="6">
      <t>ネンダイ</t>
    </rPh>
    <rPh sb="7" eb="8">
      <t>ホ</t>
    </rPh>
    <rPh sb="9" eb="10">
      <t>ダ</t>
    </rPh>
    <rPh sb="49" eb="51">
      <t>ネンダイ</t>
    </rPh>
    <rPh sb="52" eb="54">
      <t>カセキ</t>
    </rPh>
    <rPh sb="55" eb="56">
      <t>カン</t>
    </rPh>
    <rPh sb="105" eb="107">
      <t>ネンダイ</t>
    </rPh>
    <rPh sb="109" eb="110">
      <t>セマ</t>
    </rPh>
    <rPh sb="111" eb="113">
      <t>イミ</t>
    </rPh>
    <rPh sb="150" eb="153">
      <t>ヒユテキ</t>
    </rPh>
    <rPh sb="155" eb="157">
      <t>ロウジン</t>
    </rPh>
    <rPh sb="159" eb="162">
      <t>ジダイオク</t>
    </rPh>
    <rPh sb="164" eb="165">
      <t>ヒト</t>
    </rPh>
    <phoneticPr fontId="1"/>
  </si>
  <si>
    <t>documentum（公的な文書, 権威ある書面）</t>
    <rPh sb="11" eb="13">
      <t>コウテキ</t>
    </rPh>
    <rPh sb="14" eb="16">
      <t>ブンショ</t>
    </rPh>
    <rPh sb="18" eb="20">
      <t>ケンイ</t>
    </rPh>
    <rPh sb="22" eb="24">
      <t>ショメン</t>
    </rPh>
    <phoneticPr fontId="1"/>
  </si>
  <si>
    <t>13世紀
document（文書による証拠, 教訓）</t>
    <rPh sb="2" eb="4">
      <t>セイキ</t>
    </rPh>
    <rPh sb="14" eb="16">
      <t>ブンショ</t>
    </rPh>
    <rPh sb="19" eb="21">
      <t>ショウコ</t>
    </rPh>
    <rPh sb="23" eb="25">
      <t>キョウクン</t>
    </rPh>
    <phoneticPr fontId="1"/>
  </si>
  <si>
    <t>15世紀初頭
&lt;span class="obsolete"&gt;教義（現在は廃用）&lt;/span&gt;
&lt;span class="spacer"&gt;&lt;/span&gt;15世紀後期
&lt;span class="obsolete"&gt;教え, 指導（現在は廃用）&lt;/span&gt;</t>
    <rPh sb="2" eb="4">
      <t>セイキ</t>
    </rPh>
    <rPh sb="4" eb="6">
      <t>ショトウ</t>
    </rPh>
    <rPh sb="77" eb="79">
      <t>_x0000__x0002__x0002_</t>
    </rPh>
    <rPh sb="79" eb="81">
      <t/>
    </rPh>
    <phoneticPr fontId="1"/>
  </si>
  <si>
    <t>18世紀初頭
証拠や根拠を示すための書類, 記録, 資料
さらに広い意味で何かが書かれた書類全般</t>
    <rPh sb="2" eb="4">
      <t>セイキ</t>
    </rPh>
    <rPh sb="4" eb="6">
      <t>ショトウ</t>
    </rPh>
    <rPh sb="7" eb="9">
      <t>ショウコ</t>
    </rPh>
    <rPh sb="10" eb="12">
      <t>コンキョ</t>
    </rPh>
    <rPh sb="13" eb="14">
      <t>シメ</t>
    </rPh>
    <rPh sb="18" eb="20">
      <t>ショルイ</t>
    </rPh>
    <rPh sb="22" eb="24">
      <t>キロク</t>
    </rPh>
    <rPh sb="26" eb="28">
      <t>シリョウ</t>
    </rPh>
    <rPh sb="32" eb="33">
      <t>ヒロ</t>
    </rPh>
    <rPh sb="34" eb="36">
      <t>イミ</t>
    </rPh>
    <rPh sb="37" eb="38">
      <t>ナニ</t>
    </rPh>
    <rPh sb="40" eb="41">
      <t>カ</t>
    </rPh>
    <rPh sb="44" eb="46">
      <t>ショルイ</t>
    </rPh>
    <rPh sb="46" eb="48">
      <t>ゼンパン</t>
    </rPh>
    <phoneticPr fontId="1"/>
  </si>
  <si>
    <t>名詞を作る-arium（～の集合）が付いて
vocabularium（単語の集まり, 語彙表）</t>
    <rPh sb="14" eb="16">
      <t>シュウゴウ</t>
    </rPh>
    <rPh sb="35" eb="37">
      <t>タンゴ</t>
    </rPh>
    <rPh sb="38" eb="39">
      <t>アツ</t>
    </rPh>
    <rPh sb="43" eb="46">
      <t>ゴイヒョウ</t>
    </rPh>
    <phoneticPr fontId="1"/>
  </si>
  <si>
    <t>1530年代
語の一覧
&lt;span class="spacer"&gt;&lt;/span&gt;1782年までに
ある言語に存在する語の総数</t>
    <rPh sb="4" eb="6">
      <t>ネンダイ</t>
    </rPh>
    <rPh sb="7" eb="8">
      <t>ゴ</t>
    </rPh>
    <rPh sb="9" eb="11">
      <t>イチラン</t>
    </rPh>
    <rPh sb="44" eb="45">
      <t>ネン</t>
    </rPh>
    <rPh sb="51" eb="53">
      <t>ゲンゴ</t>
    </rPh>
    <rPh sb="54" eb="56">
      <t>ソンザイ</t>
    </rPh>
    <rPh sb="58" eb="59">
      <t>ゴ</t>
    </rPh>
    <rPh sb="60" eb="62">
      <t>ソウスウ</t>
    </rPh>
    <phoneticPr fontId="1"/>
  </si>
  <si>
    <t>inter（～の間に）+legere（集める, 選ぶ）
intelligere（理解する, 把握する）
&lt;span class="spacer"&gt;&lt;/span&gt;現在分詞intelligentem（理解力のある）</t>
    <rPh sb="8" eb="9">
      <t>アイダ</t>
    </rPh>
    <rPh sb="40" eb="42">
      <t>リカイ</t>
    </rPh>
    <rPh sb="46" eb="48">
      <t>ハアク</t>
    </rPh>
    <rPh sb="80" eb="82">
      <t>ゲンザイ</t>
    </rPh>
    <rPh sb="98" eb="101">
      <t>リカイリョク</t>
    </rPh>
    <phoneticPr fontId="1"/>
  </si>
  <si>
    <t>1500年頃
理解力のある, 知的な</t>
    <rPh sb="4" eb="5">
      <t>ネン</t>
    </rPh>
    <rPh sb="5" eb="6">
      <t>コロ</t>
    </rPh>
    <rPh sb="7" eb="10">
      <t>リカイリョク</t>
    </rPh>
    <rPh sb="15" eb="17">
      <t>チテキ</t>
    </rPh>
    <phoneticPr fontId="1"/>
  </si>
  <si>
    <t>com（共に）+scire（知る）
conscire（共に知っている, 共に認識している）
&lt;span class="spacer"&gt;&lt;/span&gt;形容詞を作る-usが付いて
conscius（知っている, 認識している）</t>
    <rPh sb="4" eb="5">
      <t>トモ</t>
    </rPh>
    <rPh sb="14" eb="15">
      <t>シ</t>
    </rPh>
    <rPh sb="27" eb="28">
      <t>トモ</t>
    </rPh>
    <rPh sb="29" eb="30">
      <t>シ</t>
    </rPh>
    <rPh sb="36" eb="37">
      <t>トモ</t>
    </rPh>
    <rPh sb="38" eb="40">
      <t>ニンシキ</t>
    </rPh>
    <rPh sb="74" eb="77">
      <t>ケイヨウシ</t>
    </rPh>
    <rPh sb="78" eb="79">
      <t>ツク</t>
    </rPh>
    <rPh sb="84" eb="85">
      <t>ツ</t>
    </rPh>
    <rPh sb="104" eb="106">
      <t>ニンシキ</t>
    </rPh>
    <phoneticPr fontId="1"/>
  </si>
  <si>
    <t>capex+bilis（～できる）
capabilis（受容できる, 能力的に可能な）</t>
    <rPh sb="28" eb="30">
      <t>ジュヨウ</t>
    </rPh>
    <rPh sb="35" eb="38">
      <t>ノウリョクテキ</t>
    </rPh>
    <rPh sb="39" eb="41">
      <t>カノウ</t>
    </rPh>
    <phoneticPr fontId="1"/>
  </si>
  <si>
    <t>capable（有能な, 能力がある, 収容できる）</t>
    <rPh sb="8" eb="10">
      <t>ユウノウ</t>
    </rPh>
    <rPh sb="13" eb="15">
      <t>ノウリョク</t>
    </rPh>
    <rPh sb="20" eb="22">
      <t>シュウヨウ</t>
    </rPh>
    <phoneticPr fontId="1"/>
  </si>
  <si>
    <t>1590年代
十分に能力がある, 力や能力を持つ</t>
    <rPh sb="4" eb="6">
      <t>ネンダイ</t>
    </rPh>
    <rPh sb="7" eb="9">
      <t>ジュウブン</t>
    </rPh>
    <rPh sb="10" eb="12">
      <t>ノウリョク</t>
    </rPh>
    <rPh sb="17" eb="18">
      <t>チカラ</t>
    </rPh>
    <rPh sb="19" eb="21">
      <t>ノウリョク</t>
    </rPh>
    <rPh sb="22" eb="23">
      <t>モ</t>
    </rPh>
    <phoneticPr fontId="1"/>
  </si>
  <si>
    <t>1610年代
注意深く行う, 正確な</t>
    <rPh sb="4" eb="6">
      <t>ネンダイ</t>
    </rPh>
    <rPh sb="7" eb="10">
      <t>チュウイブカ</t>
    </rPh>
    <rPh sb="11" eb="12">
      <t>オコナ</t>
    </rPh>
    <rPh sb="15" eb="17">
      <t>セイカク</t>
    </rPh>
    <phoneticPr fontId="1"/>
  </si>
  <si>
    <t>15世紀半ば
基礎に関する, 根本的な</t>
    <rPh sb="2" eb="4">
      <t>セイキ</t>
    </rPh>
    <rPh sb="4" eb="5">
      <t>ナカ</t>
    </rPh>
    <rPh sb="7" eb="9">
      <t>キソ</t>
    </rPh>
    <rPh sb="10" eb="11">
      <t>カン</t>
    </rPh>
    <rPh sb="15" eb="18">
      <t>コンポンテキ</t>
    </rPh>
    <phoneticPr fontId="1"/>
  </si>
  <si>
    <t>1630年代から
あらゆる物事の基本原理（名詞）</t>
    <rPh sb="4" eb="6">
      <t>ネンダイ</t>
    </rPh>
    <rPh sb="13" eb="15">
      <t>モノゴト</t>
    </rPh>
    <rPh sb="16" eb="18">
      <t>キホン</t>
    </rPh>
    <rPh sb="18" eb="20">
      <t>ゲンリ</t>
    </rPh>
    <rPh sb="21" eb="23">
      <t>メイシ</t>
    </rPh>
    <phoneticPr fontId="1"/>
  </si>
  <si>
    <t>artificial</t>
    <phoneticPr fontId="1"/>
  </si>
  <si>
    <t>14世紀後期
自然ではない, 自発的ではない
&lt;span class="spacer"&gt;&lt;/span&gt;15世紀初頭
人工的に作られた</t>
    <rPh sb="2" eb="6">
      <t>セイキコウキ</t>
    </rPh>
    <rPh sb="7" eb="9">
      <t>シゼン</t>
    </rPh>
    <rPh sb="15" eb="18">
      <t>ジハツテキ</t>
    </rPh>
    <rPh sb="53" eb="57">
      <t>セイキショトウ</t>
    </rPh>
    <rPh sb="58" eb="61">
      <t>ジンコウテキ</t>
    </rPh>
    <rPh sb="62" eb="63">
      <t>ツク</t>
    </rPh>
    <phoneticPr fontId="1"/>
  </si>
  <si>
    <t>16世紀
自然のものを模したもの
&lt;span class="spacer"&gt;&lt;/span&gt;1590年代
不自然な, わざとらしい</t>
    <rPh sb="2" eb="4">
      <t>セイキ</t>
    </rPh>
    <rPh sb="5" eb="7">
      <t>シゼン</t>
    </rPh>
    <rPh sb="11" eb="12">
      <t>モ</t>
    </rPh>
    <rPh sb="49" eb="51">
      <t>ネンダイ</t>
    </rPh>
    <rPh sb="52" eb="55">
      <t>フシゼン</t>
    </rPh>
    <phoneticPr fontId="1"/>
  </si>
  <si>
    <t>firmus（堅固な, 安定した）</t>
    <rPh sb="7" eb="9">
      <t>ケンゴ</t>
    </rPh>
    <rPh sb="12" eb="14">
      <t>アンテイ</t>
    </rPh>
    <phoneticPr fontId="1"/>
  </si>
  <si>
    <t>ferm（堅固な, 堅実な）</t>
    <rPh sb="5" eb="7">
      <t>ケンゴ</t>
    </rPh>
    <rPh sb="10" eb="12">
      <t>ケンジツ</t>
    </rPh>
    <phoneticPr fontId="1"/>
  </si>
  <si>
    <t>ferm
&lt;span class="spacer"&gt;&lt;/span&gt;14世紀後期
安定した, 堅固な, 確固とした</t>
    <rPh sb="35" eb="37">
      <t>セイキ</t>
    </rPh>
    <rPh sb="37" eb="39">
      <t>コウキ</t>
    </rPh>
    <rPh sb="40" eb="42">
      <t>アンテイ</t>
    </rPh>
    <rPh sb="46" eb="48">
      <t>ケンゴ</t>
    </rPh>
    <rPh sb="51" eb="53">
      <t>カッコ</t>
    </rPh>
    <phoneticPr fontId="1"/>
  </si>
  <si>
    <t>16世紀後期
ラテン語のスペルにもどってfirmとなる</t>
    <rPh sb="2" eb="4">
      <t>セイキ</t>
    </rPh>
    <rPh sb="4" eb="6">
      <t>コウキ</t>
    </rPh>
    <rPh sb="10" eb="11">
      <t>ゴ</t>
    </rPh>
    <phoneticPr fontId="1"/>
  </si>
  <si>
    <t>ofer（上に, 越えて）+eall（すべて）
ofer eall（あらゆる所で, 全ての部分で）</t>
    <rPh sb="5" eb="6">
      <t>ウエ</t>
    </rPh>
    <rPh sb="9" eb="10">
      <t>コ</t>
    </rPh>
    <rPh sb="38" eb="39">
      <t>トコロ</t>
    </rPh>
    <rPh sb="42" eb="43">
      <t>スベ</t>
    </rPh>
    <rPh sb="45" eb="47">
      <t>ブブン</t>
    </rPh>
    <phoneticPr fontId="1"/>
  </si>
  <si>
    <t>over-al
&lt;span class="obsolete"&gt;いたるところから（現在は廃用）&lt;/span&gt;</t>
    <phoneticPr fontId="1"/>
  </si>
  <si>
    <t>1894年
すべてを含めた, 全体を考慮した</t>
    <rPh sb="4" eb="5">
      <t>ネン</t>
    </rPh>
    <rPh sb="10" eb="11">
      <t>フク</t>
    </rPh>
    <rPh sb="15" eb="17">
      <t>ゼンタイ</t>
    </rPh>
    <rPh sb="18" eb="20">
      <t>コウリョ</t>
    </rPh>
    <phoneticPr fontId="1"/>
  </si>
  <si>
    <t>*reue-（開く, 空間）</t>
    <rPh sb="7" eb="8">
      <t>ヒラ</t>
    </rPh>
    <rPh sb="11" eb="13">
      <t>クウカン</t>
    </rPh>
    <phoneticPr fontId="1"/>
  </si>
  <si>
    <t>rus（開けた土地, 田舎）
&lt;span class="spacer"&gt;&lt;/span&gt;形容詞を作る-alisが付いて
ruralis（田舎の）</t>
    <rPh sb="4" eb="5">
      <t>ヒラ</t>
    </rPh>
    <rPh sb="7" eb="9">
      <t>トチ</t>
    </rPh>
    <rPh sb="11" eb="13">
      <t>イナカ</t>
    </rPh>
    <rPh sb="43" eb="46">
      <t>ケイヨウシ</t>
    </rPh>
    <rPh sb="47" eb="48">
      <t>ツク</t>
    </rPh>
    <rPh sb="55" eb="56">
      <t>ツ</t>
    </rPh>
    <rPh sb="67" eb="69">
      <t>イナカ</t>
    </rPh>
    <phoneticPr fontId="1"/>
  </si>
  <si>
    <t>15世紀初頭
田舎に住んでいる</t>
    <rPh sb="2" eb="4">
      <t>セイキ</t>
    </rPh>
    <rPh sb="4" eb="6">
      <t>ショトウ</t>
    </rPh>
    <rPh sb="7" eb="9">
      <t>イナカ</t>
    </rPh>
    <rPh sb="10" eb="11">
      <t>ス</t>
    </rPh>
    <phoneticPr fontId="1"/>
  </si>
  <si>
    <t>1510年代
田舎の生活に特有な, 素朴な
洗練されていない
&lt;span class="spacer"&gt;&lt;/span&gt;1580年代
田舎の</t>
    <rPh sb="4" eb="6">
      <t>ネンダイ</t>
    </rPh>
    <rPh sb="7" eb="9">
      <t>イナカ</t>
    </rPh>
    <rPh sb="10" eb="12">
      <t>セイカツ</t>
    </rPh>
    <rPh sb="13" eb="15">
      <t>トクユウ</t>
    </rPh>
    <rPh sb="18" eb="20">
      <t>ソボク</t>
    </rPh>
    <rPh sb="22" eb="24">
      <t>センレン</t>
    </rPh>
    <rPh sb="63" eb="65">
      <t>ネンダイ</t>
    </rPh>
    <rPh sb="66" eb="68">
      <t>イナカ</t>
    </rPh>
    <phoneticPr fontId="1"/>
  </si>
  <si>
    <t>miles（兵士）
&lt;span class="spacer"&gt;&lt;/span&gt;形容詞を作る-arisが付いて
militaris（兵士の, 戦争の）</t>
    <rPh sb="6" eb="8">
      <t>ヘイシ</t>
    </rPh>
    <rPh sb="38" eb="41">
      <t>ケイヨウシ</t>
    </rPh>
    <rPh sb="42" eb="43">
      <t>ツク</t>
    </rPh>
    <rPh sb="50" eb="51">
      <t>ツ</t>
    </rPh>
    <rPh sb="64" eb="66">
      <t>ヘイシ</t>
    </rPh>
    <rPh sb="69" eb="71">
      <t>センソウ</t>
    </rPh>
    <phoneticPr fontId="1"/>
  </si>
  <si>
    <t>militaire</t>
    <phoneticPr fontId="1"/>
  </si>
  <si>
    <t>militari
&lt;span class="spacer"&gt;&lt;/span&gt;15世紀半ば
兵士に関する</t>
    <rPh sb="39" eb="41">
      <t>セイキ</t>
    </rPh>
    <rPh sb="41" eb="42">
      <t>ナカ</t>
    </rPh>
    <rPh sb="44" eb="46">
      <t>ヘイシ</t>
    </rPh>
    <rPh sb="47" eb="48">
      <t>カン</t>
    </rPh>
    <phoneticPr fontId="1"/>
  </si>
  <si>
    <t>cle</t>
  </si>
  <si>
    <t>nux（ナッツ）
&lt;span class="spacer"&gt;&lt;/span&gt;小さいことを表す-culaが付いて
nucula（小さなナッツ）
&lt;span class="spacer"&gt;&lt;/span&gt;nucleus（実の核, 中心, 核）</t>
    <rPh sb="37" eb="38">
      <t>チイ</t>
    </rPh>
    <rPh sb="43" eb="44">
      <t>アラワ</t>
    </rPh>
    <rPh sb="51" eb="52">
      <t>ツ</t>
    </rPh>
    <rPh sb="62" eb="63">
      <t>チイ</t>
    </rPh>
    <rPh sb="106" eb="107">
      <t>ミ</t>
    </rPh>
    <rPh sb="108" eb="109">
      <t>カク</t>
    </rPh>
    <rPh sb="111" eb="113">
      <t>チュウシン</t>
    </rPh>
    <rPh sb="115" eb="116">
      <t>カク</t>
    </rPh>
    <phoneticPr fontId="1"/>
  </si>
  <si>
    <t>1762年から
他のものが集まる中心
&lt;span class="spacer"&gt;&lt;/span&gt;1831年
細胞の核
&lt;span class="spacer"&gt;&lt;/span&gt;nucleus+ar（形容詞を作る）
&lt;span class="spacer"&gt;&lt;/span&gt;1841年
細胞核の</t>
    <rPh sb="4" eb="5">
      <t>ネン</t>
    </rPh>
    <rPh sb="8" eb="9">
      <t>ホカ</t>
    </rPh>
    <rPh sb="13" eb="14">
      <t>アツ</t>
    </rPh>
    <rPh sb="97" eb="100">
      <t>ケイヨウシ</t>
    </rPh>
    <rPh sb="101" eb="102">
      <t>ツク</t>
    </rPh>
    <rPh sb="137" eb="138">
      <t>ネン</t>
    </rPh>
    <rPh sb="139" eb="142">
      <t>サイボウカク</t>
    </rPh>
    <phoneticPr fontId="1"/>
  </si>
  <si>
    <t>1914年から
原子核の
&lt;span class="spacer"&gt;&lt;/span&gt;1945年
原子力の</t>
    <rPh sb="4" eb="5">
      <t>ネン</t>
    </rPh>
    <rPh sb="8" eb="11">
      <t>ゲンシカク</t>
    </rPh>
    <rPh sb="47" eb="50">
      <t>ゲンシリョク</t>
    </rPh>
    <phoneticPr fontId="1"/>
  </si>
  <si>
    <t>bios（生命, 生物）+logy（学問）
&lt;span class="spacer"&gt;&lt;/span&gt;1802年にドイツ人の学者によって造られた語</t>
    <rPh sb="5" eb="7">
      <t>セイメイ</t>
    </rPh>
    <rPh sb="9" eb="11">
      <t>セイブツ</t>
    </rPh>
    <rPh sb="18" eb="20">
      <t>ガクモン</t>
    </rPh>
    <rPh sb="54" eb="55">
      <t>ネン</t>
    </rPh>
    <rPh sb="59" eb="60">
      <t>ジン</t>
    </rPh>
    <rPh sb="61" eb="63">
      <t>ガクシャ</t>
    </rPh>
    <rPh sb="67" eb="68">
      <t>ツク</t>
    </rPh>
    <rPh sb="71" eb="72">
      <t>ゴ</t>
    </rPh>
    <phoneticPr fontId="1"/>
  </si>
  <si>
    <t>1819年
生物学
&lt;span class="spacer"&gt;&lt;/span&gt;1840年
biology（生物学）+ical（形容詞を作る）
biological（生物学の）</t>
    <rPh sb="4" eb="5">
      <t>ネン</t>
    </rPh>
    <rPh sb="6" eb="9">
      <t>セイブツガク</t>
    </rPh>
    <rPh sb="42" eb="43">
      <t>ネン</t>
    </rPh>
    <rPh sb="52" eb="55">
      <t>セイブツガク</t>
    </rPh>
    <rPh sb="62" eb="65">
      <t>ケイヨウシ</t>
    </rPh>
    <rPh sb="66" eb="67">
      <t>ツク</t>
    </rPh>
    <rPh sb="81" eb="84">
      <t>セイブツガク</t>
    </rPh>
    <phoneticPr fontId="1"/>
  </si>
  <si>
    <t>14世紀後期
不動の, 動じない
&lt;span class="spacer"&gt;&lt;/span&gt;15世紀初頭
忠誠心がゆるがない</t>
    <rPh sb="2" eb="4">
      <t>セイキ</t>
    </rPh>
    <rPh sb="4" eb="6">
      <t>コウキ</t>
    </rPh>
    <rPh sb="7" eb="9">
      <t>フドウ</t>
    </rPh>
    <rPh sb="12" eb="13">
      <t>ドウ</t>
    </rPh>
    <rPh sb="47" eb="51">
      <t>セイキショトウ</t>
    </rPh>
    <rPh sb="52" eb="55">
      <t>チュウセイシン</t>
    </rPh>
    <phoneticPr fontId="1"/>
  </si>
  <si>
    <t>1540年代
固定した, 変化しない
&lt;span class="spacer"&gt;&lt;/span&gt;1650年代
継続的な
&lt;span class="spacer"&gt;&lt;/span&gt;1817年から
規則的に繰り返される</t>
    <rPh sb="4" eb="6">
      <t>ネンダイ</t>
    </rPh>
    <rPh sb="7" eb="9">
      <t>コテイ</t>
    </rPh>
    <rPh sb="13" eb="15">
      <t>ヘンカ</t>
    </rPh>
    <rPh sb="51" eb="53">
      <t>ネンダイ</t>
    </rPh>
    <rPh sb="54" eb="57">
      <t>ケイゾクテキ</t>
    </rPh>
    <rPh sb="91" eb="92">
      <t>ネン</t>
    </rPh>
    <rPh sb="95" eb="98">
      <t>キソクテキ</t>
    </rPh>
    <rPh sb="99" eb="100">
      <t>ク</t>
    </rPh>
    <rPh sb="101" eb="102">
      <t>カエ</t>
    </rPh>
    <phoneticPr fontId="1"/>
  </si>
  <si>
    <t>severe</t>
    <phoneticPr fontId="1"/>
  </si>
  <si>
    <t>1540年代
非難や処罰において厳格な
&lt;span class="spacer"&gt;&lt;/span&gt;1560年代
態度が厳しい
法や処罰が容赦ない
自分の行動や規律において厳しい
&lt;span class="spacer"&gt;&lt;/span&gt;1660年代
抑制された
&lt;span class="spacer"&gt;&lt;/span&gt;1670年代
天候が厳しい
&lt;span class="spacer"&gt;&lt;/span&gt;1725年
病気について厳しい
&lt;span class="spacer"&gt;&lt;/span&gt;1742年
痛みが激しい, 耐え難い</t>
    <rPh sb="4" eb="6">
      <t>ネンダイ</t>
    </rPh>
    <rPh sb="7" eb="9">
      <t>ヒナン</t>
    </rPh>
    <rPh sb="10" eb="12">
      <t>ショバツ</t>
    </rPh>
    <rPh sb="16" eb="18">
      <t>ゲンカク</t>
    </rPh>
    <rPh sb="52" eb="54">
      <t>ネンダイ</t>
    </rPh>
    <rPh sb="55" eb="57">
      <t>タイド</t>
    </rPh>
    <rPh sb="58" eb="59">
      <t>キビ</t>
    </rPh>
    <rPh sb="62" eb="63">
      <t>ホウ</t>
    </rPh>
    <rPh sb="64" eb="66">
      <t>ショバツ</t>
    </rPh>
    <rPh sb="67" eb="69">
      <t>ヨウシャ</t>
    </rPh>
    <rPh sb="72" eb="74">
      <t>ジブン</t>
    </rPh>
    <rPh sb="84" eb="85">
      <t>キビ</t>
    </rPh>
    <rPh sb="123" eb="125">
      <t>ヨクセイ</t>
    </rPh>
    <rPh sb="164" eb="166">
      <t>テンコウ</t>
    </rPh>
    <rPh sb="167" eb="168">
      <t>キビ</t>
    </rPh>
    <rPh sb="203" eb="204">
      <t>ネン</t>
    </rPh>
    <rPh sb="205" eb="207">
      <t>ビョウキ</t>
    </rPh>
    <rPh sb="211" eb="212">
      <t>キビ</t>
    </rPh>
    <rPh sb="249" eb="250">
      <t>イタ</t>
    </rPh>
    <rPh sb="252" eb="253">
      <t>ハゲ</t>
    </rPh>
    <rPh sb="257" eb="258">
      <t>タ</t>
    </rPh>
    <rPh sb="259" eb="260">
      <t>ガタ</t>
    </rPh>
    <phoneticPr fontId="1"/>
  </si>
  <si>
    <t>videre（見る）
&lt;span class="spacer"&gt;&lt;/span&gt;過去分詞visus（見ること, 視覚, 視力）</t>
    <rPh sb="7" eb="8">
      <t>ミ</t>
    </rPh>
    <rPh sb="39" eb="43">
      <t>カコブンシ</t>
    </rPh>
    <rPh sb="49" eb="50">
      <t>ミ</t>
    </rPh>
    <rPh sb="55" eb="57">
      <t>シカク</t>
    </rPh>
    <rPh sb="59" eb="61">
      <t>シリョク</t>
    </rPh>
    <phoneticPr fontId="1"/>
  </si>
  <si>
    <t>visusに形容詞を作る-alisが付いて
visualis（視覚の, 見ることに関する）</t>
    <rPh sb="6" eb="9">
      <t>ケイヨウシ</t>
    </rPh>
    <rPh sb="10" eb="11">
      <t>ツク</t>
    </rPh>
    <rPh sb="18" eb="19">
      <t>ツ</t>
    </rPh>
    <rPh sb="31" eb="33">
      <t>シカク</t>
    </rPh>
    <rPh sb="36" eb="37">
      <t>ミ</t>
    </rPh>
    <rPh sb="41" eb="42">
      <t>カン</t>
    </rPh>
    <phoneticPr fontId="1"/>
  </si>
  <si>
    <t>15世紀初頭
視覚に関する
&lt;span class="spacer"&gt;&lt;/span&gt;15世紀後期
目に見える
視覚によって知覚される</t>
    <rPh sb="2" eb="6">
      <t>セイキショトウ</t>
    </rPh>
    <rPh sb="7" eb="9">
      <t>シカク</t>
    </rPh>
    <rPh sb="10" eb="11">
      <t>カン</t>
    </rPh>
    <rPh sb="44" eb="46">
      <t>セイキ</t>
    </rPh>
    <rPh sb="46" eb="48">
      <t>コウキ</t>
    </rPh>
    <rPh sb="49" eb="50">
      <t>メ</t>
    </rPh>
    <rPh sb="51" eb="52">
      <t>ミ</t>
    </rPh>
    <rPh sb="55" eb="57">
      <t>シカク</t>
    </rPh>
    <rPh sb="61" eb="63">
      <t>チカク</t>
    </rPh>
    <phoneticPr fontId="1"/>
  </si>
  <si>
    <t>1600年頃
視覚に関連する</t>
    <rPh sb="4" eb="5">
      <t>ネン</t>
    </rPh>
    <rPh sb="5" eb="6">
      <t>コロ</t>
    </rPh>
    <rPh sb="7" eb="9">
      <t>シカク</t>
    </rPh>
    <rPh sb="10" eb="12">
      <t>カンレン</t>
    </rPh>
    <phoneticPr fontId="1"/>
  </si>
  <si>
    <t>ex（外に）+norma（基準, ノルマ）
enormis（基準から外れた, 並外れた）</t>
    <rPh sb="3" eb="4">
      <t>ソト</t>
    </rPh>
    <rPh sb="13" eb="15">
      <t>キジュン</t>
    </rPh>
    <rPh sb="30" eb="32">
      <t>キジュン</t>
    </rPh>
    <rPh sb="34" eb="35">
      <t>ハズナミハズ</t>
    </rPh>
    <phoneticPr fontId="1"/>
  </si>
  <si>
    <t>15世紀半ば
非常に大きな</t>
    <rPh sb="2" eb="4">
      <t>セイキ</t>
    </rPh>
    <rPh sb="4" eb="5">
      <t>ナカ</t>
    </rPh>
    <rPh sb="7" eb="9">
      <t>ヒジョウ</t>
    </rPh>
    <rPh sb="10" eb="11">
      <t>オオ</t>
    </rPh>
    <phoneticPr fontId="1"/>
  </si>
  <si>
    <t>1530年代
異常な
&lt;span class="spacer"&gt;&lt;/span&gt;1540年代
大きさが並外れた, 巨大な</t>
    <rPh sb="4" eb="6">
      <t>ネンダイ</t>
    </rPh>
    <rPh sb="7" eb="9">
      <t>イジョウ</t>
    </rPh>
    <rPh sb="43" eb="45">
      <t>ネンダイ</t>
    </rPh>
    <rPh sb="46" eb="47">
      <t>オオ</t>
    </rPh>
    <rPh sb="50" eb="52">
      <t>ナミハズ</t>
    </rPh>
    <rPh sb="56" eb="58">
      <t>キョダイ</t>
    </rPh>
    <phoneticPr fontId="1"/>
  </si>
  <si>
    <t>com（共に）+venire（来る）
convenire（共に来る, 集まる, 適している）
&lt;span class="spacer"&gt;&lt;/span&gt;現在分詞convenientem（適切な）</t>
    <rPh sb="4" eb="5">
      <t>トモ</t>
    </rPh>
    <rPh sb="15" eb="16">
      <t>ク</t>
    </rPh>
    <rPh sb="29" eb="30">
      <t>トモ</t>
    </rPh>
    <rPh sb="31" eb="32">
      <t>ク</t>
    </rPh>
    <rPh sb="35" eb="36">
      <t>アツ</t>
    </rPh>
    <rPh sb="40" eb="41">
      <t>テキ</t>
    </rPh>
    <rPh sb="75" eb="79">
      <t>ゲンザイブンシ</t>
    </rPh>
    <rPh sb="92" eb="94">
      <t>テキセツ</t>
    </rPh>
    <phoneticPr fontId="1"/>
  </si>
  <si>
    <t>14世紀後期
適した, 好都合な
&lt;span class="spacer"&gt;&lt;/span&gt;15世紀後期
何かをする上で適した</t>
    <rPh sb="2" eb="4">
      <t>セイキ</t>
    </rPh>
    <rPh sb="4" eb="6">
      <t>コウキ</t>
    </rPh>
    <rPh sb="7" eb="8">
      <t>テキ</t>
    </rPh>
    <rPh sb="12" eb="15">
      <t>コウツゴウ</t>
    </rPh>
    <rPh sb="47" eb="49">
      <t>セイキ</t>
    </rPh>
    <rPh sb="49" eb="51">
      <t>コウキ</t>
    </rPh>
    <rPh sb="52" eb="53">
      <t>ナニ</t>
    </rPh>
    <rPh sb="57" eb="58">
      <t>ウエ</t>
    </rPh>
    <rPh sb="59" eb="60">
      <t>テキ</t>
    </rPh>
    <phoneticPr fontId="1"/>
  </si>
  <si>
    <t>手近な, 容易に利用できる</t>
    <rPh sb="0" eb="2">
      <t>テヂカ</t>
    </rPh>
    <rPh sb="5" eb="7">
      <t>ヨウイ</t>
    </rPh>
    <rPh sb="8" eb="10">
      <t>リヨウ</t>
    </rPh>
    <phoneticPr fontId="1"/>
  </si>
  <si>
    <t>14世紀
domestique</t>
    <rPh sb="2" eb="4">
      <t>セイキ</t>
    </rPh>
    <phoneticPr fontId="1"/>
  </si>
  <si>
    <t>15世紀初頭
家の中で準備された</t>
    <rPh sb="2" eb="6">
      <t>セイキショトウ</t>
    </rPh>
    <rPh sb="7" eb="8">
      <t>イエ</t>
    </rPh>
    <rPh sb="9" eb="10">
      <t>ナカ</t>
    </rPh>
    <rPh sb="11" eb="13">
      <t>ジュンビ</t>
    </rPh>
    <phoneticPr fontId="1"/>
  </si>
  <si>
    <t>1540年代
国家を一つの家族と見なして国家の
&lt;span class="spacer"&gt;&lt;/span&gt;1610年代
家庭に関する
動物が飼い慣らされた</t>
    <rPh sb="4" eb="6">
      <t>ネンダイ</t>
    </rPh>
    <rPh sb="7" eb="9">
      <t>コッカ</t>
    </rPh>
    <rPh sb="10" eb="11">
      <t>ヒト</t>
    </rPh>
    <rPh sb="13" eb="15">
      <t>カゾク</t>
    </rPh>
    <rPh sb="16" eb="17">
      <t>ミ</t>
    </rPh>
    <rPh sb="20" eb="22">
      <t>コッカ</t>
    </rPh>
    <rPh sb="56" eb="58">
      <t>ネンダイ</t>
    </rPh>
    <rPh sb="59" eb="61">
      <t>カテイ</t>
    </rPh>
    <rPh sb="62" eb="63">
      <t>カン</t>
    </rPh>
    <rPh sb="66" eb="68">
      <t>ドウブツ</t>
    </rPh>
    <rPh sb="69" eb="70">
      <t>カ</t>
    </rPh>
    <rPh sb="71" eb="72">
      <t>ナ</t>
    </rPh>
    <phoneticPr fontId="1"/>
  </si>
  <si>
    <t>maza（大麦のケーキ, 塊）</t>
    <rPh sb="5" eb="7">
      <t>オオムギ</t>
    </rPh>
    <rPh sb="13" eb="14">
      <t>カタマリ</t>
    </rPh>
    <phoneticPr fontId="1"/>
  </si>
  <si>
    <t>11世紀
masse（塊, 群衆, 大量）</t>
    <rPh sb="2" eb="4">
      <t>セイキ</t>
    </rPh>
    <rPh sb="11" eb="12">
      <t>カタマリ</t>
    </rPh>
    <rPh sb="14" eb="16">
      <t>グンシュウ</t>
    </rPh>
    <rPh sb="18" eb="20">
      <t>タイリョウ</t>
    </rPh>
    <phoneticPr fontId="1"/>
  </si>
  <si>
    <t>14世紀後期
不規則な形の塊
まとまりのある物質のかたまり</t>
    <rPh sb="2" eb="4">
      <t>セイキ</t>
    </rPh>
    <rPh sb="4" eb="6">
      <t>コウキ</t>
    </rPh>
    <rPh sb="7" eb="10">
      <t>フキソク</t>
    </rPh>
    <rPh sb="11" eb="12">
      <t>カタチ</t>
    </rPh>
    <rPh sb="13" eb="14">
      <t>カタマリ</t>
    </rPh>
    <rPh sb="22" eb="24">
      <t>ブッシツ</t>
    </rPh>
    <phoneticPr fontId="1"/>
  </si>
  <si>
    <t>typos（刻まれた刻印, 型, タイプ）
&lt;span class="spacer"&gt;&lt;/span&gt;形容詞を作る-ikosが付いて
typikos（型に関する）</t>
    <rPh sb="6" eb="7">
      <t>キザ</t>
    </rPh>
    <rPh sb="10" eb="12">
      <t>コクイン</t>
    </rPh>
    <rPh sb="14" eb="15">
      <t>カタ</t>
    </rPh>
    <rPh sb="50" eb="53">
      <t>ケイヨウシ</t>
    </rPh>
    <rPh sb="54" eb="55">
      <t>ツク</t>
    </rPh>
    <rPh sb="62" eb="63">
      <t>ツ</t>
    </rPh>
    <rPh sb="74" eb="75">
      <t>カタ</t>
    </rPh>
    <rPh sb="76" eb="77">
      <t>カン</t>
    </rPh>
    <phoneticPr fontId="1"/>
  </si>
  <si>
    <t>typicus（型に関する）</t>
    <rPh sb="8" eb="9">
      <t>カタ</t>
    </rPh>
    <rPh sb="10" eb="11">
      <t>カン</t>
    </rPh>
    <phoneticPr fontId="1"/>
  </si>
  <si>
    <t>typicalis（象徴的な）</t>
    <rPh sb="10" eb="13">
      <t>ショウチョウテキ</t>
    </rPh>
    <phoneticPr fontId="1"/>
  </si>
  <si>
    <t>1600年頃
典型を示す, 象徴的な
&lt;span class="spacer"&gt;&lt;/span&gt;1850年までに
典型的な</t>
    <rPh sb="4" eb="6">
      <t>ネンコロ</t>
    </rPh>
    <rPh sb="7" eb="9">
      <t>テンケイ</t>
    </rPh>
    <rPh sb="10" eb="11">
      <t>シメ</t>
    </rPh>
    <rPh sb="14" eb="17">
      <t>ショウチョウテキ</t>
    </rPh>
    <rPh sb="51" eb="52">
      <t>ネン</t>
    </rPh>
    <rPh sb="56" eb="59">
      <t>テンケイテキ</t>
    </rPh>
    <phoneticPr fontId="1"/>
  </si>
  <si>
    <t>1550年
oversea（海を越える移動に関する）
&lt;span class="spacer"&gt;&lt;/span&gt;1580年代
外国の（形容詞）
海外へ（副詞）</t>
    <rPh sb="4" eb="5">
      <t>ネン</t>
    </rPh>
    <rPh sb="14" eb="15">
      <t>ウミ</t>
    </rPh>
    <rPh sb="16" eb="17">
      <t>コ</t>
    </rPh>
    <rPh sb="19" eb="21">
      <t>イドウ</t>
    </rPh>
    <rPh sb="22" eb="23">
      <t>カン</t>
    </rPh>
    <rPh sb="59" eb="61">
      <t>ネンダイ</t>
    </rPh>
    <rPh sb="62" eb="64">
      <t>ガイコク</t>
    </rPh>
    <rPh sb="66" eb="69">
      <t>ケイヨウシ</t>
    </rPh>
    <rPh sb="71" eb="73">
      <t>カイガイ</t>
    </rPh>
    <rPh sb="75" eb="77">
      <t>フクシ</t>
    </rPh>
    <phoneticPr fontId="1"/>
  </si>
  <si>
    <t>14世紀初頭
neuer þe lesse
&lt;span class="spacer"&gt;&lt;/span&gt;14世紀半ば
1語になってneuerþeles</t>
    <rPh sb="2" eb="4">
      <t>セイキ</t>
    </rPh>
    <rPh sb="4" eb="6">
      <t>ショトウ</t>
    </rPh>
    <rPh sb="52" eb="54">
      <t>セイキ</t>
    </rPh>
    <rPh sb="54" eb="55">
      <t>ナカ</t>
    </rPh>
    <rPh sb="58" eb="59">
      <t>ゴ</t>
    </rPh>
    <phoneticPr fontId="1"/>
  </si>
  <si>
    <t>monstrum（不運を告げる神の兆し, モンスター）
&lt;span class="spacer"&gt;&lt;/span&gt;動詞になって
monstrare（指し示す）
&lt;span class="spacer"&gt;&lt;/span&gt;de（完全に）+monstrare（指し示す）
demonstrare（指し示す, 証明する）
&lt;span class="spacer"&gt;&lt;/span&gt;過去分詞demonstratus</t>
    <rPh sb="56" eb="58">
      <t>ドウシ</t>
    </rPh>
    <rPh sb="73" eb="76">
      <t>サシシメ</t>
    </rPh>
    <rPh sb="110" eb="112">
      <t>カンゼン</t>
    </rPh>
    <rPh sb="143" eb="146">
      <t>サシシメ</t>
    </rPh>
    <rPh sb="149" eb="151">
      <t>ショウメイ</t>
    </rPh>
    <rPh sb="183" eb="187">
      <t>カコブンシ</t>
    </rPh>
    <phoneticPr fontId="1"/>
  </si>
  <si>
    <t>ex（外に）+ducere（導く）
educere（外へ導き出す）
&lt;span class="spacer"&gt;&lt;/span&gt;educare（育てる, 教育する）
&lt;span class="spacer"&gt;&lt;/span&gt;過去分詞educatus</t>
    <rPh sb="3" eb="4">
      <t>ソト</t>
    </rPh>
    <rPh sb="14" eb="15">
      <t>ミチビ</t>
    </rPh>
    <rPh sb="26" eb="27">
      <t>ソト</t>
    </rPh>
    <rPh sb="28" eb="29">
      <t>ミチビ</t>
    </rPh>
    <rPh sb="30" eb="31">
      <t>ダ</t>
    </rPh>
    <rPh sb="75" eb="77">
      <t>キョウイク</t>
    </rPh>
    <phoneticPr fontId="1"/>
  </si>
  <si>
    <t>educaten
&lt;span class="spacer"&gt;&lt;/span&gt;15世紀半ば
子どもを育てる</t>
    <rPh sb="39" eb="41">
      <t>セイキ</t>
    </rPh>
    <rPh sb="41" eb="42">
      <t>ナカ</t>
    </rPh>
    <rPh sb="44" eb="45">
      <t>コ</t>
    </rPh>
    <rPh sb="48" eb="49">
      <t>ソダ</t>
    </rPh>
    <phoneticPr fontId="1"/>
  </si>
  <si>
    <t>1580年代までに
学校教育をほどこす</t>
    <rPh sb="4" eb="6">
      <t>ネンダイ</t>
    </rPh>
    <rPh sb="10" eb="14">
      <t>ガッコウキョウイク</t>
    </rPh>
    <phoneticPr fontId="1"/>
  </si>
  <si>
    <t>capere（取る）
&lt;span class="spacer"&gt;&lt;/span&gt;反復形captare（保持する）</t>
    <rPh sb="7" eb="8">
      <t>ト</t>
    </rPh>
    <rPh sb="39" eb="41">
      <t>ハンプク</t>
    </rPh>
    <rPh sb="41" eb="42">
      <t>カタチ</t>
    </rPh>
    <rPh sb="50" eb="52">
      <t>ホジ</t>
    </rPh>
    <phoneticPr fontId="1"/>
  </si>
  <si>
    <t>pur（前へ）+chacier（追いかける）
porchacier（探し求める, 努力して追及する）</t>
    <rPh sb="4" eb="5">
      <t>マエ</t>
    </rPh>
    <rPh sb="16" eb="17">
      <t>オ</t>
    </rPh>
    <rPh sb="34" eb="35">
      <t>サガ</t>
    </rPh>
    <rPh sb="36" eb="37">
      <t>モト</t>
    </rPh>
    <rPh sb="41" eb="43">
      <t>ドリョク</t>
    </rPh>
    <rPh sb="45" eb="47">
      <t>ツイキュウ</t>
    </rPh>
    <phoneticPr fontId="1"/>
  </si>
  <si>
    <t>purchaser（追い求める）</t>
    <rPh sb="10" eb="11">
      <t>オ</t>
    </rPh>
    <rPh sb="12" eb="13">
      <t>モト</t>
    </rPh>
    <phoneticPr fontId="1"/>
  </si>
  <si>
    <t>purchasen
&lt;span class="spacer"&gt;&lt;/span&gt;1300年頃
獲得する, 受け取る
&lt;span class="spacer"&gt;&lt;/span&gt;14世紀半ば
金銭を支払って得る</t>
    <rPh sb="42" eb="43">
      <t>ネン</t>
    </rPh>
    <rPh sb="43" eb="44">
      <t>コロ</t>
    </rPh>
    <rPh sb="45" eb="47">
      <t>カクトク</t>
    </rPh>
    <rPh sb="51" eb="52">
      <t>ウ</t>
    </rPh>
    <rPh sb="53" eb="54">
      <t>ト</t>
    </rPh>
    <rPh sb="86" eb="88">
      <t>セイキ</t>
    </rPh>
    <rPh sb="88" eb="89">
      <t>ナカ</t>
    </rPh>
    <rPh sb="91" eb="93">
      <t>キンセン</t>
    </rPh>
    <rPh sb="94" eb="96">
      <t>シハラ</t>
    </rPh>
    <rPh sb="98" eb="99">
      <t>エ</t>
    </rPh>
    <phoneticPr fontId="1"/>
  </si>
  <si>
    <t>re（強意）+commendare（世話を委ねる, 託す）
recommendare（世話を委ねる, 価値あるものとして示す）</t>
    <rPh sb="43" eb="45">
      <t>セワ</t>
    </rPh>
    <rPh sb="46" eb="47">
      <t>ユダ</t>
    </rPh>
    <rPh sb="51" eb="53">
      <t>カチ</t>
    </rPh>
    <rPh sb="60" eb="61">
      <t>シメ</t>
    </rPh>
    <phoneticPr fontId="1"/>
  </si>
  <si>
    <t>1746年から
勧める
行動について助言する</t>
    <rPh sb="4" eb="5">
      <t>ネン</t>
    </rPh>
    <rPh sb="8" eb="9">
      <t>スス</t>
    </rPh>
    <rPh sb="12" eb="14">
      <t>コウドウ</t>
    </rPh>
    <rPh sb="18" eb="20">
      <t>ジョゲン</t>
    </rPh>
    <phoneticPr fontId="1"/>
  </si>
  <si>
    <t>ad（～へ）+mittere（送る, 放つ）
admittere（入場を認める, 行為を許可する）</t>
    <rPh sb="15" eb="16">
      <t>オク</t>
    </rPh>
    <rPh sb="19" eb="20">
      <t>ハナ</t>
    </rPh>
    <rPh sb="33" eb="35">
      <t>ニュウジョウ</t>
    </rPh>
    <rPh sb="36" eb="37">
      <t>ミト</t>
    </rPh>
    <rPh sb="41" eb="43">
      <t>コウイ</t>
    </rPh>
    <rPh sb="44" eb="46">
      <t>キョカ</t>
    </rPh>
    <phoneticPr fontId="1"/>
  </si>
  <si>
    <t>admitten
&lt;span class="spacer"&gt;&lt;/span&gt;14世紀後期
中へ送る
&lt;span class="spacer"&gt;&lt;/span&gt;15世紀初頭
議論において正当だと認める</t>
    <rPh sb="39" eb="41">
      <t>セイキ</t>
    </rPh>
    <rPh sb="41" eb="43">
      <t>コウキ</t>
    </rPh>
    <rPh sb="44" eb="45">
      <t>ナカ</t>
    </rPh>
    <rPh sb="46" eb="47">
      <t>オク</t>
    </rPh>
    <rPh sb="81" eb="83">
      <t>ショトウ</t>
    </rPh>
    <rPh sb="84" eb="86">
      <t>ギロン</t>
    </rPh>
    <rPh sb="90" eb="92">
      <t>セイトウ</t>
    </rPh>
    <rPh sb="94" eb="95">
      <t>ミト</t>
    </rPh>
    <phoneticPr fontId="1"/>
  </si>
  <si>
    <t xml:space="preserve">1560年代
何かを生み出す
</t>
    <rPh sb="4" eb="6">
      <t>ネンダイ</t>
    </rPh>
    <rPh sb="7" eb="8">
      <t>ナニ</t>
    </rPh>
    <rPh sb="10" eb="11">
      <t>ウ</t>
    </rPh>
    <rPh sb="12" eb="13">
      <t>ダ</t>
    </rPh>
    <phoneticPr fontId="1"/>
  </si>
  <si>
    <t>1550年代
&lt;span class="obsolete"&gt;指し示す（現在は廃用）&lt;/span&gt;
&lt;span class="spacer"&gt;&lt;/span&gt;1570年代
議論や推論によって真実を指し示す
&lt;span class="spacer"&gt;&lt;/span&gt;1680年代
科学的に説明する
&lt;span class="spacer"&gt;&lt;/span&gt;1888年までに
デモに参加する</t>
  </si>
  <si>
    <t>recommenden
&lt;span class="spacer"&gt;&lt;/span&gt;14世紀後期
世話を委ねる, 価値あるものとして示す</t>
  </si>
  <si>
    <t>genus（種族,  血統, 性別）
&lt;span class="spacer"&gt;&lt;/span&gt;動詞になって
generare（生む, 生じさせる）
&lt;span class="spacer"&gt;&lt;/span&gt;過去分詞generatus</t>
  </si>
  <si>
    <t>もとになったラテン語からイメージをつかむ。</t>
  </si>
  <si>
    <t>ex（外へ）+plorare（泣く, 叫ぶ）
explorare（狩猟において大声を出して獲物のいる区域を探る, 探検する, 調査する）</t>
  </si>
  <si>
    <t>16世紀
explorer</t>
  </si>
  <si>
    <t>1580年代
調査する
&lt;span class="spacer"&gt;&lt;/span&gt;発見を求めて国や土地へ行く, 探検する</t>
  </si>
  <si>
    <t>amased
&lt;span class="spacer"&gt;&lt;/span&gt;1200年頃
呆然とした
&lt;span class="spacer"&gt;&lt;/span&gt;14世紀後期
ぼーっとした, 当惑した</t>
  </si>
  <si>
    <t>1580年代
突然の驚きによって圧倒する, 困惑させる</t>
  </si>
  <si>
    <t>teran（力ずくで引き裂く）</t>
  </si>
  <si>
    <t>tēran（引き裂く）</t>
  </si>
  <si>
    <t>setl（座席）
&lt;span class="spacer"&gt;&lt;/span&gt;動詞になって
setlan（座席に座らせる, 固定位置に置く）</t>
  </si>
  <si>
    <t>setlen（座らせる, 固定する, 安定する）</t>
  </si>
  <si>
    <t>1520年代
落ち着く
&lt;span class="spacer"&gt;&lt;/span&gt;1570年代
不安や混乱状態から安定した状態になる
&lt;span class="spacer"&gt;&lt;/span&gt;1620年代
意図によって定める, 決定する
&lt;span class="spacer"&gt;&lt;/span&gt;1782年
解決する</t>
  </si>
  <si>
    <t>forð（前へ）
&lt;span class="spacer"&gt;&lt;/span&gt;動詞になって
forðian（前進させる）
&lt;span class="spacer"&gt;&lt;/span&gt;ge（完了）＋forðian（前進させる）
geforðian（前へ出す, 促進する, 成し遂げる）</t>
  </si>
  <si>
    <t>ge-がa-へ変化してaforthになる
&lt;span class="spacer"&gt;&lt;/span&gt;14世紀後期
成し遂げるという意味から、費用を負担できるという意味へ変化</t>
  </si>
  <si>
    <t>16世紀
aforthのafがラテン語のad-だと誤認され、スペルがafforthになる
&lt;span class="spacer"&gt;&lt;/span&gt;16世紀後期
thの音がdへ変化し、affordとなる</t>
  </si>
  <si>
    <t>con（共に）+claudere（閉じる）
concludere（共に閉じる, 閉じ込める, 囲い込む, 推論して結論に達する）</t>
  </si>
  <si>
    <t>14世紀初頭
論争で勝って終わらせる
&lt;span class="spacer"&gt;&lt;/span&gt;14世紀後期
終わらせる, 終わる
&lt;span class="spacer"&gt;&lt;/span&gt;15世紀初頭
決着をつける, 最終的に決定する</t>
  </si>
  <si>
    <t>advertir（注意を向かせる, 注目する）</t>
  </si>
  <si>
    <t>advertisen
&lt;span class="spacer"&gt;&lt;/span&gt;15世紀初頭
&lt;span class="obsolete"&gt;注意を払う（現在は廃用）&lt;/span&gt;
&lt;span class="spacer"&gt;&lt;/span&gt;15世紀半ば
他人に知らせる, 通知する</t>
  </si>
  <si>
    <t>18世紀後期
商品や販売物などに注意を向けさせる</t>
  </si>
  <si>
    <t>in（中に）+contra（反対して, 〜に対して）</t>
  </si>
  <si>
    <t>incontra（正面で向かい合って, 正面に）</t>
  </si>
  <si>
    <t>encontre（〜に対して, 逆らって）
&lt;span class="spacer"&gt;&lt;/span&gt;名詞になって
出会い
&lt;span class="spacer"&gt;&lt;/span&gt;動詞になって
出会う, 対決する, 戦う</t>
  </si>
  <si>
    <t>1300年頃
敵として出会う</t>
  </si>
  <si>
    <t>16世紀初頭
敵対という意味がなくなって、偶然に出会う</t>
  </si>
  <si>
    <t>re（再び）</t>
  </si>
  <si>
    <t>mynd（心, 記憶, 思考）
&lt;span class="spacer"&gt;&lt;/span&gt;動詞になって
myndgian（心にとめる, 覚えている）</t>
  </si>
  <si>
    <t>re（再び）＋mind（心にとめる）
&lt;span class="spacer"&gt;&lt;/span&gt;1640年代
&lt;span class="obsolete"&gt;何かを思い出す（現在は廃用）&lt;/span&gt;
&lt;span class="spacer"&gt;&lt;/span&gt;1650年代
誰かに何かを思い出させる</t>
  </si>
  <si>
    <t>locus（場所）
&lt;span class="spacer"&gt;&lt;/span&gt;動詞になって
locare（置く, 配置する）
&lt;span class="spacer"&gt;&lt;/span&gt;過去分詞locatus</t>
  </si>
  <si>
    <t>1650年代
ある場所に身を置く（自動詞）
&lt;span class="spacer"&gt;&lt;/span&gt;1739年から
何かをある場所に固定する</t>
  </si>
  <si>
    <t>ad（〜へ）+iuvare（助ける, 援助する）
adiuvare（助けを与える）
&lt;span class="spacer"&gt;&lt;/span&gt;反復形adiutare（たびたび助ける, 援助する）</t>
  </si>
  <si>
    <t>aidier（助ける, 援助する）</t>
  </si>
  <si>
    <t>aiden
&lt;span class="spacer"&gt;&lt;/span&gt;1400年頃
助ける, 援助する</t>
  </si>
  <si>
    <t>bitter（苦い, ビター）と関連させて覚える。</t>
  </si>
  <si>
    <t>*bheid-（裂く、分ける）</t>
  </si>
  <si>
    <t>bitan（噛み切る, 歯で突き刺す）</t>
  </si>
  <si>
    <t>liber（自由な）
&lt;span class="spacer"&gt;&lt;/span&gt;動詞になって
liberare（自由にする, 解放する）</t>
  </si>
  <si>
    <t>de（離れて）+liberare（自由にする, 解放する）
deliberare（解放する, 自由にする）</t>
  </si>
  <si>
    <t>delivrer（自由にする, 商品を引き渡す）</t>
  </si>
  <si>
    <t>deliveren
&lt;span class="spacer"&gt;&lt;/span&gt;1200年頃
解放する
&lt;span class="spacer"&gt;&lt;/span&gt;1300年頃
引き渡す, 与える, 譲る</t>
  </si>
  <si>
    <t>per（完全に）+capere（取る, つかむ）
percipere（完全に取る, 心で把握する, 理解する）</t>
  </si>
  <si>
    <t>古北フランス語</t>
  </si>
  <si>
    <t>*perceivre（知覚する, 気づく, 理解する）</t>
  </si>
  <si>
    <t>parceif</t>
  </si>
  <si>
    <t>perceiven
&lt;span class="spacer"&gt;&lt;/span&gt;1300年頃
気づく, 直接的な経験によって知る</t>
  </si>
  <si>
    <t>dis（離れて）+stinguere（突く, 刺激する）
distinguere（突いて分ける, 分離する, 区別する）</t>
  </si>
  <si>
    <t>distinguer（区別する, 見分ける）</t>
  </si>
  <si>
    <t>14世紀半ば
distinguen</t>
  </si>
  <si>
    <t xml:space="preserve">1560年代
似たものから異なるものとして認識する, 見分ける
</t>
  </si>
  <si>
    <t>in（中に）+plicare（折る, 畳む）
implicare（折り込む, 包み込む）</t>
  </si>
  <si>
    <t>emplier（包む）</t>
  </si>
  <si>
    <t>implien
&lt;span class="spacer"&gt;&lt;/span&gt;14世紀後期
包み込む
&lt;span class="spacer"&gt;&lt;/span&gt;1400年頃
明示されていないことを論理的帰結として含む
（直接言葉にされていないが、論理的にはその結論になるという感じ）</t>
  </si>
  <si>
    <t>1580年代
暗示する, ほのめかす</t>
  </si>
  <si>
    <t>hand（手）
&lt;span class="spacer"&gt;&lt;/span&gt;動詞になって
handlian（手で触る, 取り扱う）</t>
  </si>
  <si>
    <t>handlen（手で触る, 扱う, 処理する）</t>
  </si>
  <si>
    <t>物が手から手へ渡るという意味から発展して、取引する, 商う</t>
  </si>
  <si>
    <t>pretium（価値, 賞, 報酬）</t>
  </si>
  <si>
    <t>pretiumが動詞になって
pretiare（値段をつける, 評価する）
&lt;span class="spacer"&gt;&lt;/span&gt;後にスペルがpreciareになる</t>
  </si>
  <si>
    <t>preisier（価値を置く, 賞賛する）</t>
  </si>
  <si>
    <t>preisen
&lt;span class="spacer"&gt;&lt;/span&gt;13世紀半ば
価格を設定する, 評価する
&lt;span class="spacer"&gt;&lt;/span&gt;13世紀後期
高く評価する
&lt;span class="spacer"&gt;&lt;/span&gt;1300年頃
賞賛する</t>
  </si>
  <si>
    <t>ad（〜へ）+pellere（打つ, 押す）
appellere（船を特定の上陸地点へ向かわせる）
&lt;span class="spacer"&gt;&lt;/span&gt;反復形appellāre（呼びかける, 訴える）</t>
  </si>
  <si>
    <t>apeler（呼びかける, 上訴する）</t>
  </si>
  <si>
    <t>apeler（呼びかける, 告発する）</t>
  </si>
  <si>
    <t>appelen
&lt;span class="spacer"&gt;&lt;/span&gt;14世紀初頭
裁判所に訴える</t>
  </si>
  <si>
    <t>in（中に, 上に）+sistere（立たせる）
insistere（上に立たせる, 立場をとる, 強く主張する）</t>
  </si>
  <si>
    <t>insister</t>
  </si>
  <si>
    <t xml:space="preserve">1580年代に英語に入る
</t>
  </si>
  <si>
    <t>com（共に）+petere（求める, 目指す）
competere（出会う, 一致する）</t>
  </si>
  <si>
    <t>competere（何かを求めて競い合う）</t>
  </si>
  <si>
    <t>compéter（競争関係にある）</t>
  </si>
  <si>
    <t>1610年代
競争関係になる</t>
  </si>
  <si>
    <t>*hring（円, 輪）</t>
  </si>
  <si>
    <t>ranc（列, 並び）</t>
  </si>
  <si>
    <t>14世紀初頭
列, 並び, 連なり</t>
  </si>
  <si>
    <t>1570年代
列に並べる
&lt;span class="spacer"&gt;&lt;/span&gt;1590年代
階級や等級を与える
階層の中で位置づける</t>
  </si>
  <si>
    <t>nec（〜ではない, not）
&lt;span class="spacer"&gt;&lt;/span&gt;動詞になって
negāre（否定する, ノーと言う）
&lt;span class="spacer"&gt;&lt;/span&gt;de（離れて）+negāre（否定する）
dēnegāre（否定する, 拒否する）</t>
  </si>
  <si>
    <t>denoiir（否定する, 拒絶する）</t>
  </si>
  <si>
    <t>14世紀初頭
虚偽または成り立たないものとして宣言する
&lt;span class="spacer"&gt;&lt;/span&gt;14世紀後期
拒否する, 拒む</t>
  </si>
  <si>
    <t>re（逆に, 後ろへ）+iacere（投げる）
reicere（投げ返す）
&lt;span class="spacer"&gt;&lt;/span&gt;反復形reiectāre（投げ捨てる, 放り出す）
&lt;span class="spacer"&gt;&lt;/span&gt;過去分詞reiectus</t>
  </si>
  <si>
    <t>rejecter（退ける, 拒絶する）</t>
  </si>
  <si>
    <t>rejecten
&lt;span class="spacer"&gt;&lt;/span&gt;15世紀初頭
追い出す
&lt;span class="spacer"&gt;&lt;/span&gt;15世紀後期
同意を拒む</t>
  </si>
  <si>
    <t>1560年代
拒絶する
&lt;span class="spacer"&gt;&lt;/span&gt;1660年代
差し出されたものを拒否する</t>
  </si>
  <si>
    <t>in（中に）+tendere（伸ばす）
intendere（中に伸ばす, 注意を向ける）</t>
  </si>
  <si>
    <t>intendre（注意を向ける）</t>
  </si>
  <si>
    <t>1300年頃
注意を向ける, 心を向ける
&lt;span class="spacer"&gt;&lt;/span&gt;14世紀後期
心に決める, 意図する</t>
  </si>
  <si>
    <t>ex（外に）+ponere（置く）
exponere（外に置く, さらす）</t>
  </si>
  <si>
    <t>15世紀初頭
覆いや防御がない状態で放置する</t>
  </si>
  <si>
    <t>1620年代
公に展示する
&lt;span class="spacer"&gt;&lt;/span&gt;1690年代
正体を暴く</t>
  </si>
  <si>
    <t>favēre（好意を示す, 親切にする）
&lt;span class="spacer"&gt;&lt;/span&gt;名詞になって
favor（好意, 支持, 偏愛）</t>
  </si>
  <si>
    <t>favor（好意, 賛同, ひいき）</t>
  </si>
  <si>
    <t>14世紀半ば
好意, 親切な配慮
&lt;span class="spacer"&gt;&lt;/span&gt;動詞になって
好意をもって扱う
ひいきする</t>
  </si>
  <si>
    <t>in（中に）+spirāre（息をする）
inspirāre（息を吹き込む, 奮い立たせる）</t>
  </si>
  <si>
    <t>enspirer</t>
  </si>
  <si>
    <t>enspiren
&lt;span class="spacer"&gt;&lt;/span&gt;14世紀半ば
人に行動を促す
&lt;span class="spacer"&gt;&lt;/span&gt;14世紀後期
考えや目的を与えて影響を及ぼす
生命を吹き込む</t>
  </si>
  <si>
    <t>pro（前へ）+ponere（置く）</t>
  </si>
  <si>
    <t>proposen
&lt;span class="spacer"&gt;&lt;/span&gt;14世紀半ば
計画を作る
&lt;span class="spacer"&gt;&lt;/span&gt;14世紀後期
提案する, 提示する</t>
  </si>
  <si>
    <t>1764年までに
結婚を申し込む</t>
  </si>
  <si>
    <t>espelir（意味する, 説明する, 文字をつづる）</t>
  </si>
  <si>
    <t>espeller</t>
  </si>
  <si>
    <t>14世紀初頭
文字を一字ずつ読む
綴りを言う/書く
&lt;span class="spacer"&gt;&lt;/span&gt;1400年頃
文字を使って単語を作る</t>
  </si>
  <si>
    <t>1580年代
正しい文字で単語を綴る</t>
  </si>
  <si>
    <t>bræð（息）</t>
  </si>
  <si>
    <t>1200年頃
呼吸する</t>
  </si>
  <si>
    <t>re（再び）+parāre（整える）
reparāre（再び整える, 元の状態に戻す）</t>
  </si>
  <si>
    <t>reparer（修理する）</t>
  </si>
  <si>
    <t>reparen
&lt;span class="spacer"&gt;&lt;/span&gt;14世紀半ば
修繕する, 完全な状態に戻す</t>
  </si>
  <si>
    <t>con（共に）+sistere（立たせる）
consistere（共に立つ, 一定の位置をとる）</t>
  </si>
  <si>
    <t>consister（成り立つ, 存在する）</t>
  </si>
  <si>
    <t>1520年代
いくつかの部分から成る一つのまとまりとして存在する
&lt;span class="spacer"&gt;&lt;/span&gt;1560年代
consist of（〜から成る, 〜で構成される）</t>
  </si>
  <si>
    <t>commentum（注釈, 解釈）</t>
  </si>
  <si>
    <t>coment（注釈, 解釈）</t>
  </si>
  <si>
    <t>14世紀後期
説明, 口頭や書面での発言</t>
  </si>
  <si>
    <t>in（中に）+struere（積み上げる）
instruere（中に積み上げる, 秩序立てる, 教える）</t>
  </si>
  <si>
    <t>instruereが名詞になって
instructionem（教育）</t>
  </si>
  <si>
    <t>instruccion（教育）</t>
  </si>
  <si>
    <t>instruccioun
&lt;span class="spacer"&gt;&lt;/span&gt;1400年頃
教える行為や過程
&lt;span class="spacer"&gt;&lt;/span&gt;15世紀初頭
権威ある指示
指示を記した文書</t>
  </si>
  <si>
    <t>religion（信心）</t>
  </si>
  <si>
    <t>1200年頃
神的存在への信仰を示す行為
&lt;span class="spacer"&gt;&lt;/span&gt;1300年頃
神への崇拝</t>
  </si>
  <si>
    <t>neah（近い）+gebur（住人）
neahgebur（近くに住む人）</t>
  </si>
  <si>
    <t>15世紀半ば
neighbor（近くに住む人）＋hood（状態・性質を表す）
隣人である状態</t>
  </si>
  <si>
    <t>1620年代
近くに住む人々の共同体</t>
  </si>
  <si>
    <t>laborat</t>
  </si>
  <si>
    <t>ory</t>
  </si>
  <si>
    <t>laboratusに名詞を作る-orium（〜する場所）が付いて
laboratorium（労働や作業のための場所）</t>
  </si>
  <si>
    <t>1600年頃
科学実験のために作られた部屋や建物
研究室</t>
  </si>
  <si>
    <t>prae（前に）+esse（存在する）
praeesse（前にある, そばにある）
&lt;span class="spacer"&gt;&lt;/span&gt;現在分詞praesentem（手元にある, 現在の）
&lt;span class="spacer"&gt;&lt;/span&gt;名詞を作る-iaが付いて
praesentia（存在, 出席）</t>
  </si>
  <si>
    <t>presence（存在, 出席）</t>
  </si>
  <si>
    <t>14世紀半ば
そこに存在しているという事実
&lt;span class="spacer"&gt;&lt;/span&gt;14世紀後期
対面している状態</t>
  </si>
  <si>
    <t>con（強意）+fidere（信頼する）
confidere（完全に信頼する）
&lt;span class="spacer"&gt;&lt;/span&gt;現在分詞confidens（固く信頼している）
&lt;span class="spacer"&gt;&lt;/span&gt;名詞を作る-iaが付いて
confidentia（信頼, 確信）</t>
  </si>
  <si>
    <t>1400年頃
他者の善意や誠実さに対する信頼や確信
&lt;span class="spacer"&gt;&lt;/span&gt;15世紀半ば
自分の能力や状況への信頼や自信</t>
  </si>
  <si>
    <t>1550年代
主張に対する確実性
事実に対する確信</t>
  </si>
  <si>
    <t>hearm（傷, 痛み, 害, 悪）</t>
  </si>
  <si>
    <t>instrument（手段, 装置, 楽器）</t>
  </si>
  <si>
    <t>13世紀後期
楽器
&lt;span class="spacer"&gt;&lt;/span&gt;14世紀初頭
器具, 用具
&lt;span class="spacer"&gt;&lt;/span&gt;14世紀半ば
手段</t>
  </si>
  <si>
    <t>agora（公共の集会, 広場）
&lt;span class="spacer"&gt;&lt;/span&gt;動詞になって
agoreuein（公の場で演説する）
&lt;span class="spacer"&gt;&lt;/span&gt;kata（下に, 反対に）＋agoreuein
katēgorein（告発する, 主張する, 述語づける）
&lt;span class="spacer"&gt;&lt;/span&gt;名詞になって
katēgoria（告発, 述語, カテゴリー）</t>
  </si>
  <si>
    <t>categoria</t>
  </si>
  <si>
    <t>catégorie</t>
  </si>
  <si>
    <t>1580年代
アリストテレス論理学において、最も高次の概念
&lt;span class="spacer"&gt;&lt;/span&gt;1660年代
広く区別的な分類</t>
  </si>
  <si>
    <t>capit</t>
  </si>
  <si>
    <t>caput（頭, 生命）
&lt;span class="spacer"&gt;&lt;/span&gt;形容詞を作る-alisが付いて
capitalis（主要な, 第一の, 生命に関わる）</t>
  </si>
  <si>
    <t>capitalis（資本）</t>
  </si>
  <si>
    <t>13世紀初頭
頭に関する
&lt;span class="spacer"&gt;&lt;/span&gt;15世紀初頭
主要な, 最重要の
&lt;span class="spacer"&gt;&lt;/span&gt;名詞になって
文の頭に置かれる大文字</t>
  </si>
  <si>
    <t>1610年代
個人の財産や資産
&lt;span class="spacer"&gt;&lt;/span&gt;1640年代
事業資本
&lt;span class="spacer"&gt;&lt;/span&gt;1660年代
国や政治体の頭にあたる場所
主要都市, 首都</t>
  </si>
  <si>
    <t>utan（外から）＋cumen（来た者）
utancumen（よそ者）</t>
  </si>
  <si>
    <t>1200年頃
出現, 出てくる事実や行為</t>
  </si>
  <si>
    <t>1788年
スコットランド英語
outcome（何かから生じるもの, 結果）
&lt;span class="spacer"&gt;&lt;/span&gt;1830年代
スコットランドに限らず一般に普及</t>
  </si>
  <si>
    <t>*gno-（知る）</t>
  </si>
  <si>
    <t>14世紀後期
一般的概念</t>
  </si>
  <si>
    <t>1600年頃
意見, 見解</t>
  </si>
  <si>
    <t>re（再び）+videre（見る）
revidere（もう一度見る）</t>
  </si>
  <si>
    <t>reveeir（もう一度見る）
&lt;span class="spacer"&gt;&lt;/span&gt;過去分詞から名詞になって
reveue（再確認）</t>
  </si>
  <si>
    <t>15世紀半ば
軍隊において訓練や有効性を評価するための点検</t>
  </si>
  <si>
    <t>1560年代
再点検や再検討
&lt;span class="spacer"&gt;&lt;/span&gt;1600年頃
ある主題についての総評
&lt;span class="spacer"&gt;&lt;/span&gt;1640年代
文学や芸術に対する批評や論評
&lt;span class="spacer"&gt;&lt;/span&gt;1670年代
過去を振り返ること, 復習</t>
  </si>
  <si>
    <t>trahere（引く, 引っ張る）
&lt;span class="spacer"&gt;&lt;/span&gt;過去分詞tractus（引くこと, 引かれた線, 特徴）</t>
  </si>
  <si>
    <t>trait（線, 特徴, 顔立ち）</t>
  </si>
  <si>
    <t xml:space="preserve">1580年代
絵を描くときの短い線
&lt;span class="spacer"&gt;&lt;/span&gt;1752年
人物画における顔の線という意味から、際立った性質, 特徴
</t>
  </si>
  <si>
    <t>12世紀
diversite（相違, 差異）</t>
    <rPh sb="2" eb="4">
      <t>セイキ</t>
    </rPh>
    <rPh sb="15" eb="17">
      <t>ソウイ</t>
    </rPh>
    <rPh sb="19" eb="21">
      <t>サイ</t>
    </rPh>
    <phoneticPr fontId="1"/>
  </si>
  <si>
    <t>diversite
&lt;span class="spacer"&gt;&lt;/span&gt;14世紀半ば
様々なこと, 多様性
&lt;span class="spacer"&gt;&lt;/span&gt;14世紀後期
差異, 相違点</t>
    <rPh sb="40" eb="42">
      <t>セイキ</t>
    </rPh>
    <rPh sb="42" eb="43">
      <t>ナカ</t>
    </rPh>
    <rPh sb="45" eb="47">
      <t>サマザマ</t>
    </rPh>
    <rPh sb="52" eb="55">
      <t>タヨウセイ</t>
    </rPh>
    <rPh sb="88" eb="90">
      <t>コウキ</t>
    </rPh>
    <rPh sb="91" eb="93">
      <t>サイ</t>
    </rPh>
    <rPh sb="95" eb="98">
      <t>ソウイテン</t>
    </rPh>
    <phoneticPr fontId="1"/>
  </si>
  <si>
    <t>esposer（開示する, さらす）
&lt;span class="spacer"&gt;&lt;/span&gt;&lt;span class="obsolete"&gt;古フランス語poserは、後期ラテン語pausare（停止する, 休む）に由来する。語源的には「置く」という意味はないが、ラテン語ponere（置く）と混同されたことで、「置く」という意味を獲得した。&lt;/span&gt;</t>
  </si>
  <si>
    <t>proposer
実行すべきものとして前に置く
提案する, 提示する
&lt;span class="spacer"&gt;&lt;/span&gt;&lt;span class="obsolete"&gt;古フランス語poserは、後期ラテン語pausare（停止する, 休む）に由来する。語源的には「置く」という意味はないが、ラテン語ponere（置く）と混同されたことで、「置く」という意味を獲得した。&lt;/span&gt;</t>
  </si>
  <si>
    <t>15世紀半ば
神や超自然的な力へ供え物として捧げられる動物や人
宗教的儀式で捧げられる生き物</t>
  </si>
  <si>
    <t>1650年代
他者によって傷つけられたり、拷問されたり、殺されたりした人
&lt;span class="spacer"&gt;&lt;/span&gt;1718年から
権力や状況によって抑圧される人
災害や事故で傷つけられた人</t>
  </si>
  <si>
    <t>13世紀
ocasion（機会）</t>
  </si>
  <si>
    <t>occasioun
&lt;span class="spacer"&gt;&lt;/span&gt;14世紀後期
機会
何か他のことを可能にする事態, 場合</t>
  </si>
  <si>
    <t>1560年代
何かが起こる時</t>
  </si>
  <si>
    <t>fac</t>
  </si>
  <si>
    <t>ili</t>
  </si>
  <si>
    <t>facere（行う, 作る）
&lt;span class="spacer"&gt;&lt;/span&gt;形容詞を作る-ilisが付いて
facilis（行うのが容易な）
&lt;span class="spacer"&gt;&lt;/span&gt;名詞を作る-tasが付いて
facilitas（容易さ）</t>
  </si>
  <si>
    <t>facilité（容易さ）</t>
  </si>
  <si>
    <t>15世紀初頭
容易さ</t>
  </si>
  <si>
    <t>1530年代
容易にできる性質, 手際のよさ
&lt;span class="spacer"&gt;&lt;/span&gt;容易に行うことを可能にする物理的手段
&lt;span class="spacer"&gt;&lt;/span&gt;1872年までに
何かを行うための場所
施設, 設備</t>
  </si>
  <si>
    <t>stocc（木の幹, 切り株）</t>
  </si>
  <si>
    <t>1400年頃
&lt;span class="obsolete"&gt;金庫（現在は廃用）&lt;/span&gt;
&lt;span class="spacer"&gt;&lt;/span&gt;15世紀初頭
将来使用するための蓄え
富や蓄え
&lt;span class="spacer"&gt;&lt;/span&gt;15世紀半ば
特定の目的のために取っておいたお金</t>
  </si>
  <si>
    <t>1610年代
商人が所有する商品の在庫
会社の資本金や株式</t>
  </si>
  <si>
    <t>con（共に）+ferre（運ぶ）
conferre（共に運ぶ）
&lt;span class="spacer"&gt;&lt;/span&gt;現在分詞conferens（持ち寄ること）</t>
  </si>
  <si>
    <t>conferentia</t>
  </si>
  <si>
    <t>confrence</t>
  </si>
  <si>
    <t>1550年代
共に相談する行為, 協議
&lt;span class="spacer"&gt;&lt;/span&gt;1580年代
正式な会合
協議や討論のための集まり, 会議</t>
  </si>
  <si>
    <t>humus（土, 地面）
&lt;span class="spacer"&gt;&lt;/span&gt;形容詞を作る-usが付いて
humanus（地に属する存在, 人間の＝天上の神に対する地上の人間）
&lt;span class="spacer"&gt;&lt;/span&gt;名詞を作る-tasが付いて
humanitas（人類, 人間性, 親切, 育ちの良さ）</t>
  </si>
  <si>
    <t>humanité（人類, 人間性）</t>
  </si>
  <si>
    <t>14世紀後期
親切, 礼儀正しさ
&lt;span class="spacer"&gt;&lt;/span&gt;1400年頃
人間性
&lt;span class="spacer"&gt;&lt;/span&gt;15世紀半ば
人類</t>
  </si>
  <si>
    <t>dia（間で, 横切って）+legein（話す）
dialegesthai（互いに話す）
&lt;span class="spacer"&gt;&lt;/span&gt;名詞になって
dialektos（会話, 方言）</t>
  </si>
  <si>
    <t>dialecte</t>
  </si>
  <si>
    <t>1570年代
言語, 話し方, 方言</t>
  </si>
  <si>
    <t>pars（部分, 一部）
*partio（分割, 分配）
&lt;span class="spacer"&gt;&lt;/span&gt;フレーズpro partione（部分同士の関係に応じて）
&lt;span class="spacer"&gt;&lt;/span&gt;proportionem（比例関係）</t>
  </si>
  <si>
    <t>proporcion（比例, 釣り合い）</t>
  </si>
  <si>
    <t>14世紀後期
ある部分と別の部分の適切な関係
比例関係
&lt;span class="spacer"&gt;&lt;/span&gt;14世紀後期
身体的部位の関係, 美的均衡</t>
  </si>
  <si>
    <t>14世紀後期
lawe（法）＋ier（〜する人）
lawer（法律に精通した者, 弁護士）</t>
  </si>
  <si>
    <t>con（強意）+fortis（強い, 勇敢な）</t>
  </si>
  <si>
    <t>動詞になって
confortare（大いに強める, 力を与える）</t>
  </si>
  <si>
    <t>conforter（強める, 慰める, 助ける）
&lt;span class="spacer"&gt;&lt;/span&gt;名詞になって
confort（慰め, 安らぎ）</t>
  </si>
  <si>
    <t>1200年頃
苦難や悲しみの中での安堵感, 慰め, 心の支え
苦痛を和らげるもの
&lt;span class="spacer"&gt;&lt;/span&gt;不安がない快適さ</t>
  </si>
  <si>
    <t>philos（愛する）+sophia（知, 知恵）
philosophia（知を愛すること, 知恵の探求）</t>
  </si>
  <si>
    <t>philosophia（哲学, 知の探求）</t>
  </si>
  <si>
    <t>filosofie（哲学, 知識, 学問一般）</t>
  </si>
  <si>
    <t>philosophie
&lt;span class="spacer"&gt;&lt;/span&gt;1300年頃
知識, 知の体系
&lt;span class="spacer"&gt;&lt;/span&gt;14世紀半ば
理性で考え抜く学問
&lt;span class="spacer"&gt;&lt;/span&gt;14世紀後期
自然科学や錬金術など様々な学問の総合的な知</t>
  </si>
  <si>
    <t>1771年から
人生の行動の指針としての思想体系
人生観
&lt;span class="spacer"&gt;&lt;/span&gt;1794年から
最高次の真理体系
最も根本的な事柄を扱う学問</t>
  </si>
  <si>
    <t>mamma（胸）</t>
  </si>
  <si>
    <t>形容詞を作る-alisが付いて
mammalis（胸に関する）</t>
  </si>
  <si>
    <t>近代ラテン語</t>
  </si>
  <si>
    <t>Mammalia（子を授乳して育てる動物）
1758年にカール・リンネが動物分類学上の名前として造語</t>
  </si>
  <si>
    <t>1773年
Mammaliaが英語化
&lt;span class="spacer"&gt;&lt;/span&gt;1826年
mammal（哺乳類）</t>
  </si>
  <si>
    <t>quantus（どれくらい大きいか, どれくらい多いか, どのくらいの量か）
&lt;span class="spacer"&gt;&lt;/span&gt;名詞を作る-tasが付いて
quantitas（相対的な大きさ, 量, 程度）</t>
  </si>
  <si>
    <t>quantite（量, 大きさ）</t>
  </si>
  <si>
    <t>quantite
&lt;span class="spacer"&gt;&lt;/span&gt;14世紀初頭
量, 大きさ, 程度
&lt;span class="spacer"&gt;&lt;/span&gt;14世紀後期
具体的な量</t>
  </si>
  <si>
    <t>中世オランダ語</t>
  </si>
  <si>
    <t>近代オランダ語</t>
  </si>
  <si>
    <t>landschap（美術用語で風景画）</t>
  </si>
  <si>
    <t>1600年頃
風景画
&lt;span class="spacer"&gt;&lt;/span&gt;1886年から
景観, 風景</t>
  </si>
  <si>
    <t>*tri-（三）</t>
  </si>
  <si>
    <t>tribus（ローマ帝国初期の三つの政治的・民族的区分のひとつ＝ラテン人・サビニ人・エトルリア人）</t>
  </si>
  <si>
    <t>tribu</t>
  </si>
  <si>
    <t>13世紀半ば
キリスト教における、古代ヘブライ人の12部族のひとつ</t>
  </si>
  <si>
    <t>1590年代
民族集団, 部族
&lt;span class="spacer"&gt;&lt;/span&gt;1891年の辞書での定義
ある特徴によって区別され、首長の下に結束した人々の集団</t>
  </si>
  <si>
    <t>organum（楽器）
&lt;span class="spacer"&gt;&lt;/span&gt;複数形organa（楽器全般）</t>
  </si>
  <si>
    <t>organum（身体器官）</t>
  </si>
  <si>
    <t>後期古英語</t>
  </si>
  <si>
    <t>organe（楽器全般）
&lt;span class="obsolete"&gt;古ラテン語organaに由来&lt;/span&gt;</t>
  </si>
  <si>
    <t>14世紀後期までに
楽器がオルガンに限定される
&lt;span class="spacer"&gt;&lt;/span&gt;14世紀後期から
身体器官, 感覚器官
&lt;span class="obsolete"&gt;中世ラテン語organumに由来&lt;/span&gt;</t>
  </si>
  <si>
    <t>1540年代
ある機能を果たすもの</t>
  </si>
  <si>
    <t>trier（試す：tryの語源）</t>
  </si>
  <si>
    <t>trierが名詞になって
trial</t>
  </si>
  <si>
    <t>15世紀半ば
裁判における審理
有罪か無罪かを決めるための審査
&lt;span class="spacer"&gt;&lt;/span&gt;15世紀後期
試験, 実験, 検証</t>
  </si>
  <si>
    <t>1540年代
試練</t>
  </si>
  <si>
    <t>norma（大工の定規, 規範）</t>
  </si>
  <si>
    <t>norme（規範, 基準）</t>
  </si>
  <si>
    <t>1670年代
大工の定規
&lt;span class="spacer"&gt;&lt;/span&gt;1821年
標準, 基準, 模範</t>
  </si>
  <si>
    <t>code（法の体系, 法典）</t>
  </si>
  <si>
    <t>1300年頃
法の体系的編纂, 法典</t>
  </si>
  <si>
    <t>1808年
信号の体系とその使用規則
暗号</t>
  </si>
  <si>
    <t>12世紀
substance</t>
  </si>
  <si>
    <t>1300年頃
キリスト教において
三位一体の位格に共通する神的な本質
&lt;span class="spacer"&gt;&lt;/span&gt;14世紀半ば
神学や哲学において
それ自体で存在する力
本質的な性質
実在的な部分
&lt;span class="spacer"&gt;&lt;/span&gt;14世紀半ばから
一般的な意味での物質
&lt;span class="spacer"&gt;&lt;/span&gt;14世紀後期
議論、研究、本、話などの内容</t>
  </si>
  <si>
    <t>1780年代
文章や表現の趣旨</t>
  </si>
  <si>
    <t>multi（多数の）＋plus（n倍, n重）</t>
  </si>
  <si>
    <t>multiplus（多様な, 多重の）</t>
  </si>
  <si>
    <t>multiple</t>
  </si>
  <si>
    <t>1640年代
多くの部分を含む
複数の完全な個体から成る
&lt;span class="spacer"&gt;&lt;/span&gt;1680年代
公倍数（名詞）</t>
  </si>
  <si>
    <t>numerus（数）</t>
  </si>
  <si>
    <t>形容詞を作る-osus（〜が多い）が付いて
numerosus（数が多い）</t>
  </si>
  <si>
    <t>15世紀初頭
数が多い</t>
  </si>
  <si>
    <t>nearu（幅が狭い, 制限された, 心の狭い, 圧迫的な, 厳格な）</t>
  </si>
  <si>
    <t>narwe（狭い, 限られた）</t>
  </si>
  <si>
    <t>1705年
wide（広く）＋spreadの過去分詞
widespread（広範囲に拡散した）</t>
  </si>
  <si>
    <t>sub（下から）＋facere（行う, 作る）
sufficere（下から支える, 代わりに供給する, 補う）
&lt;span class="spacer"&gt;&lt;/span&gt;現在分詞sufficiens（十分な）</t>
  </si>
  <si>
    <t>soficient（十分な, 満足できる）</t>
  </si>
  <si>
    <t>14世紀初頭
十分な, 足りる</t>
  </si>
  <si>
    <t>pro（〜のために）＋privus（個人的な, 個別の：privateの語源）
&lt;span class="spacer"&gt;&lt;/span&gt;pro privo（個人のための）
proprius（自分自身のもの, 固有の）</t>
  </si>
  <si>
    <t>propre（自分の, 固有の, 特有の, 正確な, きちんとした, 適切な）</t>
  </si>
  <si>
    <t>propre
&lt;span class="spacer"&gt;&lt;/span&gt;1300年頃
ある目的に適した
&lt;span class="spacer"&gt;&lt;/span&gt;14世紀初頭
規則に従った, 正しい, 適切な</t>
  </si>
  <si>
    <t>lingua（舌, 言語：languageの語源）</t>
  </si>
  <si>
    <t>ラテン語linguaに名詞を作るist（〜する人）が付く
&lt;span class="spacer"&gt;&lt;/span&gt;1580年代
言語の達人
&lt;span class="spacer"&gt;&lt;/span&gt;1640年代
言語学者</t>
  </si>
  <si>
    <t>ドイツ語</t>
  </si>
  <si>
    <t>1807年
linguistisch（言語研究に関する）</t>
  </si>
  <si>
    <t>linguistic
linguist＋ic（〜に関する）からなる
&lt;span class="spacer"&gt;&lt;/span&gt;1824年
言語研究に関する
&lt;span class="spacer"&gt;&lt;/span&gt;1847年
言語の, 言語学の</t>
  </si>
  <si>
    <t>形容詞を作る-alisが付いて
annualis（毎年の）</t>
  </si>
  <si>
    <t>12世紀
annuel（毎年の）</t>
  </si>
  <si>
    <t>14世紀後期
1年ごとに任命される
&lt;span class="spacer"&gt;&lt;/span&gt;1400年頃
年に1度行われる</t>
  </si>
  <si>
    <t>com（共に）＋temporarius（時間の）
contemporarius（同じ時代の, 同時代の）</t>
  </si>
  <si>
    <t>contra（〜に対して, 反対に）
&lt;span class="spacer"&gt;&lt;/span&gt;形容詞を作る-ariusが付いて
contrarius（反対の）</t>
  </si>
  <si>
    <t>contrarie（反対の）</t>
  </si>
  <si>
    <t>contrarie</t>
  </si>
  <si>
    <t>14世紀半ば
反対の, 対立する
&lt;span class="spacer"&gt;&lt;/span&gt;1400年頃
on the contrary（述べられたことに対して、反対に）</t>
  </si>
  <si>
    <t>stringere（強く引き締める）
&lt;span class="spacer"&gt;&lt;/span&gt;過去分詞strictus（引き締められた）</t>
  </si>
  <si>
    <t>15世紀初頭
&lt;span class="obsolete"&gt;物理的な意味
きつく引き締められた, 狭い（現在は廃用）&lt;/span&gt;</t>
  </si>
  <si>
    <t>1570年代
法律などが厳しい, 厳格な
&lt;span class="spacer"&gt;&lt;/span&gt;1590年代
性質や条件が厳密な</t>
  </si>
  <si>
    <t>civis（市民）
&lt;span class="spacer"&gt;&lt;/span&gt;形容詞を作る-ilisが付いて
civilis（市民の, 市民としてふさわしい）</t>
  </si>
  <si>
    <t>civil（市民の, 民法に関する）</t>
  </si>
  <si>
    <t>14世紀後期
市民生活に関する, 民法に関する</t>
  </si>
  <si>
    <t>1550年代
文明化された, 野蛮ではない
&lt;span class="spacer"&gt;&lt;/span&gt;16世紀後期
礼儀正しい</t>
  </si>
  <si>
    <t>oddi（陸地の先端, 角, 三角形, 3番目, ペアにならない余分な数）</t>
  </si>
  <si>
    <t>odde
&lt;span class="spacer"&gt;&lt;/span&gt;1300年
奇数</t>
  </si>
  <si>
    <t>1580年代
ペアにならないもの
浮いているもの
奇妙な, 風変わりな</t>
  </si>
  <si>
    <t>unは否定の意味。</t>
  </si>
  <si>
    <t>1300年頃
見慣れない, 未知の
&lt;span class="spacer"&gt;&lt;/span&gt;14世紀初頭
発見されていない
判明していない</t>
  </si>
  <si>
    <t>super（上に, 越えて）
&lt;span class="spacer"&gt;&lt;/span&gt;形容詞を作る-usが付いて
superus（上位の）
&lt;span class="spacer"&gt;&lt;/span&gt;比較級になって
superior（より上の）</t>
  </si>
  <si>
    <t>superior（より高い, より上の）</t>
  </si>
  <si>
    <t>14世紀後期
位置的により高い
&lt;span class="spacer"&gt;&lt;/span&gt;15世紀後期
地位や身分が高い</t>
  </si>
  <si>
    <t>1530年代
質がより高い</t>
  </si>
  <si>
    <t>sentire（感じる, 知覚する）
&lt;span class="spacer"&gt;&lt;/span&gt;過去分詞sensus（感覚, 知覚能力）</t>
  </si>
  <si>
    <t>形容詞を作る-ivusが付いて
sensitivus（感覚を持つ, 感覚能力のある）</t>
  </si>
  <si>
    <t>sensitif（感じる能力がある）</t>
  </si>
  <si>
    <t>14世紀後期
感覚機能を持つ</t>
  </si>
  <si>
    <t>1520年代
感覚の, 感覚に関する
&lt;span class="spacer"&gt;&lt;/span&gt;1816年までに
外部の影響を鋭く受けやすい
敏感な, 神経質な</t>
  </si>
  <si>
    <t>violent（激しい, 荒々しい）</t>
  </si>
  <si>
    <t>14世紀半ば
過度な物理的な力を特徴とする
暴力的な
&lt;span class="spacer"&gt;&lt;/span&gt;14世紀後期
あらゆる点で激しい, 極端な</t>
  </si>
  <si>
    <t>形容詞を作る-alisが付いて
virtualis</t>
  </si>
  <si>
    <t>1831年までに
実像ではなく、反射などによる見かけの像</t>
  </si>
  <si>
    <t>現代英語</t>
  </si>
  <si>
    <t>1959年から
ソフトフェアによって作られるヴァーチャルの</t>
  </si>
  <si>
    <t>re（強意）＋garder（見る）
regarder（見る, 注視する, 注意を払う）</t>
  </si>
  <si>
    <t>regard（注意, 配慮, 考慮, 関心）</t>
  </si>
  <si>
    <t>regard（注意, 関心）＋less（〜がない）
&lt;span class="spacer"&gt;&lt;/span&gt;1590年代
注意を払わない, 無関心な</t>
  </si>
  <si>
    <t>in（否定）＋mediatus（中間に置かれた）
immediatus（間に何もない）</t>
  </si>
  <si>
    <t>immediat（直接の）</t>
  </si>
  <si>
    <t>15世紀初頭
何も介在しない, 直接の
時間について即時の</t>
  </si>
  <si>
    <t>crux（十字架）</t>
  </si>
  <si>
    <t>1706年
十字形の, 膝の十字靭帯の
&lt;span class="spacer"&gt;&lt;/span&gt;1830年
哲学者フランシス・ベーコンの論理学用語から意味が発展
&lt;span class="spacer"&gt;&lt;/span&gt;ある理論が正しいか間違っているかをはっきりさせる決定的な瞬間を、分かれ道に立つ十字型の標識に例えた
&lt;span class="spacer"&gt;&lt;/span&gt;決定的な, 重大な</t>
  </si>
  <si>
    <t>sum（いくつかの：someの語源）
dæle（部分：dealの語源） 
&lt;span class="spacer"&gt;&lt;/span&gt;sume dæle（いくらかの, ある程度）</t>
  </si>
  <si>
    <t>some＋whatが古英語sume dæleを置き換えていく
&lt;span class="spacer"&gt;&lt;/span&gt;1200年頃
ある程度, 多少は（副詞）
&lt;span class="spacer"&gt;&lt;/span&gt;13世紀初頭
特定されていない何か（名詞）
&lt;span class="spacer"&gt;&lt;/span&gt;13世紀後期
多少のもの, ちょっとしたもの（名詞）</t>
  </si>
  <si>
    <t>*per-（売買する, 取引する）</t>
  </si>
  <si>
    <t>inter（〜の間に）＋pres
interpres（仲介者, 通訳）
&lt;span class="spacer"&gt;&lt;/span&gt;動詞になって
interpretari（説明する, 解釈する）</t>
  </si>
  <si>
    <t>interpreter（説明する, 解釈する）</t>
  </si>
  <si>
    <t>14世紀後期
意味を解き明かす, 説明する</t>
  </si>
  <si>
    <t>trans（越えて）＋ferre（運ぶ）
transferre（向こう側へ運ぶ）
&lt;span class="spacer"&gt;&lt;/span&gt;過去分詞translatus（運び越された, 移された）</t>
  </si>
  <si>
    <t>translater（移す）</t>
  </si>
  <si>
    <t>14世紀初頭
物理的に別の場所へ移す
別の言語へ移す, 翻訳する</t>
  </si>
  <si>
    <t>com（共に）＋centrum（中心：centerの語源）</t>
  </si>
  <si>
    <t>concentrare（中心に集める, 一点に集中させる）</t>
  </si>
  <si>
    <t>1590年代
concenter
&lt;span class="spacer"&gt;&lt;/span&gt;1630年代
共通の中心に集める
&lt;span class="spacer"&gt;&lt;/span&gt;1680年代
精神を一点に集める, 集中する</t>
  </si>
  <si>
    <t>re（再び）＋quaerere（求める）
requirere（再び求める, 要求する）
&lt;span class="spacer"&gt;&lt;/span&gt;過去分詞requisitus（要求された）
&lt;span class="spacer"&gt;&lt;/span&gt;女性形requisita（要求されたもの）</t>
  </si>
  <si>
    <t>*requaesita（要求された事柄）</t>
  </si>
  <si>
    <t>requeste（要求）</t>
  </si>
  <si>
    <t>requeste
&lt;span class="spacer"&gt;&lt;/span&gt;14世紀半ば
要求（名詞）</t>
  </si>
  <si>
    <t>1530年代
誰かに何かをするように頼む
&lt;span class="spacer"&gt;&lt;/span&gt;1560年代
許可を求める, 要請する</t>
  </si>
  <si>
    <t>*krei-（ふるいにかける）</t>
  </si>
  <si>
    <t>criticus（批評家, 文学作品の偽りや誤りを見抜く文法家）</t>
  </si>
  <si>
    <t>中世フランス語</t>
  </si>
  <si>
    <t>critique</t>
  </si>
  <si>
    <t>1580年代
判断を下す人
特定分野で価値を見極められる人
&lt;span class="spacer"&gt;&lt;/span&gt;1600年頃
書籍や演劇などの価値を判断する人
文芸批評家
&lt;span class="spacer"&gt;&lt;/span&gt;1640年代
critic（批評家）＋ize（動詞化）
判断を下す
&lt;span class="spacer"&gt;&lt;/span&gt;1660年代
批判的に論じる
&lt;span class="spacer"&gt;&lt;/span&gt;1704年から
批判する</t>
  </si>
  <si>
    <t>1200年頃
困難や障害を克服する</t>
  </si>
  <si>
    <t>obtenir（獲得する, 手に入れる）</t>
  </si>
  <si>
    <t>obteinen
&lt;span class="spacer"&gt;&lt;/span&gt;獲得する, 得る</t>
  </si>
  <si>
    <t>forma（形）
&lt;span class="spacer"&gt;&lt;/span&gt;動詞になって
formare（形作る, 形成する）
&lt;span class="spacer"&gt;&lt;/span&gt;in（中に）＋formare（形作る）
informare（内側に形を与える）</t>
  </si>
  <si>
    <t>informer（教える, 指導する）</t>
  </si>
  <si>
    <t>14世紀初頭
特定の分野について訓練する、教え込む
&lt;span class="spacer"&gt;&lt;/span&gt;14世紀後期
事実やニュースを伝える
情報を与える</t>
  </si>
  <si>
    <t>se（離れて）＋cura（心配）
securus（心配から離れた, 安全な）</t>
  </si>
  <si>
    <t>seur（安全な, 確かな, 確信した）</t>
  </si>
  <si>
    <t>動詞を作るen-が付いて
enseurer（確かな状態にする）</t>
  </si>
  <si>
    <t>nuntius（叫び伝える人, 使者, 伝令）
&lt;span class="spacer"&gt;&lt;/span&gt;動詞になって
nuntiare（伝える, 報告する）
&lt;span class="spacer"&gt;&lt;/span&gt;ad（〜へ）＋nuntiare（伝える）
annuntiare（知らせる, 公表する）</t>
  </si>
  <si>
    <t>12世紀
anoncier（告知する, 宣言する）</t>
  </si>
  <si>
    <t>1500年頃
公式に知らせる</t>
  </si>
  <si>
    <t>credere（信じる, 信用する）
&lt;span class="spacer"&gt;&lt;/span&gt;現在分詞credentem</t>
  </si>
  <si>
    <t>creanter（約束する, 保証する, 権限を与える, 認める）
&lt;span class="spacer"&gt;&lt;/span&gt;cがgへと変化
graanter</t>
  </si>
  <si>
    <t>13世紀初頭
許可する
&lt;span class="spacer"&gt;&lt;/span&gt;1300年頃
正式な形で所有権を与える
事実だと認める</t>
  </si>
  <si>
    <t>1610年頃
take A for granted（Aを当然のこととして受け取る）</t>
  </si>
  <si>
    <t>freosan（氷になる, 凍る）</t>
  </si>
  <si>
    <t>fresen
&lt;span class="spacer"&gt;&lt;/span&gt;13世紀
天候について、凍るほど寒い
&lt;span class="spacer"&gt;&lt;/span&gt;14世紀後期
凝固させる, 感情を硬直させる, 無感情にする</t>
  </si>
  <si>
    <t xml:space="preserve">1720年までに
動けなくなる, 硬直する </t>
  </si>
  <si>
    <t>1922年から
資産を凍結する</t>
  </si>
  <si>
    <t>12世紀
oposer（反対する）
&lt;span class="spacer"&gt;&lt;/span&gt;&lt;span class="obsolete"&gt;古フランス語poserは、後期ラテン語pausare（停止する, 休む）に由来する。語源的には「置く」という意味はないが、ラテン語ponere（置く）と混同されたことで、「置く」という意味を獲得した。&lt;/span&gt;</t>
  </si>
  <si>
    <t>14世紀後期
反対の発言や行動をする</t>
  </si>
  <si>
    <t>1590年代
向かいに置く, 対置する</t>
  </si>
  <si>
    <t>dis（離して）＋ferre（運ぶ）
differre（運んで離す, 異なる）</t>
  </si>
  <si>
    <t>14世紀
differer</t>
  </si>
  <si>
    <t>14世紀後期
似ていない, 異なっている, 別個である</t>
  </si>
  <si>
    <t>1560年代
意見が異なる</t>
  </si>
  <si>
    <t>日本語でも使われるヘイトスピーチ（憎悪を生む言説）と関連させて覚える。</t>
  </si>
  <si>
    <t>en（中に）＋phainein（示す）
emphainein（中にあるものを示す）
&lt;span class="spacer"&gt;&lt;/span&gt;名詞になって
emphasis（言葉が持つ意味以上の内容を示すための表現技法, 発音の強調）</t>
  </si>
  <si>
    <t>emphasis</t>
  </si>
  <si>
    <t>1570年代
表現の強さ, 言い方による強調
&lt;span class="spacer"&gt;&lt;/span&gt;1765年
empahsis（強調）＋ize（動詞化）
強調する</t>
  </si>
  <si>
    <t>in（中に）＋plicare（折る）
implicare（中に折る, 折り込む, 包む）</t>
  </si>
  <si>
    <t>implicare（特定の目的に関わらせる, 関与させる, 巻き込む）</t>
  </si>
  <si>
    <t>12世紀
emploiier（使用する, 巻き込む）</t>
  </si>
  <si>
    <t>15世紀初頭
ある目的のために使う</t>
  </si>
  <si>
    <t>16世紀後期
雇う</t>
  </si>
  <si>
    <t>cedere（信じる, 信用する）
&lt;span class="spacer"&gt;&lt;/span&gt;過去分詞creditum（ローン, 託されたもの）</t>
  </si>
  <si>
    <t>中世イタリア語</t>
  </si>
  <si>
    <t>credito（信用, 貸付）</t>
  </si>
  <si>
    <t>15世紀
crédit（信頼, 信用）</t>
  </si>
  <si>
    <t>1540年代
信頼, 信念（名詞）
&lt;span class="spacer"&gt;&lt;/span&gt;動詞になって
信じる, 真実だと確信する
&lt;span class="spacer"&gt;&lt;/span&gt;1850年代
信頼によって結果を〜に結びつける
〜に帰する, 〜を原因とする</t>
  </si>
  <si>
    <t>forma（形）
&lt;span class="spacer"&gt;&lt;/span&gt;動詞になって
formare（形作る, 形成する）
&lt;span class="spacer"&gt;&lt;/span&gt;trans（越えて）＋formare（形作る）
transformare（形を変える, 変形させる）</t>
  </si>
  <si>
    <t>transformer（変形させる）</t>
  </si>
  <si>
    <t>transformen
&lt;span class="spacer"&gt;&lt;/span&gt;14世紀後期
形を変える, 別の形をとらせる</t>
  </si>
  <si>
    <t>1550年代
性質や性格を変える</t>
  </si>
  <si>
    <t>com（共に）＋struere（積み上げる）
construere（一緒に積み上げる, 建てる）
&lt;span class="spacer"&gt;&lt;/span&gt;過去分詞constructus（組み立てられた, 構築された）</t>
  </si>
  <si>
    <t>1660年代
各部分を正しい位置と順序に組み立てる
&lt;span class="spacer"&gt;&lt;/span&gt;1755年
心の中で考えを構成する</t>
  </si>
  <si>
    <t>a（〜から）＋risan（起き上がる, 立ち上がる）
arisan（立ち上がる, 起き上がる, 生じる）</t>
  </si>
  <si>
    <t>arisen</t>
  </si>
  <si>
    <t>多くの用法でriseに置き換えられ、問題や状況が生じるという意味が残った</t>
  </si>
  <si>
    <t>beatan（打撃を与える, 繰り返し打つ）</t>
  </si>
  <si>
    <t>1200年頃
胸を打つ, 心臓が鼓動する
&lt;span class="spacer"&gt;&lt;/span&gt;1400年頃
茂みを叩いて獲物を追い出す</t>
  </si>
  <si>
    <t>1610年代
争いで打ち負かす</t>
  </si>
  <si>
    <t>re（強意）＋greter
regreter（嘆き悲しむ, 誰かの死を悼む）</t>
  </si>
  <si>
    <t>regreten
&lt;span class="spacer"&gt;&lt;/span&gt;14世紀後期
悲しみや痛みを伴って振り返る
思い出して嘆く, 悔やむ</t>
  </si>
  <si>
    <t>1550年代
出来事や行為などを悔やむ, 残念に思う</t>
  </si>
  <si>
    <t>*al-（向こう側に）＋ter（比較級の接尾辞）</t>
  </si>
  <si>
    <t>alter（2つのうちもう一方）</t>
  </si>
  <si>
    <t>alterare（変える, 別のものにする）</t>
  </si>
  <si>
    <t>alterer（変える）</t>
  </si>
  <si>
    <t>14世紀後期
変える, 違ったものにする</t>
  </si>
  <si>
    <t>1580年代
変わる（自動詞）</t>
  </si>
  <si>
    <t>ab（離れて）＋sorbere（吸い込む）
absorbere（吸い尽くす, 飲み尽くす, むさぼり食う）</t>
  </si>
  <si>
    <t>absorbir（吸収する, 飲み込む）</t>
  </si>
  <si>
    <t>15世紀初頭
吸い込む, 飲み込む, 吸収によって取り込む</t>
  </si>
  <si>
    <t>1763年
注意や関心を完全に引きつける, 夢中にさせる</t>
  </si>
  <si>
    <t>punctum（針で刺した小さな穴, 点）</t>
  </si>
  <si>
    <t>dis（否定）＋appointen（任命する）
&lt;span class="spacer"&gt;&lt;/span&gt;15世紀半ば
任命された職を解く, 罷免する
&lt;span class="spacer"&gt;&lt;/span&gt;15世紀後期
人の期待や希望をくじく</t>
  </si>
  <si>
    <t>curare（世話をする, 配慮する, 治療する, 治す）</t>
  </si>
  <si>
    <t>curer</t>
  </si>
  <si>
    <t>14世紀後期
健康な状態を取り戻す, 正常な状態に回復させる</t>
  </si>
  <si>
    <t>trans（越えて）＋portare（運ぶ）
transportare（越えて運ぶ, 運搬する, 移送する）</t>
  </si>
  <si>
    <t>transporter（運ぶ, 移送する）</t>
  </si>
  <si>
    <t>transporten
&lt;span class="spacer"&gt;&lt;/span&gt;14世紀後期
ある場所から別の場所へ運ぶ</t>
  </si>
  <si>
    <t>1660年代
犯罪者などを国外へ移送する</t>
  </si>
  <si>
    <t>re（再び）＋causa（原因：causeの語源）
recusare（再び原因に言及する, 異議を唱える, 拒む）</t>
  </si>
  <si>
    <t>ruser（攻撃をかわす, 避ける, 押し返す）</t>
  </si>
  <si>
    <t>russher</t>
  </si>
  <si>
    <t>14世紀半ば
押し戻す</t>
  </si>
  <si>
    <t>1650年代
素早く行う
急いで行う
考えなしのとっさの行動
&lt;span class="spacer"&gt;&lt;/span&gt;1850年から
急がせる, 急いで行かせる</t>
  </si>
  <si>
    <t>hon（吊るす）
hangian（ぶら下がっている）
&lt;span class="spacer"&gt;&lt;/span&gt;この2つの単語が1単語になる</t>
  </si>
  <si>
    <t>1828年から
hang around（ぶらぶらする, うろつく）</t>
  </si>
  <si>
    <t>*blastemare</t>
  </si>
  <si>
    <t>blasmer（非難する, 叱責する）</t>
  </si>
  <si>
    <t>1200年頃
非難する, とがめる
&lt;span class="spacer"&gt;&lt;/span&gt;1300年頃
責任を負わせる</t>
  </si>
  <si>
    <t>bannan（命じる, 宣言する）</t>
  </si>
  <si>
    <t>12世紀半ば
呪いを宣言する, 断罪する
&lt;span class="spacer"&gt;&lt;/span&gt;14世紀後期
禁止する
&lt;span class="spacer"&gt;&lt;/span&gt;&lt;span class="obsolete"&gt;この意味発展は、古ノルド語banna（呪う, 禁止する）や古フランス語banir（追放する）の影響を受けたと考えられる&lt;/span&gt;。</t>
  </si>
  <si>
    <t>fascinare（魔法にかける, 魅了する）
&lt;span class="spacer"&gt;&lt;/span&gt;過去分詞fascinatus</t>
  </si>
  <si>
    <t>14世紀
fasciner（魔法にかける, 魅了する）</t>
  </si>
  <si>
    <t>1590年代
魔法にかける, 魔法で相手を動けなくする
&lt;span class="spacer"&gt;&lt;/span&gt;1815年までに
注意や関心を完全にとらえて引きつける</t>
  </si>
  <si>
    <t xml:space="preserve">re（再び）＋capere（取る）
recipere（取り戻す）に関連する
&lt;span class="spacer"&gt;&lt;/span&gt;recuperare（取り戻す）
</t>
  </si>
  <si>
    <t>recuperare（取り戻す, 回復する）</t>
  </si>
  <si>
    <t>recovrer（健康を回復する, 取り戻す）</t>
  </si>
  <si>
    <t>13世紀
rekeverer</t>
  </si>
  <si>
    <t>recoveren
&lt;span class="spacer"&gt;&lt;/span&gt;1300年頃
意識を取り戻す, 健康を回復する
&lt;span class="spacer"&gt;&lt;/span&gt;14世紀半ば
失われたものを取り戻す, 回収する</t>
  </si>
  <si>
    <t>1600年頃
病気から回復させる, 他人を健康な状態に戻す（他動詞）</t>
  </si>
  <si>
    <t>15世紀半ば
適切な儀式を伴って公に執り行う</t>
  </si>
  <si>
    <t>1550年代
喜びの表現をもって祝う</t>
  </si>
  <si>
    <t>manus（手）＋facere（作る, 行う）
manus（手）＋factura（作ること, 作業）</t>
  </si>
  <si>
    <t>manufactura（手で作ること）</t>
  </si>
  <si>
    <t>16世紀
manufacture</t>
  </si>
  <si>
    <t>agere（動かす, 駆り立てる, 行う, 舞台で演じる）
&lt;span class="spacer"&gt;&lt;/span&gt;過去分詞actus</t>
  </si>
  <si>
    <t>acten
&lt;span class="spacer"&gt;&lt;/span&gt;15世紀半ば
法律で裁く</t>
  </si>
  <si>
    <t>1590年代
役を演じる
&lt;span class="spacer"&gt;&lt;/span&gt;1600年頃
行う
&lt;span class="spacer"&gt;&lt;/span&gt;1805年
inter（〜の間に）＋act（行う, 作用する）
interact（相互に作用する）
&lt;span class="spacer"&gt;&lt;/span&gt;1810年から
act on（影響を及ぼす）</t>
  </si>
  <si>
    <t>arengen
&lt;span class="spacer"&gt;&lt;/span&gt;14世紀後期
隊列を整える</t>
  </si>
  <si>
    <t>1780年〜1800年
物事を順序立てて配置する
&lt;span class="spacer"&gt;&lt;/span&gt;1786年までに
合意に達する</t>
  </si>
  <si>
    <t>ajuster（寄せる, 合わせる, 組み立てる）</t>
  </si>
  <si>
    <t>ajusten
&lt;span class="spacer"&gt;&lt;/span&gt;14世紀後期
正す, 矯正する</t>
  </si>
  <si>
    <t>16世紀
adjuster（複数のものを適切に適合させる）</t>
  </si>
  <si>
    <t>1600年代
整える, 構成する
&lt;span class="spacer"&gt;&lt;/span&gt;1660年代
基準や他のものに合わせる
基準や他のものに合うように調整する</t>
  </si>
  <si>
    <t>firmus（強い, 堅固な）
&lt;span class="spacer"&gt;&lt;/span&gt;動詞になって
firmare（強くする, 固める）
&lt;span class="spacer"&gt;&lt;/span&gt;com（強意）＋firmare（強くする, 固める）
confirmare（堅固にする, 強める, 確立する）</t>
  </si>
  <si>
    <t>13世紀
confermer（強める, 確立する, 固める, 証拠によって肯定する）</t>
  </si>
  <si>
    <t>confermen
&lt;span class="spacer"&gt;&lt;/span&gt;13世紀半ば
法的行為によって承認する
&lt;span class="spacer"&gt;&lt;/span&gt;14世紀半ば
堅固にする, より強くする
&lt;span class="spacer"&gt;&lt;/span&gt;14世紀後期
確かなものにする, 検証する</t>
  </si>
  <si>
    <t>seon（見る, 見える：seeの語源）
&lt;span class="spacer"&gt;&lt;/span&gt;名詞を作るthが付いて
sihð（見えるもの, 視覚）</t>
  </si>
  <si>
    <t>innsihht（in+sight）
&lt;span class="spacer"&gt;&lt;/span&gt;1200年頃
心の目で見えるもの
理解, 見識</t>
  </si>
  <si>
    <t>1580年代
in＋sightは本来、自分の内側（心）の目で見えるものという意味だったが、対象の中を見る力という解釈が行われる
&lt;span class="spacer"&gt;&lt;/span&gt;内部に隠れている本質を見抜く鋭い洞察力</t>
  </si>
  <si>
    <t>novus（新しい）
&lt;span class="spacer"&gt;&lt;/span&gt;動詞になって
in（中に）＋novare
innovare（新しいものを入れる, 新しくする, 変える）</t>
  </si>
  <si>
    <t>innovacion
&lt;span class="spacer"&gt;&lt;/span&gt;15世紀半ば
更新
&lt;span class="spacer"&gt;&lt;/span&gt;1540年代
既存のものに導入される新しい変化, 新規要素, 刷新, 革新</t>
  </si>
  <si>
    <t>bulga（革の袋）</t>
  </si>
  <si>
    <t>bouge（革袋, 財布）
&lt;span class="spacer"&gt;&lt;/span&gt;小さいことを表すetteが付いて
bougette（小さな革袋）</t>
  </si>
  <si>
    <t>bouget（革の袋）</t>
  </si>
  <si>
    <t>feoh（家畜, 財産）</t>
  </si>
  <si>
    <t>fieu（所有物, 領地, 封建的義務, 支払い）</t>
  </si>
  <si>
    <t>ex（外に）＋pendere（吊るす）
expendere（天秤に吊るしてお金の重さを量る, 支払う）
&lt;span class="spacer"&gt;&lt;/span&gt;名詞になって
expensa（支払い, 支出, 出費）</t>
  </si>
  <si>
    <t>espense（経費のために用意された金）</t>
  </si>
  <si>
    <t>expense</t>
  </si>
  <si>
    <t>14世紀後期
支出, 出費, 経費, 様々な原因による損失や損害</t>
  </si>
  <si>
    <t>de（離れて）＋habere（持っている）
debere（誰かから何かを遠ざけて持っている, 借りがある）
&lt;span class="spacer"&gt;&lt;/span&gt;過去分詞debitum（借りているもの）</t>
  </si>
  <si>
    <t>dete</t>
  </si>
  <si>
    <t>dette
&lt;span class="spacer"&gt;&lt;/span&gt;1300年頃
誰かから借りているもの
借りていて支払うべきもの
&lt;span class="spacer"&gt;&lt;/span&gt;14世紀半ば
支払いを行う義務がある状態</t>
  </si>
  <si>
    <t>後期ラテン語or俗ラテン語</t>
  </si>
  <si>
    <t>al-kīmiyāʾ（錬金術）</t>
    <phoneticPr fontId="1"/>
  </si>
  <si>
    <t>lan（ローン, 貸し付け）</t>
  </si>
  <si>
    <t>12世紀後期
貸し付けられたもの
将来返却を約束して提供されたもの</t>
  </si>
  <si>
    <t>de（離れて）＋habere（持っている）
debere（誰かから何かを遠ざけて持っている, 借りがある）
&lt;span class="spacer"&gt;&lt;/span&gt;過去分詞debitus（借りている, 負っている）</t>
  </si>
  <si>
    <t>*debutus</t>
  </si>
  <si>
    <t>deu（借りがある, 当然支払われるべき, 義務としてなされるべき）</t>
  </si>
  <si>
    <t>duete</t>
  </si>
  <si>
    <t>duete
&lt;span class="spacer"&gt;&lt;/span&gt;14世紀後期
義務的にすべきこと
輸出入の関税</t>
  </si>
  <si>
    <t>1580年代
必要とされる任務, 職務</t>
  </si>
  <si>
    <t>ad（〜へ）
illas（その）
arma（武器）</t>
  </si>
  <si>
    <t>14世紀
alarme</t>
  </si>
  <si>
    <t>14世紀後期
敵や危険に直面した際の武装の呼びかけ
&lt;span class="spacer"&gt;&lt;/span&gt;15世紀半ば
恐怖による驚き</t>
  </si>
  <si>
    <t>16世紀
危険を知らせる音やそれを発する装置
&lt;span class="spacer"&gt;&lt;/span&gt;1833年から
中英語の恐怖という意味が弱まって、不安</t>
  </si>
  <si>
    <t>ex（外に）＋mergere（浸す, 沈める）
emergere（外へ浮かび上がる, 現れ出る）
&lt;span class="spacer"&gt;&lt;/span&gt;現在分詞emergens</t>
  </si>
  <si>
    <t>1630年代
即座の対応が必要な、予期せぬ出来事</t>
  </si>
  <si>
    <t>13世紀
democratia</t>
  </si>
  <si>
    <t>14世紀
démocratie</t>
  </si>
  <si>
    <t>1570年代
民衆による統治
人民に主権があり、選挙によって選ばれた代表者が権力を行使する統治形態</t>
  </si>
  <si>
    <t>12世紀
menistre（召使い, 従者, 管理者）</t>
  </si>
  <si>
    <t>1300年頃
キリスト教の教会の聖職者
上位者の権限に基づいて行動する人</t>
  </si>
  <si>
    <t>1620年代
君主や国家の最高元首によって任命された大臣</t>
  </si>
  <si>
    <t>feolaga（仲間, 同僚）</t>
  </si>
  <si>
    <t>1200年頃
仲間, 同志
&lt;span class="spacer"&gt;&lt;/span&gt;15世紀半ば
男, 男性</t>
  </si>
  <si>
    <t>1600年頃
選挙や任命によって公職を求める者</t>
  </si>
  <si>
    <t>corpus（身体, 結合した部分から成る全体, 共同体, 団体）
&lt;span class="spacer"&gt;&lt;/span&gt;corporare（身体を与える, 形あるものにする）</t>
  </si>
  <si>
    <t>名詞を作る-ioが付いて
corporatio（身体に宿ること, 具現化）</t>
  </si>
  <si>
    <t>corporacioun
&lt;span class="spacer"&gt;&lt;/span&gt;15世紀半ば
ある目的のために一体となった人々</t>
  </si>
  <si>
    <t>1610年代
法的な人格, 法人</t>
  </si>
  <si>
    <t>stereos（固い, 固体の）</t>
  </si>
  <si>
    <t>ギリシャ語stereos（固体の）＋フランス語type（活字, 型）
stéréotype（固形の活字版によって印刷された）</t>
  </si>
  <si>
    <t>1798年
版板から印刷する手法
&lt;span class="spacer"&gt;&lt;/span&gt;1817年までに
ステレオ版（鉛版）
1ページ分の活字の面を、1枚の合金として作ったもの
&lt;span class="spacer"&gt;&lt;/span&gt;1819年までに
型にはめる（動詞）
&lt;span class="spacer"&gt;&lt;/span&gt;1850年までに
変化することのないイメージ</t>
  </si>
  <si>
    <t>1922年までに
先入観に基づいた固定観念</t>
  </si>
  <si>
    <t>rumpere（壊す）
&lt;span class="spacer"&gt;&lt;/span&gt;過去分詞rupta（力ずくで切り開かれた）
&lt;span class="spacer"&gt;&lt;/span&gt;rupta via（切り開かれた道）</t>
  </si>
  <si>
    <t>rute（道, 道路）</t>
  </si>
  <si>
    <t>1200年頃
道, 道路
&lt;span class="spacer"&gt;&lt;/span&gt;15世紀初頭
動物が習慣的に通る道</t>
  </si>
  <si>
    <t>1792年
物資を運ぶための決まった経路</t>
  </si>
  <si>
    <t>ordo（列, 順序, 配置）
&lt;span class="spacer"&gt;&lt;/span&gt;動詞になって
ordinare（整える, 調整する）</t>
  </si>
  <si>
    <t>dis（否定）＋ordinare（整える）
disordinare（秩序を乱す, 混乱させる）</t>
  </si>
  <si>
    <t>desordainer（無秩序にする, 混乱させる）</t>
  </si>
  <si>
    <t>15世紀後期
秩序を乱す
&lt;span class="spacer"&gt;&lt;/span&gt;&lt;span class="obsolete"&gt;14世紀半ば
それまで使われていたdisordeinに取って代わった。&lt;/span&gt;</t>
  </si>
  <si>
    <t>1520年代
規則的な配置の欠如
&lt;span class="spacer"&gt;&lt;/span&gt;1530年代
騒乱, 平和を乱す
&lt;span class="spacer"&gt;&lt;/span&gt;1704年までに
心身の不調（機能の乱れ）</t>
  </si>
  <si>
    <t>de（下に）＋premere（押す, 圧する）
deprimere（押し下げる）</t>
  </si>
  <si>
    <t>名詞を作る-ioが付いて
depressio</t>
  </si>
  <si>
    <t>14世紀
depression</t>
  </si>
  <si>
    <t>1400年頃
天文学用語で、地平線の下にある星の角距離
&lt;span class="spacer"&gt;&lt;/span&gt;15世紀初頭
意気消沈, 憂鬱</t>
  </si>
  <si>
    <t>1650年代
押し下げる行為, 押し下げられた状態
&lt;span class="spacer"&gt;&lt;/span&gt;1826年までに
経済活動の低下, 不況</t>
  </si>
  <si>
    <t>wæpen（戦闘や防御の道具）</t>
  </si>
  <si>
    <t>wepen
&lt;span class="spacer"&gt;&lt;/span&gt;1300年頃までに
本来は武器ではなくても、争いや闘争で役立つもの</t>
  </si>
  <si>
    <t>in（中に）＋migrare（移動する, 移住する）
immigrare（中に移動する, 移住する）
&lt;span class="spacer"&gt;&lt;/span&gt;過去分詞immigratus</t>
  </si>
  <si>
    <t>1620年代
新たな居住者または住民としてある場所に入り込む
特に他国へ移住する
&lt;span class="spacer"&gt;&lt;/span&gt;1650年代
他国への移住
&lt;span class="spacer"&gt;&lt;/span&gt;1852年までに
移民（集合的に）</t>
  </si>
  <si>
    <t>1966年までに
入国管理局</t>
  </si>
  <si>
    <t>barrere</t>
  </si>
  <si>
    <t>14世紀初頭
barere（侵入を妨げるもの, 障害物）</t>
  </si>
  <si>
    <t>ab（〜から）+ante（前に）
abante（前から）</t>
  </si>
  <si>
    <t>avant（前に）
&lt;span class="spacer"&gt;&lt;/span&gt;avantage（有利, 利益）
&lt;span class="spacer"&gt;&lt;/span&gt;des（否定）＋avantage（有利, 利益）
desavantage（不利益, 損失）</t>
  </si>
  <si>
    <t>desavantage
&lt;span class="spacer"&gt;&lt;/span&gt;14世紀後期
損失, 損害, 不利益</t>
  </si>
  <si>
    <t>1520年代
不利な条件, 成功を妨げるもの</t>
  </si>
  <si>
    <t>mod（心, 精神, 勇気）</t>
  </si>
  <si>
    <t>1300年頃
感情の状態, 心のあり方</t>
  </si>
  <si>
    <t>movere（動かす）
&lt;span class="spacer"&gt;&lt;/span&gt;名詞になって
motio（動き, 運動）</t>
  </si>
  <si>
    <t>mocion（動き, 運動, 変化）</t>
  </si>
  <si>
    <t>14世紀後期
動く過程, 位置の変化</t>
  </si>
  <si>
    <t>16世紀
名詞を作る-ineが付いて
routine（いつもの道, 踏みならされた道, いつものやり方）</t>
  </si>
  <si>
    <t>1670年代
慣習的な行動の進め方</t>
  </si>
  <si>
    <t>discipulus（弟子, 学生）
&lt;span class="spacer"&gt;&lt;/span&gt;disciplina（教えられたこと, 教育, 学問, 訓練, 規律）</t>
  </si>
  <si>
    <t>11世紀
descepline（規律, 教育, 肉体的懲罰）</t>
  </si>
  <si>
    <t>1200年頃
懲罰, 矯正のための罰, しつけ
&lt;span class="spacer"&gt;&lt;/span&gt;14世紀半ば
規則や規律の体系
&lt;span class="spacer"&gt;&lt;/span&gt;14世紀後期
学問分野, 教育の一部門
&lt;span class="spacer"&gt;&lt;/span&gt;15世紀後期
軍事訓練</t>
  </si>
  <si>
    <t>mythus（神話）</t>
  </si>
  <si>
    <t>mythe（神話）</t>
  </si>
  <si>
    <t>1830年代
神話
&lt;span class="spacer"&gt;&lt;/span&gt;1840年から
でっちあげた話</t>
  </si>
  <si>
    <t>hypo（下に）＋thesis（置くこと, 命題）
hypothesis（基礎, 論証の基礎, 仮定）</t>
  </si>
  <si>
    <t>hypothese</t>
  </si>
  <si>
    <t>1590年代
特定の陳述
&lt;span class="spacer"&gt;&lt;/span&gt;1650年代
前提とされる仮定</t>
  </si>
  <si>
    <t>phyein（生み出す, 成長させる）
&lt;span class="spacer"&gt;&lt;/span&gt;physis（自然, 本来的に備わっている性質や力）
&lt;span class="spacer"&gt;&lt;/span&gt;physikē（自然に関する知識）
&lt;span class="spacer"&gt;&lt;/span&gt;ここでの自然は、「自然に育つ」や「自然科学」で使われる「自然」を意味する。森や川などの自然ではない。</t>
  </si>
  <si>
    <t>physica（自然科学）</t>
  </si>
  <si>
    <t>12世紀
fisique（治療の技術）
&lt;span class="spacer"&gt;&lt;/span&gt;fisiciien（医者, 賢者）</t>
  </si>
  <si>
    <t>fisicien
&lt;span class="spacer"&gt;&lt;/span&gt;1200年頃
医者（内科医）, 治療者</t>
  </si>
  <si>
    <t>1300年頃
clyent</t>
  </si>
  <si>
    <t>14世紀後期
他人の庇護を受けて生活するもの
&lt;span class="spacer"&gt;&lt;/span&gt;1400年頃
弁護士の依頼人</t>
  </si>
  <si>
    <t>1600年頃
特定の利益や事務を他者に委ねる顧客</t>
  </si>
  <si>
    <t>colere（耕す, 住む）
&lt;span class="spacer"&gt;&lt;/span&gt;名詞を作る-onus（主体を表す）が付いて
colonus（農夫, 耕す人）
&lt;span class="spacer"&gt;&lt;/span&gt;名詞を作る-ia（場所を表す）が付いて
colonia（農地, 定住地）</t>
  </si>
  <si>
    <t>14世紀後期
イタリア本土の外にある古代ローマ人の入植地</t>
  </si>
  <si>
    <t>1540年代
母国に従属したまま、新しい土地に移住し耕作、定住する人たち
&lt;span class="spacer"&gt;&lt;/span&gt;1610年代
植民された国や地域</t>
  </si>
  <si>
    <t>statista（政治家）</t>
  </si>
  <si>
    <t>statisticum（国政に関する講義）</t>
  </si>
  <si>
    <t>1770年代
国家または共同体の状態に関するデータを扱う学問
&lt;span class="spacer"&gt;&lt;/span&gt;1829年から
あらゆる種類の数値データを体系的に収集、分類したもの</t>
  </si>
  <si>
    <t>granum（穀粒, 種子, 小さな核）</t>
  </si>
  <si>
    <t>12世紀
grain
穀粒, 種子</t>
  </si>
  <si>
    <t>14世紀初頭
小さく硬い種子
穀物の種子
塩や砂などの粒
&lt;span class="spacer"&gt;&lt;/span&gt;14世紀後期
穀類
比喩的に最小限の量, きめ（きめ細かい）</t>
  </si>
  <si>
    <t>in（中に）+gradi（歩く, 進む）
ingredi（中に入る, 入って行く）
&lt;span class="spacer"&gt;&lt;/span&gt;現在分詞ingredientem（入り込むもの, 構成要素）</t>
  </si>
  <si>
    <t>15世紀初頭
混合物を構成するもの</t>
  </si>
  <si>
    <t>thesaurus（宝庫, 財宝）</t>
  </si>
  <si>
    <t>ガロ・ロマンス語</t>
  </si>
  <si>
    <t>*tresaurus
&lt;span class="spacer"&gt;&lt;/span&gt;&lt;span class="obsolete"&gt;ガロ・ロマンス語は現在のフランス北部と西部、ベルギー南部、イタリア北部で話されていた言語&lt;/span&gt;</t>
  </si>
  <si>
    <t>11世紀
tresor</t>
  </si>
  <si>
    <t>tresour
&lt;span class="spacer"&gt;&lt;/span&gt;12世紀頃
蓄えられた金銭や宝石
蓄えられた富
戦利品</t>
  </si>
  <si>
    <t>16世紀
現在のスペルtreasureが定着</t>
  </si>
  <si>
    <t>com（共に）+trahere（引く）
contrahere（複数のものを一つに引き寄せる, 引き入れる, 取引する, 合意に達する）
&lt;span class="spacer"&gt;&lt;/span&gt;過去分詞contractus（引き寄せること, 契約, 合意）</t>
  </si>
  <si>
    <t>contract</t>
  </si>
  <si>
    <t>14世紀初頭
2人以上の間での合意</t>
  </si>
  <si>
    <t>1610年代
契約書</t>
  </si>
  <si>
    <t>wel（よく）＋faran（やっていく, 進む）</t>
  </si>
  <si>
    <t>wel-fare
&lt;span class="spacer"&gt;&lt;/span&gt;14世紀半ばまでに
安全で確かな状態
災いがないこと</t>
  </si>
  <si>
    <t>1904年
子どもや失業者などの福祉に対する社会的配慮
&lt;span class="spacer"&gt;&lt;/span&gt;1918年
集団の構成員の生活維持を提供するための福祉</t>
  </si>
  <si>
    <t>*per-（前へ）
*preis-（〜の前に）</t>
  </si>
  <si>
    <t>原初イタリック語</t>
  </si>
  <si>
    <t>印欧祖語*preis-（〜の前に）の最上級*prismos（最も前の, 第一の）</t>
  </si>
  <si>
    <t>primus（第一の, 最初の, 主要な）</t>
  </si>
  <si>
    <t>14世紀後期
時間的に一番前の, 最初の
&lt;span class="spacer"&gt;&lt;/span&gt;1400年頃
最高に優れた</t>
  </si>
  <si>
    <t>1560年代
prime number（素数）
&lt;span class="spacer"&gt;&lt;/span&gt;1610年代
重要性において第一の, 最も重要な</t>
  </si>
  <si>
    <t>curios（心配している, 熱心な, 好奇心の強い）</t>
  </si>
  <si>
    <t>14世紀半ば 
微妙な, 洗練された
&lt;span class="spacer"&gt;&lt;/span&gt;14世紀後期
知りたがる, 好奇心が強い</t>
  </si>
  <si>
    <t>古典ギリシャ語</t>
  </si>
  <si>
    <t>drama（行動, 劇, 演劇作品）
&lt;span class="spacer"&gt;&lt;/span&gt;形容詞を作る-ikosが付いて
dramatikos（劇の, 演劇の）</t>
  </si>
  <si>
    <t>dramaticus（劇の, 演劇の）</t>
  </si>
  <si>
    <t>1580年代
演劇の</t>
  </si>
  <si>
    <t>distincter（区別する, 見分ける）</t>
  </si>
  <si>
    <t>1300年頃
&lt;span class="obsolete"&gt;動詞distincten（区別する：現在は廃語）の過去分詞から形容詞になる&lt;/span&gt;
&lt;span class="spacer"&gt;&lt;/span&gt;14世紀後期
同一ではない
感覚によって明確に知覚できる</t>
  </si>
  <si>
    <t>1600年頃
知性にとって明瞭で理解しやすい</t>
  </si>
  <si>
    <t>angere（締め付ける, 窒息させる, 苦しめる, 悩ませる）
&lt;span class="spacer"&gt;&lt;/span&gt;形容詞になって
anxius（不安な, 心が落ち着かない）</t>
  </si>
  <si>
    <t>1620年代
不確実な事柄によってひどく悩まされている
&lt;span class="spacer"&gt;&lt;/span&gt;1742年
切望する</t>
  </si>
  <si>
    <t>vivere（生きる）に関連するvita（生命）
&lt;span class="spacer"&gt;&lt;/span&gt;形容詞を作る-alisが付いて
vitalis（生命の, 生命に関わる）</t>
  </si>
  <si>
    <t>vital（生命の, 生命に関する）</t>
  </si>
  <si>
    <t>14世紀後期
哲学・生理学において、生命原理に関する
&lt;span class="spacer"&gt;&lt;/span&gt;15世紀半ば
生きている
&lt;span class="spacer"&gt;&lt;/span&gt;15世紀後期
生命維持に不可欠な</t>
  </si>
  <si>
    <t>1610年代
必要不可欠な</t>
  </si>
  <si>
    <t>conventioに形容詞を作る-alisが付いて
conventionalis（合意に関する, 慣習の）</t>
  </si>
  <si>
    <t>15世紀後期
合意の性質を持つ</t>
  </si>
  <si>
    <t>1761年から
社会的慣習によって定められた
&lt;span class="spacer"&gt;&lt;/span&gt;1831年から
伝統に従った, 型にはまった</t>
  </si>
  <si>
    <t>ab（離れて）+trahere（引く）
abstrahere（引き離す, 引き抜く）
&lt;span class="spacer"&gt;&lt;/span&gt;過去分詞abstractus（引き離された, 抽出された）</t>
  </si>
  <si>
    <t>14世紀後期
文法用語で、具体的な物を指さない名詞の
&lt;span class="spacer"&gt;&lt;/span&gt;1400年頃
難解な, 理解しにくい
&lt;span class="spacer"&gt;&lt;/span&gt;15世紀半ば
哲学において、実際の物質や事柄から切り離された, 抽象的な</t>
  </si>
  <si>
    <t>minus（より小さい）
minor（より小さい, 重要度の低い）</t>
  </si>
  <si>
    <t>13世紀初頭
フランシスコ会修道士（直訳：小さき兄弟）
&lt;span class="spacer"&gt;&lt;/span&gt;15世紀初頭
他と比べてより小さい, より少ない</t>
  </si>
  <si>
    <t>1620年代
比較的重要度が低い</t>
  </si>
  <si>
    <t>extra（外に, 外側へ）+ordo（列, 順序, 秩序）
extra ordinem（通常の順序の外の, 秩序から外れた）
&lt;span class="spacer"&gt;&lt;/span&gt;形容詞になって
extraordinarius（通常の秩序から外れた）</t>
  </si>
  <si>
    <t>15世紀初頭
通常の秩序を超えた</t>
  </si>
  <si>
    <t>1580年代
並外れた, 驚くべき</t>
  </si>
  <si>
    <t>*sta-（立つ）</t>
  </si>
  <si>
    <t>bilis（〜できる）が付いて
stabilis（立つことができる, 揺るがない, 安定した）</t>
  </si>
  <si>
    <t>stable（揺るぎない）</t>
  </si>
  <si>
    <t>12世紀半ば
頼りになる
&lt;span class="spacer"&gt;&lt;/span&gt;13世紀半ば
揺るがない
&lt;span class="spacer"&gt;&lt;/span&gt;1300年頃
固定された, 確立された
&lt;span class="spacer"&gt;&lt;/span&gt;14世紀後期
倒れにくい, 安定している</t>
  </si>
  <si>
    <t>flex</t>
  </si>
  <si>
    <t>ible</t>
  </si>
  <si>
    <t>flectere（曲げる）
&lt;span class="spacer"&gt;&lt;/span&gt;過去分詞flexus（曲げられた）
&lt;span class="spacer"&gt;&lt;/span&gt;形容詞を作る-bilis（できる）が付いて
flexibilis（曲げることができる, 柔軟な）</t>
  </si>
  <si>
    <t>15世紀初頭
曲げることができる, 柔軟な</t>
  </si>
  <si>
    <t>brevis（短い, 小さい）</t>
  </si>
  <si>
    <t>1300年頃
bref（継続期間が短い）
&lt;span class="spacer"&gt;&lt;/span&gt;14世紀初頭
長さに関して短い</t>
  </si>
  <si>
    <t>ag</t>
  </si>
  <si>
    <t>gradus（歩み, 一歩）
&lt;span class="spacer"&gt;&lt;/span&gt;動詞になって
gradi（歩く, 進む）
&lt;span class="spacer"&gt;&lt;/span&gt;ad（〜へ）＋gradi（歩く, 進む）
aggredi（〜へ進む, 近づく, 攻撃する）
&lt;span class="spacer"&gt;&lt;/span&gt;過去分詞aggressus（近づいた, 襲いかかった）</t>
  </si>
  <si>
    <t>ラテン語aggressusに形容詞を作る-iveが付いて
aggressive
&lt;span class="spacer"&gt;&lt;/span&gt;1791年
攻撃的な, 先制的に攻撃しようとする</t>
  </si>
  <si>
    <t>vis</t>
  </si>
  <si>
    <t>videre（見る）
&lt;span class="spacer"&gt;&lt;/span&gt;過去分詞visus（見られたこと, 視覚）
&lt;span class="spacer"&gt;&lt;/span&gt;形容詞を作る-blis（できる）が付いて
visibilis（見ることができる）</t>
  </si>
  <si>
    <t>visible（見える）</t>
  </si>
  <si>
    <t>14世紀半ば
目に見える</t>
  </si>
  <si>
    <t>1550年代
待つ
&lt;span class="spacer"&gt;&lt;/span&gt;un（否定）＋expected（待ち望まれた, 予見された）
unexpected（予見されていなかった, 思いがけない）</t>
  </si>
  <si>
    <t>ethnos（共に生活する人々の集団, 民族）
&lt;span class="spacer"&gt;&lt;/span&gt;形容詞を作る-ikosが付いて
ethnikos（自分と同じ種類の人々, 民族の）</t>
  </si>
  <si>
    <t>ethnicus
ここではキリスト教において、異教徒を意味した</t>
  </si>
  <si>
    <t>15世紀後期
異教の, 異邦の, 非キリスト教的な</t>
  </si>
  <si>
    <t>1851年から
民族の（もとになったギリシャ語の意味が復活）</t>
  </si>
  <si>
    <t>ien</t>
  </si>
  <si>
    <t>*al-（向こうに, 越えて）</t>
  </si>
  <si>
    <t>alius（他の, 別の）
&lt;span class="spacer"&gt;&lt;/span&gt;alienus（自分たちとは別の, 他人の, 異質な）</t>
  </si>
  <si>
    <t>alien（異国の, よそ者の）</t>
  </si>
  <si>
    <t>1300年頃
奇妙な, 外国の
&lt;span class="spacer"&gt;&lt;/span&gt;15世紀半ば
生まれた国とは別の国に住んでいる</t>
  </si>
  <si>
    <t>1920年までに
地球外の, 宇宙人の</t>
  </si>
  <si>
    <t>1520年代
始まりの, 初期の</t>
  </si>
  <si>
    <t>1530年代
正確な, 厳密な</t>
  </si>
  <si>
    <t>cise</t>
  </si>
  <si>
    <t>prae（前に）+caedere（切る）
praecidere（あらかじめ切り落とす, 短くする）
&lt;span class="spacer"&gt;&lt;/span&gt;過去分詞praecisu（切り落とされた, 簡潔な）</t>
  </si>
  <si>
    <t>precisus</t>
  </si>
  <si>
    <t>14世紀
précis</t>
  </si>
  <si>
    <t>15世紀半ば
正確な, 厳密な, 誤りのない</t>
  </si>
  <si>
    <t>læt（遅い：lateの語源）
&lt;span class="spacer"&gt;&lt;/span&gt;比較級になって
lætra（より遅い）</t>
  </si>
  <si>
    <t>1200年頃
後の時期に属する</t>
  </si>
  <si>
    <t>1550年代
2つのうち後に言及された, 後者の</t>
  </si>
  <si>
    <t>com（共に）+mittere（送る, 放つ）
committere（まとめて送る, 結びつける, 組み合わせる, 委ねる, 罪を犯す）</t>
    <rPh sb="20" eb="21">
      <t>ハナ</t>
    </rPh>
    <rPh sb="50" eb="51">
      <t>ク</t>
    </rPh>
    <rPh sb="52" eb="53">
      <t>ア</t>
    </rPh>
    <phoneticPr fontId="1"/>
  </si>
  <si>
    <t>15世紀初頭
公的な令状によって刑務所や精神病院に送る
&lt;span class="spacer"&gt;&lt;/span&gt;15世紀半ば
罪を犯す
&lt;span class="spacer"&gt;&lt;/span&gt;1530年代から
自分自身を完全に委ねる</t>
  </si>
  <si>
    <t>committen
&lt;span class="spacer"&gt;&lt;/span&gt;14世紀後期
管理を委ねる</t>
    <phoneticPr fontId="1"/>
  </si>
  <si>
    <t>stimulus（突き棒）
&lt;span class="spacer"&gt;&lt;/span&gt;動詞になって
stimulare（突く）
&lt;span class="spacer"&gt;&lt;/span&gt;過去分詞stimulatus</t>
    <rPh sb="9" eb="10">
      <t>ツ</t>
    </rPh>
    <rPh sb="11" eb="12">
      <t>ボウ</t>
    </rPh>
    <rPh sb="42" eb="44">
      <t>ドウシ</t>
    </rPh>
    <rPh sb="59" eb="60">
      <t>ツ</t>
    </rPh>
    <rPh sb="91" eb="95">
      <t>カコブンシ</t>
    </rPh>
    <phoneticPr fontId="1"/>
  </si>
  <si>
    <t>1610年代
突き動かす, 刺激する</t>
    <rPh sb="4" eb="6">
      <t>ネンダイ</t>
    </rPh>
    <rPh sb="7" eb="8">
      <t>ツ</t>
    </rPh>
    <rPh sb="9" eb="10">
      <t>ウゴ</t>
    </rPh>
    <rPh sb="14" eb="16">
      <t>シゲキ</t>
    </rPh>
    <phoneticPr fontId="1"/>
  </si>
  <si>
    <t>trace</t>
    <phoneticPr fontId="1"/>
  </si>
  <si>
    <t>tag7</t>
  </si>
  <si>
    <t>p7</t>
  </si>
  <si>
    <t>altus（高い）
&lt;span class="spacer"&gt;&lt;/span&gt;動詞になって
altare（高くする）</t>
  </si>
  <si>
    <t>in（上に）＋altare（高くする）
inaltare（上げる, 高める）</t>
  </si>
  <si>
    <t>*inaltiare</t>
  </si>
  <si>
    <t>enhaucier（高くする, 大きくする）
&lt;span class="spacer"&gt;&lt;/span&gt;古フランス語においてスペルに'h'と'n'が入り込んだ</t>
  </si>
  <si>
    <t>enhauncer</t>
  </si>
  <si>
    <t>anhaunsen
&lt;span class="spacer"&gt;&lt;/span&gt;13世紀後期
高くする, 持ち上げる</t>
  </si>
  <si>
    <t>pro（前へ）＋sequi（従う）</t>
  </si>
  <si>
    <t>*prosequare</t>
  </si>
  <si>
    <t>poursuir（追いかける, 続ける）</t>
  </si>
  <si>
    <t>pursuer</t>
  </si>
  <si>
    <t>13世紀後期
敵意をもって追いかける
&lt;span class="spacer"&gt;&lt;/span&gt;14世紀後期
道をたどる
追い求める, 得ようとする</t>
  </si>
  <si>
    <t>agere（動かす, 駆り立てる, 行う, 演じる）
&lt;span class="spacer"&gt;&lt;/span&gt;過去分詞actus</t>
  </si>
  <si>
    <t>re（後ろへ, 返して）＋act（行う）
&lt;span class="spacer"&gt;&lt;/span&gt;1640年代
作用を及ぼした主体に対し、反対の作用を及ぼす
反作用を及ぼす
反応する</t>
  </si>
  <si>
    <t>ad（〜へ）
gratsu（喜ばしい）</t>
  </si>
  <si>
    <t>フレーズ a gré（〜への善意）
&lt;span class="spacer"&gt;&lt;/span&gt;動詞になって
agreer（喜ばせる, 好意的に受け入れる）
&lt;span class="spacer"&gt;&lt;/span&gt;des（否定）＋agreer（好意的に受け入れる）
desagreer</t>
  </si>
  <si>
    <t>15世紀後期
同意や承認を拒む</t>
  </si>
  <si>
    <t>1550年代
意見が異なる
反対の意見を述べる</t>
  </si>
  <si>
    <t>*ster-（硬い）</t>
  </si>
  <si>
    <t>starian（じっと見る）</t>
  </si>
  <si>
    <t>ad（〜へ）
bandon（権力）</t>
  </si>
  <si>
    <t>フレーズà bandon（権力で, 意のままに）
&lt;span class="spacer"&gt;&lt;/span&gt;動詞になって
abandonner（意のままにする, 降伏する, 解放する）</t>
  </si>
  <si>
    <t>14世紀後期
物を完全に放棄する, 支配を手放す, 完全に引き渡す</t>
  </si>
  <si>
    <t>1200年頃
負債を返済する
請求を精算する
&lt;span class="spacer"&gt;&lt;/span&gt;13世紀半ば
報いる, 報酬を与える
&lt;span class="spacer"&gt;&lt;/span&gt;1300年頃
無罪とする
&lt;span class="spacer"&gt;&lt;/span&gt;14世紀後期
去る, 出発する, 離れる</t>
  </si>
  <si>
    <t>1640年代
やめる, 中止する</t>
  </si>
  <si>
    <t>capere（取る, つかむ）
&lt;span class="spacer"&gt;&lt;/span&gt;過去分詞captus
&lt;span class="spacer"&gt;&lt;/span&gt;名詞になってcaptura（取ること）</t>
  </si>
  <si>
    <t>capture（捕獲）</t>
  </si>
  <si>
    <t>1540年代
取ること
&lt;span class="spacer"&gt;&lt;/span&gt;1779年、動詞になって
武力や計略によって奪う
捕まえる</t>
  </si>
  <si>
    <t>trans（越えて）＋ferre（運ぶ）
transferre（向こうへ運ぶ, 移す）</t>
  </si>
  <si>
    <t>transferer</t>
  </si>
  <si>
    <t>transferren
&lt;span class="spacer"&gt;&lt;/span&gt;14世紀後期
物を移す</t>
  </si>
  <si>
    <t>アイルランド語</t>
  </si>
  <si>
    <t>bodhairim（私は耳を聞こえなくする, 耳を塞ぐ）</t>
  </si>
  <si>
    <t>per（完全に）＋suadere（勧める）
persuadere（完全に勧める, 説得する）</t>
  </si>
  <si>
    <t>14世紀
persuader</t>
  </si>
  <si>
    <t>1510年代
〜だという意見や結論に導く
人に信じさせる
同意や行動に促す
説得する, 納得させる</t>
  </si>
  <si>
    <t>*rendere
&lt;span class="spacer"&gt;&lt;/span&gt;過去分詞*rendita（支払われたもの）</t>
  </si>
  <si>
    <t>renta（支払われるもの）</t>
  </si>
  <si>
    <t>rente（支払い期限のあるお金）
&lt;span class="spacer"&gt;&lt;/span&gt;動詞renter（支払う）</t>
  </si>
  <si>
    <t>renten
&lt;span class="spacer"&gt;&lt;/span&gt;14世紀半ば
収入を与える
&lt;span class="spacer"&gt;&lt;/span&gt;15世紀半ば
賃料を受け取って不動産を貸す</t>
  </si>
  <si>
    <t>&lt;span class="spacer"&gt;&lt;/span&gt;1520年代
特定の賃料を払って借りる
レンタルする</t>
  </si>
  <si>
    <t>bredan（子を産ませる）</t>
  </si>
  <si>
    <t>13世紀半ば
子を産む
&lt;span class="spacer"&gt;&lt;/span&gt;14世紀半ば
家畜などを繁殖させて育てる</t>
  </si>
  <si>
    <t>in（中に）＋vestire（服を着せる）
investire（中に服を着せる）</t>
  </si>
  <si>
    <t>14世紀後期
官職の正装を着せる</t>
  </si>
  <si>
    <t>1610年代
東インド貿易に関連して
自分の資本に新しい形を与える
利益を生むために金銭を用いる
投資する</t>
  </si>
  <si>
    <t>reserve</t>
    <phoneticPr fontId="1"/>
  </si>
  <si>
    <t>12世紀
reserver（取っておく, 差し控える）</t>
  </si>
  <si>
    <t>14世紀半ば
将来のために取っておく
&lt;span class="spacer"&gt;&lt;/span&gt;14世紀後期
自分のものとして保持する</t>
  </si>
  <si>
    <t>1935年
帳簿に記載する
予約する</t>
  </si>
  <si>
    <t>trahere（引く）
&lt;span class="spacer"&gt;&lt;/span&gt;名詞になって
tractus（引かれたもの, 通った跡）</t>
  </si>
  <si>
    <t>tractusが動詞になって
*tractiare（線を引く, 跡をつける）</t>
  </si>
  <si>
    <t>tracier（たどる, 追う）</t>
  </si>
  <si>
    <t>tracen
&lt;span class="spacer"&gt;&lt;/span&gt;14世紀後期
道筋をたどる
線を引く
&lt;span class="spacer"&gt;&lt;/span&gt;1400年頃
道を進む, 通過する
&lt;span class="spacer"&gt;&lt;/span&gt;15世紀初頭
跡や匂いを追跡する</t>
  </si>
  <si>
    <t>1762年から
絵の上に透明な紙を置いて写しとる
トレースする</t>
  </si>
  <si>
    <t>*leuk-（光る, 明るい）</t>
  </si>
  <si>
    <t>lustrare（明るくする, 照らす）
&lt;span class="spacer"&gt;&lt;/span&gt;in（中に）＋lustrare（明るくする, 照らす）
illustrare（明るくする, あきらかにする, 説明する, 飾る）
&lt;span class="spacer"&gt;&lt;/span&gt;過去分詞illustratus</t>
  </si>
  <si>
    <t>1520年代
照らす, 光を当てる
&lt;span class="spacer"&gt;&lt;/span&gt;1610年代
例を用いて教える, 説明する
&lt;span class="spacer"&gt;&lt;/span&gt;1630年代
説明や装飾のために絵を添える</t>
  </si>
  <si>
    <t>advise</t>
    <phoneticPr fontId="1"/>
  </si>
  <si>
    <t>videre（見る）
&lt;span class="spacer"&gt;&lt;/span&gt;過去分詞visum（見られたもの, 見解）</t>
  </si>
  <si>
    <t>フレーズ*mi est visum（私にはそう見える, 私の見解では〜である）</t>
  </si>
  <si>
    <t>フレーズço m’est à vis（私にはそう見える, 私の見解では〜である）
&lt;span class="spacer"&gt;&lt;/span&gt;単語になって
avis（意見）
&lt;span class="spacer"&gt;&lt;/span&gt;動詞になって
aviser（意見を考える, 熟考する）</t>
  </si>
  <si>
    <t>avisen
&lt;span class="spacer"&gt;&lt;/span&gt;13世紀後期
&lt;span class="obsolete"&gt;見る, 考慮する（現在は廃用）&lt;/span&gt;
&lt;span class="spacer"&gt;&lt;/span&gt;14世紀後期
意見を出す, 助言を与える</t>
  </si>
  <si>
    <t>convey</t>
    <phoneticPr fontId="1"/>
  </si>
  <si>
    <t>com（共に）＋via（道）</t>
  </si>
  <si>
    <t>*conviare（道を共にする, 同行する）</t>
  </si>
  <si>
    <t>convoiier（同行する, 護衛する）</t>
  </si>
  <si>
    <t>conveier</t>
  </si>
  <si>
    <t>conveien
&lt;span class="spacer"&gt;&lt;/span&gt;14世紀初頭
人と一緒に行く
&lt;span class="spacer"&gt;&lt;/span&gt;14世紀後期
運ぶ, 伝達する</t>
  </si>
  <si>
    <t>*steg-（柱, 杭）</t>
  </si>
  <si>
    <t>a（〜へ）＋tachier
atachier（柱に留めておく, 杭で固定する）</t>
  </si>
  <si>
    <t>14世紀半ば
法によって財産を差し押さえる
&lt;span class="spacer"&gt;&lt;/span&gt;1400年頃
留める, 取り付ける</t>
  </si>
  <si>
    <t>streccan（引き伸ばす, 広げる）</t>
  </si>
  <si>
    <t>strecchen
&lt;span class="spacer"&gt;&lt;/span&gt;1200年頃
手足を伸ばす
&lt;span class="spacer"&gt;&lt;/span&gt;14世紀後期
ぴんと張る, 引き伸ばす</t>
  </si>
  <si>
    <t>turba（混乱）
&lt;span class="spacer"&gt;&lt;/span&gt;turbare（混乱させる）
&lt;span class="spacer"&gt;&lt;/span&gt;dis（完全に）＋turbare（混乱させる）
disturbare（完全に混乱させる, 秩序を壊す）</t>
  </si>
  <si>
    <t>destorber</t>
  </si>
  <si>
    <t>distourben
&lt;span class="spacer"&gt;&lt;/span&gt;13世紀後期
怖がらせる, 不安にさせる
&lt;span class="spacer"&gt;&lt;/span&gt;1300年頃
妨害する</t>
  </si>
  <si>
    <t>crasschen
&lt;span class="spacer"&gt;&lt;/span&gt;14世紀後期
粉々に壊す, ガシャガシャと大きな音を立てる</t>
  </si>
  <si>
    <t>1910年代
航空機が墜落する
&lt;span class="spacer"&gt;&lt;/span&gt;1973年から
コンピュータ用語で、プログラムがクラッシュする、機能停止する</t>
  </si>
  <si>
    <t>kolaphos（打撃, 一撃）</t>
  </si>
  <si>
    <t>colaphus（平手打ち, 耳を打つ一撃）</t>
  </si>
  <si>
    <t>*colapus</t>
  </si>
  <si>
    <t>colpus（打撃）</t>
  </si>
  <si>
    <t>12世紀
colp（打撃）
&lt;span class="spacer"&gt;&lt;/span&gt;動詞になって
colper（打つ, 殴る）
&lt;span class="spacer"&gt;&lt;/span&gt;couper</t>
  </si>
  <si>
    <t>coupen
&lt;span class="spacer"&gt;&lt;/span&gt;14世紀後期
口論する
&lt;span class="spacer"&gt;&lt;/span&gt;1400年頃
殴り合いになる, 打撃を加える</t>
  </si>
  <si>
    <t>permit</t>
    <phoneticPr fontId="1"/>
  </si>
  <si>
    <t>per（前へ, 通って）＋mittere（送る, 放つ）
permittere（通して送る, 通して行かせる, 許す）</t>
  </si>
  <si>
    <t>permetre</t>
  </si>
  <si>
    <t>15世紀初頭
〜することを許す</t>
  </si>
  <si>
    <t>impress</t>
    <phoneticPr fontId="1"/>
  </si>
  <si>
    <t>in（中に）＋premere（押す, 圧する）
imprimere（中に押す, 押し込む, 刻印する）
&lt;span class="spacer"&gt;&lt;/span&gt;過去分詞impressus</t>
  </si>
  <si>
    <t>empresser</t>
  </si>
  <si>
    <t>impressen
&lt;span class="spacer"&gt;&lt;/span&gt;14世紀後期
刻印する
心や精神に深く刻み込む
心や精神に強い影響を与える</t>
  </si>
  <si>
    <t>suspect</t>
    <phoneticPr fontId="1"/>
  </si>
  <si>
    <t>sub（下から上へ）＋specere（見る）
suspicere（上を見る, 見上げる, 下からこっそり見る, 疑う）
&lt;span class="spacer"&gt;&lt;/span&gt;過去分詞suspectus（疑われた）</t>
  </si>
  <si>
    <t>14世紀
suspect</t>
  </si>
  <si>
    <t>14世紀初頭
不正の疑いがある, 疑わしい（形容詞）
&lt;span class="spacer"&gt;&lt;/span&gt;15世紀半ば
疑う（動詞）</t>
  </si>
  <si>
    <t>up（上に）＋setten（置く）
upsetten
&lt;span class="spacer"&gt;&lt;/span&gt;1200年頃
&lt;span class="obsolete"&gt;持ち上げる, 設置する（現在は廃用）&lt;/span&gt;
&lt;span class="spacer"&gt;1300年頃
&lt;span class="obsolete"&gt;襲いかかる（現在は廃用）&lt;/span&gt;
&lt;span class="spacer"&gt;&lt;/span&gt;15世紀初頭
&lt;span class="obsolete"&gt;直立させる（現在は廃用）&lt;/span&gt;</t>
  </si>
  <si>
    <t>1803年
ひっくり返す, 転覆させる（これは廃語となったoversetの意味を吸収した）
&lt;span class="spacer"&gt;&lt;/span&gt;1805年から
比喩的に、精神的に動揺させる</t>
  </si>
  <si>
    <t>frighten</t>
    <phoneticPr fontId="1"/>
  </si>
  <si>
    <t>fyrhtu（恐怖）</t>
  </si>
  <si>
    <t>fright（恐怖）＋en（動詞化）
&lt;span class="spacer"&gt;&lt;/span&gt;1660年代
恐怖させる</t>
  </si>
  <si>
    <t>import</t>
    <phoneticPr fontId="1"/>
  </si>
  <si>
    <t>in（中に）＋portare（運ぶ）
importare（中へ運ぶ, 持ち込む）</t>
  </si>
  <si>
    <t>importen
&lt;span class="spacer"&gt;&lt;/span&gt;15世紀初頭
意味を中に運ぶ, 意味を含む, 意味する</t>
  </si>
  <si>
    <t>1540年代
他国や他地域から運び込む, 輸入する
&lt;span class="spacer"&gt;&lt;/span&gt;1580年代
重要である, 重要な意味を持つ
（この意味は形容詞importantに関連する）</t>
  </si>
  <si>
    <t>export</t>
    <phoneticPr fontId="1"/>
  </si>
  <si>
    <t>ex（外に）＋portare（運ぶ）
importare（外へ運ぶ, 持ち出す）</t>
  </si>
  <si>
    <t>（おそらく15世紀後期には存在していたと考えられる）
&lt;span class="spacer"&gt;&lt;/span&gt;1610年代
ある場所から外へ持ち出す
&lt;span class="spacer"&gt;&lt;/span&gt;1660年代
他国へ輸出する</t>
  </si>
  <si>
    <t>vestigium（足跡, 痕跡）
&lt;span class="spacer"&gt;&lt;/span&gt;動詞になって
vestigare（跡をたどる）
&lt;span class="spacer"&gt;&lt;/span&gt;in（中に）＋vestigare（跡をたどる）
investigare（中へ入り込んで跡を追う, 調べ上げる）
&lt;span class="spacer"&gt;&lt;/span&gt;過去分詞investigatus</t>
  </si>
  <si>
    <t>1500年頃
跡を追って調べる</t>
  </si>
  <si>
    <t>monere（思い出させる, 警告する, 教える）
&lt;span class="spacer"&gt;&lt;/span&gt;名詞を作る-or（〜するもの）が付いて
monitor（思い出させるもの, 警告するもの, 監督者）</t>
  </si>
  <si>
    <t>1540年代
学校で秩序維持を任された上級生</t>
  </si>
  <si>
    <t>calx（石灰岩：チョークの語源）
&lt;span class="spacer"&gt;&lt;/span&gt;小さいことを表す-ulusが付いて
calculus（小石, 計算で使う小石）
&lt;span class="spacer"&gt;&lt;/span&gt;動詞になって
calculare（小石で数える, 計算する）
&lt;span class="spacer"&gt;&lt;/span&gt;過去分詞calculatus</t>
  </si>
  <si>
    <t>calculen
&lt;span class="spacer"&gt;&lt;/span&gt;14世紀半ば
計算する</t>
  </si>
  <si>
    <t>1560年代
calculenに代わってcalculateになる
&lt;span class="spacer"&gt;&lt;/span&gt;1650年代
計画する
&lt;span class="spacer"&gt;&lt;/span&gt;1830年
推測する</t>
  </si>
  <si>
    <t>eliminate</t>
    <phoneticPr fontId="1"/>
  </si>
  <si>
    <t>1560年代
押し出す, 排除する, 取り除く
&lt;span class="spacer"&gt;&lt;/span&gt;1714年頃
不要なものとして排除する</t>
  </si>
  <si>
    <t>aise（快適さ, 喜び）
&lt;span class="spacer"&gt;&lt;/span&gt;動詞になって
aiser</t>
  </si>
  <si>
    <t>1300年頃
助ける, 援助する
&lt;span class="spacer"&gt;&lt;/span&gt;14世紀半ば
楽にする, 和らげる, 軽減する</t>
  </si>
  <si>
    <t>lancea（軽い槍, 投げ槍）</t>
  </si>
  <si>
    <t>lanceare（槍を振る）</t>
  </si>
  <si>
    <t>lancier（投げつける, 放つ, 投じる）</t>
  </si>
  <si>
    <t>lancher</t>
  </si>
  <si>
    <t>1300年頃
突進する, 飛び出す, 出発する
&lt;span class="spacer"&gt;&lt;/span&gt;14世紀半ば
投げる, 放り出す
&lt;span class="spacer"&gt;&lt;/span&gt;1400年頃
船を水上に放り出す, 船を浮かべる</t>
  </si>
  <si>
    <t>1600年までに
開始する</t>
  </si>
  <si>
    <t>sequence</t>
    <phoneticPr fontId="1"/>
  </si>
  <si>
    <t>incident</t>
    <phoneticPr fontId="1"/>
  </si>
  <si>
    <t>priority</t>
    <phoneticPr fontId="1"/>
  </si>
  <si>
    <t>habitat</t>
    <phoneticPr fontId="1"/>
  </si>
  <si>
    <t>district</t>
    <phoneticPr fontId="1"/>
  </si>
  <si>
    <t>conservation</t>
    <phoneticPr fontId="1"/>
  </si>
  <si>
    <t>cooperation</t>
    <phoneticPr fontId="1"/>
  </si>
  <si>
    <t>component</t>
    <phoneticPr fontId="1"/>
  </si>
  <si>
    <t>reputation</t>
    <phoneticPr fontId="1"/>
  </si>
  <si>
    <t>remote</t>
    <phoneticPr fontId="1"/>
  </si>
  <si>
    <t>principal</t>
    <phoneticPr fontId="1"/>
  </si>
  <si>
    <t>rational</t>
    <phoneticPr fontId="1"/>
  </si>
  <si>
    <t>sequi（従う, 続く）
&lt;span class="spacer"&gt;&lt;/span&gt;現在分詞sequentem</t>
  </si>
  <si>
    <t>sequentia（続くこと, 連続）</t>
  </si>
  <si>
    <t>14世紀後期
教会音楽用語</t>
  </si>
  <si>
    <t>1570年代
一定の順序で続く一連のもの
連続</t>
  </si>
  <si>
    <t>therapeuein（世話をする, 治療する）
&lt;span class="spacer"&gt;&lt;/span&gt;名詞になって
therapeia（治療, 世話）</t>
  </si>
  <si>
    <t>therapia（治療, 治療法）</t>
  </si>
  <si>
    <t>15世紀初頭
terapeucia（治療法, 治療学）</t>
  </si>
  <si>
    <t>1846年
疾病の医学的治療を扱う学問</t>
  </si>
  <si>
    <t>syn（共に）＋piptein（落ちる）
sympiptein（共に落ちる, 降りかかる, 落ちる）
&lt;span class="spacer"&gt;&lt;/span&gt;名詞になって
symptōma（偶発的な出来事, 事故, 病気）</t>
  </si>
  <si>
    <t>symptoma（病気の兆候）</t>
  </si>
  <si>
    <t>sinthoma（病気の症状）</t>
  </si>
  <si>
    <t>14世紀後期
sinthoma（病気の症状, 病気の現れ）</t>
  </si>
  <si>
    <t>1540年代
スペルがsymptomになる
&lt;span class="spacer"&gt;&lt;/span&gt;1610年代
医学以外で一般的な意味で、兆候</t>
  </si>
  <si>
    <t>in（中に）＋cadere（落ちる）
incidere（中に落ちる, 降りかかる, 出来事として生じる）
&lt;span class="spacer"&gt;&lt;/span&gt;現在分詞incidentem</t>
  </si>
  <si>
    <t>13世紀
incident</t>
  </si>
  <si>
    <t>wit（知識, 知恵, 理解）＋nes（名詞化）
witnes（個人の知識に事実や出来事の証言, 証言する人）</t>
  </si>
  <si>
    <t>*uper-（上に, 越えて）
&lt;span class="spacer"&gt;&lt;/span&gt;最上級*sup-mos-（最も上の）</t>
  </si>
  <si>
    <t>summa（頂点, 要点, 金額）</t>
  </si>
  <si>
    <t>summe（合計, 要点）</t>
  </si>
  <si>
    <t>1300年頃
金額
&lt;span class="spacer"&gt;&lt;/span&gt;14世紀
要点, 総数
&lt;span class="spacer"&gt;&lt;/span&gt;15世紀初頭
数学の和, 二つ以上の数の合計</t>
  </si>
  <si>
    <t>*bher-（運ぶ）</t>
  </si>
  <si>
    <t>ゲルマン祖語</t>
  </si>
  <si>
    <t>*burthinjo-（運ばれるもの）</t>
  </si>
  <si>
    <t>byrðen（荷, 重さ, 負担）</t>
  </si>
  <si>
    <t>*ten-（張る, 引き伸ばす）</t>
  </si>
  <si>
    <t>tonos（張ること, 締め付けること, 声の高さ, 音楽の調）</t>
  </si>
  <si>
    <t>tonus（音, 音調, アクセント）</t>
  </si>
  <si>
    <t>tonus（音楽用語：音の高さ）</t>
  </si>
  <si>
    <t>13世紀
ton（音, 音調, 話し言葉）</t>
  </si>
  <si>
    <t>toen</t>
  </si>
  <si>
    <t>14世紀半ば
音楽の高低, 音, 音符
&lt;span class="spacer"&gt;&lt;/span&gt;15世紀初頭
一般的な意味で、あらゆる音</t>
  </si>
  <si>
    <t>1600年頃
話し方, 声の抑揚や調子
&lt;span class="spacer"&gt;&lt;/span&gt;1816年までに
絵画における色調</t>
  </si>
  <si>
    <t>honorem（名誉, 名声, 地位）</t>
  </si>
  <si>
    <t>onor / honor（名誉, 名声, 地位）</t>
  </si>
  <si>
    <t>honour</t>
  </si>
  <si>
    <t>onur
&lt;span class="spacer"&gt;&lt;/span&gt;1200年頃
名誉, 栄光, 名声
&lt;span class="spacer"&gt;&lt;/span&gt;1300年頃
敬意</t>
  </si>
  <si>
    <t>1540年代
高い尊敬や評価を受ける個人的資格, 光栄
&lt;span class="spacer"&gt;&lt;/span&gt;17世紀まで
honour / honorのスペルが共存
その後honourはイギリスで、honorはアメリカで定着</t>
  </si>
  <si>
    <t>es（外に）＋warder（注意して見る）
eswarder（慎重な検討の後に決定する, 意見を述べる）</t>
  </si>
  <si>
    <t>awarder</t>
  </si>
  <si>
    <t>14世紀後期
awarden（注意深い観察の後に決定する）</t>
  </si>
  <si>
    <t>pri</t>
  </si>
  <si>
    <t>古ラテン語</t>
  </si>
  <si>
    <t>pri（前に, 以前に）</t>
  </si>
  <si>
    <t>priの比較級
prior（より前の, より優れた, より重要な）</t>
  </si>
  <si>
    <t>14世紀
priorite</t>
  </si>
  <si>
    <t>prioritie
&lt;span class="spacer"&gt;&lt;/span&gt;14世紀後期
他よりも早い状態
先行する出来事
&lt;span class="spacer"&gt;&lt;/span&gt;1400年頃
権利・場所・地位における優先</t>
  </si>
  <si>
    <t>1897年
時間的順序で先行すること</t>
  </si>
  <si>
    <t>20世紀
重要性において優先すること, 優先事項</t>
  </si>
  <si>
    <t>logos（理性, 思考, 言葉, ロゴス）
&lt;span class="spacer"&gt;&lt;/span&gt;形容詞を作る-ikosが付いて
logikos（言語や理性に関する, 話すことに関わる）
&lt;span class="spacer"&gt;&lt;/span&gt;hē logikē technē（推論の技術）</t>
  </si>
  <si>
    <t>ars logica（論理学の技術）</t>
  </si>
  <si>
    <t>13世紀
logique（論理学）</t>
  </si>
  <si>
    <t>logike
&lt;span class="spacer"&gt;&lt;/span&gt;14世紀半ば
論理学</t>
  </si>
  <si>
    <t>17世紀初頭
論理的議論, 論証</t>
  </si>
  <si>
    <t>1660年代
&lt;span class="obsolete"&gt;物質の分割される最小部分（現在は廃用）&lt;/span&gt;
&lt;span class="spacer"&gt;&lt;/span&gt;1670年代
最小限度, 最小値</t>
  </si>
  <si>
    <t>ex（外に）＋capere（取る）
excipere（取り出す, 除外する, 異議を申し立てる）
&lt;span class="spacer"&gt;&lt;/span&gt;名詞を作る-ioが付いて
exceptio（例外, 異議申し立て）</t>
  </si>
  <si>
    <t>excepcion</t>
  </si>
  <si>
    <t>excepcioun（法律用語：被告による異議申し立て）</t>
  </si>
  <si>
    <t>excepcioun
&lt;span class="spacer"&gt;&lt;/span&gt;14世紀後期
規則や条件の適用範囲からの除外
&lt;span class="spacer"&gt;&lt;/span&gt;1400年頃
免除, 保留
&lt;span class="spacer"&gt;&lt;/span&gt;15世紀後期
除外されたもの, 例外</t>
  </si>
  <si>
    <t>clewe（毛糸の玉）</t>
  </si>
  <si>
    <t>1590年代
複雑なことにおいて導きや指示を与えるもの, ヒント
&lt;span class="spacer"&gt;&lt;/span&gt;1620年代
道筋を示すもの
解決の手がかり</t>
  </si>
  <si>
    <t>bend（何かを結びつけるもの, 絆）</t>
  </si>
  <si>
    <t>13世紀初頭
縛るもの, 留めるもの
&lt;span class="spacer"&gt;&lt;/span&gt;14世紀初頭
契約
&lt;span class="spacer"&gt;&lt;/span&gt;14世紀後期
団結させる力や影響力</t>
  </si>
  <si>
    <t>1590年代
法律用語で、一定額の支払い義務を課す証書, 債券</t>
  </si>
  <si>
    <t>virus（毒）</t>
  </si>
  <si>
    <t>14世紀後期
有害物質
膿</t>
  </si>
  <si>
    <t>kheir（手）＋ergon（仕事）
kheirourgos（手作業を行う者）
&lt;span class="spacer"&gt;&lt;/span&gt;kheirourgia（手作業, 手による治療）</t>
  </si>
  <si>
    <t>chirurgia（外科, 外科手術）</t>
  </si>
  <si>
    <t>surgerie</t>
  </si>
  <si>
    <t>sirgirie
&lt;span class="spacer"&gt;&lt;/span&gt;1300年頃
外科医の仕事, 手術</t>
  </si>
  <si>
    <t>se（離れて）＋cura（心配）
sēcūrus（心配のない, 安全な）</t>
  </si>
  <si>
    <t>sur（安全な, 確実な）
&lt;span class="spacer"&gt;&lt;/span&gt;en（〜にする）＋sur（確実な）
ensurer（確実にする, 保証する）
&lt;span class="spacer"&gt;&lt;/span&gt;名詞を作る-anceが付いて
enseurance（確約, 保証）</t>
    <rPh sb="109" eb="111">
      <t>メイシ</t>
    </rPh>
    <rPh sb="112" eb="113">
      <t>ツク</t>
    </rPh>
    <rPh sb="120" eb="121">
      <t>ツ</t>
    </rPh>
    <phoneticPr fontId="1"/>
  </si>
  <si>
    <t>1550年代
婚約
&lt;span class="spacer"&gt;&lt;/span&gt;1650年代
損害保険, 死亡保険</t>
  </si>
  <si>
    <t>前置詞fram（〜から, 前方へ）：fromの語源
&lt;span class="spacer"&gt;&lt;/span&gt;形容詞・副詞fram（活動的な, 前進する）
&lt;span class="spacer"&gt;&lt;/span&gt;動詞になって
framian（利益を得る）</t>
    <phoneticPr fontId="1"/>
  </si>
  <si>
    <t>1200年頃
利益, 進歩
&lt;span class="spacer"&gt;&lt;/span&gt;13世紀半ば
何かを準備する（動詞）
準備して構成された構造物（名詞）
&lt;span class="spacer"&gt;&lt;/span&gt;1400年頃
構造物を支える枠組み</t>
  </si>
  <si>
    <t>1600年頃
周囲を囲む枠
&lt;span class="spacer"&gt;&lt;/span&gt;1660年代
絵画や窓ガラスの額</t>
  </si>
  <si>
    <t>scield（盾）+truma（軍隊）
scyldtruma（盾を組み合わせて作る防御陣形）</t>
    <rPh sb="7" eb="8">
      <t>タテ</t>
    </rPh>
    <rPh sb="16" eb="18">
      <t>グンタイ</t>
    </rPh>
    <rPh sb="31" eb="32">
      <t>タテ</t>
    </rPh>
    <rPh sb="33" eb="34">
      <t>ク</t>
    </rPh>
    <rPh sb="35" eb="36">
      <t>ア</t>
    </rPh>
    <rPh sb="39" eb="40">
      <t>ツク</t>
    </rPh>
    <rPh sb="41" eb="43">
      <t>ボウギョ</t>
    </rPh>
    <rPh sb="43" eb="45">
      <t>ジンケイ</t>
    </rPh>
    <phoneticPr fontId="1"/>
  </si>
  <si>
    <t>sheltroun / sheltron / sheldtrume
盾を組み合わせた防御壁</t>
    <rPh sb="34" eb="35">
      <t>タテ</t>
    </rPh>
    <rPh sb="36" eb="37">
      <t>ク</t>
    </rPh>
    <rPh sb="38" eb="39">
      <t>ア</t>
    </rPh>
    <rPh sb="42" eb="45">
      <t>ボウギョヘキ</t>
    </rPh>
    <phoneticPr fontId="1"/>
  </si>
  <si>
    <t>1580年代
保護を与える構造物
&lt;span class="spacer"&gt;&lt;/span&gt;1590年代
守られている状態</t>
    <rPh sb="4" eb="6">
      <t>ネンダイ</t>
    </rPh>
    <rPh sb="7" eb="9">
      <t>ホゴ</t>
    </rPh>
    <rPh sb="10" eb="11">
      <t>アタ</t>
    </rPh>
    <rPh sb="13" eb="16">
      <t>コウゾウブツ</t>
    </rPh>
    <rPh sb="52" eb="53">
      <t>マモ</t>
    </rPh>
    <rPh sb="58" eb="60">
      <t>ジョウタイ</t>
    </rPh>
    <phoneticPr fontId="1"/>
  </si>
  <si>
    <t>terra（大地）＋orium（場所を表す）
territorium（都市の周辺の土地, 支配地, 領地, 地区）</t>
    <rPh sb="6" eb="8">
      <t>ダイチ</t>
    </rPh>
    <rPh sb="16" eb="18">
      <t>バショ</t>
    </rPh>
    <rPh sb="19" eb="20">
      <t>アラワ</t>
    </rPh>
    <rPh sb="35" eb="37">
      <t>トシ</t>
    </rPh>
    <rPh sb="38" eb="40">
      <t>シュウヘン</t>
    </rPh>
    <rPh sb="41" eb="43">
      <t>トチ</t>
    </rPh>
    <rPh sb="45" eb="48">
      <t>シハイチ</t>
    </rPh>
    <rPh sb="50" eb="52">
      <t>リョウチ</t>
    </rPh>
    <rPh sb="54" eb="56">
      <t>チク</t>
    </rPh>
    <phoneticPr fontId="1"/>
  </si>
  <si>
    <t>territorie
&lt;span class="spacer"&gt;&lt;/span&gt;14世紀後期
君主や国家の管轄下にある土地
王国に属する地域</t>
    <rPh sb="41" eb="45">
      <t>セイキコウキ</t>
    </rPh>
    <rPh sb="46" eb="48">
      <t>クンシュ</t>
    </rPh>
    <rPh sb="49" eb="51">
      <t>コッカ</t>
    </rPh>
    <rPh sb="52" eb="55">
      <t>カンカツカ</t>
    </rPh>
    <rPh sb="58" eb="60">
      <t>トチ</t>
    </rPh>
    <rPh sb="61" eb="63">
      <t>オウコク</t>
    </rPh>
    <rPh sb="64" eb="65">
      <t>ゾク</t>
    </rPh>
    <rPh sb="67" eb="69">
      <t>チイキ</t>
    </rPh>
    <phoneticPr fontId="1"/>
  </si>
  <si>
    <t>1600年代
広大な土地の広がり, 地区, 地域
&lt;span class="spacer"&gt;&lt;/span&gt;1630年代
職業や学問などの領域
&lt;span class="spacer"&gt;&lt;/span&gt;1774年から
動物のテリトリー, なわばり</t>
    <rPh sb="4" eb="6">
      <t>ネンダイ</t>
    </rPh>
    <rPh sb="7" eb="9">
      <t>コウダイ</t>
    </rPh>
    <rPh sb="10" eb="12">
      <t>トチ</t>
    </rPh>
    <rPh sb="13" eb="14">
      <t>ヒロ</t>
    </rPh>
    <rPh sb="18" eb="20">
      <t>チク</t>
    </rPh>
    <rPh sb="22" eb="24">
      <t>チイキ</t>
    </rPh>
    <rPh sb="57" eb="59">
      <t>ネンダイ</t>
    </rPh>
    <rPh sb="60" eb="62">
      <t>ショクギョウ</t>
    </rPh>
    <rPh sb="63" eb="65">
      <t>ガクモン</t>
    </rPh>
    <rPh sb="68" eb="70">
      <t>リョウイキ</t>
    </rPh>
    <rPh sb="103" eb="104">
      <t>ネン</t>
    </rPh>
    <rPh sb="107" eb="109">
      <t>ドウブツ</t>
    </rPh>
    <phoneticPr fontId="1"/>
  </si>
  <si>
    <t>中世ラテン語</t>
    <rPh sb="0" eb="2">
      <t>チュウセイ</t>
    </rPh>
    <rPh sb="5" eb="6">
      <t>ゴ</t>
    </rPh>
    <phoneticPr fontId="1"/>
  </si>
  <si>
    <t>12世紀
bonde（限界, 境界）</t>
    <rPh sb="2" eb="4">
      <t>セイキ</t>
    </rPh>
    <rPh sb="11" eb="13">
      <t>ゲンカイ</t>
    </rPh>
    <rPh sb="15" eb="17">
      <t>キョウカイ</t>
    </rPh>
    <phoneticPr fontId="1"/>
  </si>
  <si>
    <t>bunda</t>
  </si>
  <si>
    <t>1300年頃
境界を示す標識
&lt;span class="spacer"&gt;&lt;/span&gt;14世紀半ば
外的な限界, 制限するもの
&lt;span class="spacer"&gt;&lt;/span&gt;14世紀後期
領地や領土の限界, 境界</t>
    <rPh sb="4" eb="5">
      <t>ネン</t>
    </rPh>
    <rPh sb="5" eb="6">
      <t>コロ</t>
    </rPh>
    <rPh sb="7" eb="9">
      <t>キョウカイ</t>
    </rPh>
    <rPh sb="10" eb="11">
      <t>シメ</t>
    </rPh>
    <rPh sb="12" eb="14">
      <t>ヒョウシキ</t>
    </rPh>
    <rPh sb="45" eb="47">
      <t>セイキ</t>
    </rPh>
    <rPh sb="47" eb="48">
      <t>ナカ</t>
    </rPh>
    <rPh sb="50" eb="52">
      <t>ガイテキ</t>
    </rPh>
    <rPh sb="53" eb="55">
      <t>ゲンカイ</t>
    </rPh>
    <rPh sb="57" eb="59">
      <t>セイゲン</t>
    </rPh>
    <rPh sb="94" eb="96">
      <t>セイキ</t>
    </rPh>
    <rPh sb="96" eb="98">
      <t>コウキ</t>
    </rPh>
    <rPh sb="99" eb="101">
      <t>リョウチ</t>
    </rPh>
    <rPh sb="102" eb="104">
      <t>リョウド</t>
    </rPh>
    <rPh sb="105" eb="107">
      <t>ゲンカイ</t>
    </rPh>
    <rPh sb="109" eb="111">
      <t>キョウカイ</t>
    </rPh>
    <phoneticPr fontId="1"/>
  </si>
  <si>
    <t>1620年代
bound（境界）+ary（場所や物を示す）
何らかのものの限界を示すもの
境界線</t>
    <rPh sb="4" eb="6">
      <t>ネンダイ</t>
    </rPh>
    <rPh sb="13" eb="15">
      <t>キョウカイ</t>
    </rPh>
    <rPh sb="21" eb="23">
      <t>バショ</t>
    </rPh>
    <rPh sb="24" eb="25">
      <t>モノ</t>
    </rPh>
    <rPh sb="26" eb="27">
      <t>シメ</t>
    </rPh>
    <rPh sb="30" eb="31">
      <t>ナン</t>
    </rPh>
    <rPh sb="37" eb="39">
      <t>ゲンカイ</t>
    </rPh>
    <rPh sb="40" eb="41">
      <t>シメ</t>
    </rPh>
    <rPh sb="45" eb="48">
      <t>キョウカイセン</t>
    </rPh>
    <phoneticPr fontId="1"/>
  </si>
  <si>
    <t>近代ラテン語</t>
    <phoneticPr fontId="1"/>
  </si>
  <si>
    <t>habitāreの3人称・単数・現在・直説法
habitat（それは住んでいる）</t>
    <rPh sb="10" eb="12">
      <t>ニンショウ</t>
    </rPh>
    <rPh sb="13" eb="15">
      <t>タンスウ</t>
    </rPh>
    <rPh sb="16" eb="18">
      <t>ゲンザイ</t>
    </rPh>
    <rPh sb="19" eb="22">
      <t>チョクセツホウ</t>
    </rPh>
    <rPh sb="34" eb="35">
      <t>ス</t>
    </rPh>
    <phoneticPr fontId="1"/>
  </si>
  <si>
    <t>dis（離れて）+stringere（引き締める）
distringere（引き離す）</t>
    <rPh sb="4" eb="5">
      <t>ハナ</t>
    </rPh>
    <rPh sb="19" eb="20">
      <t>ヒ</t>
    </rPh>
    <rPh sb="21" eb="22">
      <t>シ</t>
    </rPh>
    <rPh sb="38" eb="39">
      <t>ヒ</t>
    </rPh>
    <rPh sb="40" eb="41">
      <t>ハナ</t>
    </rPh>
    <phoneticPr fontId="1"/>
  </si>
  <si>
    <t>distringere（引き離す）
&lt;span class="spacer"&gt;&lt;/span&gt;過去分詞districtus
違反者の拘束, 管轄権
封建制度における管轄区域＝領主が法的な理由で個人の財産を差し押さえることができる区域</t>
    <rPh sb="46" eb="50">
      <t>カコブンシ</t>
    </rPh>
    <rPh sb="61" eb="64">
      <t>イハンシャ</t>
    </rPh>
    <rPh sb="65" eb="67">
      <t>コウソク</t>
    </rPh>
    <rPh sb="69" eb="72">
      <t>カンカツケン</t>
    </rPh>
    <rPh sb="73" eb="77">
      <t>ホウケンセイド</t>
    </rPh>
    <rPh sb="81" eb="85">
      <t>カンカツクイキ</t>
    </rPh>
    <rPh sb="86" eb="88">
      <t>リョウシュ</t>
    </rPh>
    <rPh sb="89" eb="91">
      <t>ホウテキ</t>
    </rPh>
    <rPh sb="92" eb="94">
      <t>リユウ</t>
    </rPh>
    <rPh sb="95" eb="97">
      <t>コジン</t>
    </rPh>
    <rPh sb="98" eb="100">
      <t>ザイサン</t>
    </rPh>
    <rPh sb="101" eb="102">
      <t>サ</t>
    </rPh>
    <rPh sb="103" eb="104">
      <t>オ</t>
    </rPh>
    <rPh sb="113" eb="115">
      <t>クイキ</t>
    </rPh>
    <phoneticPr fontId="1"/>
  </si>
  <si>
    <t>16世紀
district（行政上の区域）</t>
    <rPh sb="2" eb="4">
      <t>セイキ</t>
    </rPh>
    <rPh sb="14" eb="17">
      <t>ギョウセイジョウ</t>
    </rPh>
    <rPh sb="18" eb="20">
      <t>クイキ</t>
    </rPh>
    <phoneticPr fontId="1"/>
  </si>
  <si>
    <t>1610年代
領主の管轄下にある地域
&lt;span class="spacer"&gt;&lt;/span&gt;1660年代
特定の目的のために区分された地域
&lt;span class="spacer"&gt;&lt;/span&gt;1712年までに
漠然とした意味での土地</t>
    <rPh sb="4" eb="6">
      <t>ネンダイ</t>
    </rPh>
    <rPh sb="7" eb="9">
      <t>リョウシュ</t>
    </rPh>
    <rPh sb="10" eb="13">
      <t>カンカツカ</t>
    </rPh>
    <rPh sb="16" eb="18">
      <t>チイキ</t>
    </rPh>
    <rPh sb="51" eb="53">
      <t>ネンダイ</t>
    </rPh>
    <rPh sb="54" eb="56">
      <t>トクテイ</t>
    </rPh>
    <rPh sb="57" eb="59">
      <t>モクテキ</t>
    </rPh>
    <rPh sb="63" eb="65">
      <t>クブン</t>
    </rPh>
    <rPh sb="68" eb="70">
      <t>チイキ</t>
    </rPh>
    <rPh sb="103" eb="104">
      <t>ネン</t>
    </rPh>
    <rPh sb="108" eb="110">
      <t>バクゼン</t>
    </rPh>
    <rPh sb="113" eb="115">
      <t>イミ</t>
    </rPh>
    <rPh sb="117" eb="119">
      <t>トチ</t>
    </rPh>
    <phoneticPr fontId="1"/>
  </si>
  <si>
    <t>conservacioun
&lt;span class="spacer"&gt;&lt;/span&gt;14世紀後期
健康や健全さの維持
良好な状態の維持
注意深く見守る行為
&lt;span class="spacer"&gt;&lt;/span&gt;15世紀半ば
既存の状態を保存すること</t>
    <rPh sb="44" eb="48">
      <t>セイキコウキ</t>
    </rPh>
    <rPh sb="49" eb="51">
      <t>ケンコウ</t>
    </rPh>
    <rPh sb="52" eb="54">
      <t>ケンゼン</t>
    </rPh>
    <rPh sb="56" eb="58">
      <t>イジ</t>
    </rPh>
    <rPh sb="59" eb="61">
      <t>リョウコウ</t>
    </rPh>
    <rPh sb="62" eb="64">
      <t>ジョウタイ</t>
    </rPh>
    <rPh sb="65" eb="67">
      <t>イジ</t>
    </rPh>
    <rPh sb="68" eb="71">
      <t>チュウイブカ</t>
    </rPh>
    <rPh sb="72" eb="74">
      <t>ミマモ</t>
    </rPh>
    <rPh sb="75" eb="77">
      <t>コウイ</t>
    </rPh>
    <rPh sb="110" eb="111">
      <t>ナカ</t>
    </rPh>
    <rPh sb="113" eb="115">
      <t>キゾン</t>
    </rPh>
    <rPh sb="116" eb="118">
      <t>ジョウタイ</t>
    </rPh>
    <rPh sb="119" eb="121">
      <t>ホゾン</t>
    </rPh>
    <phoneticPr fontId="1"/>
  </si>
  <si>
    <t>現代英語</t>
    <phoneticPr fontId="1"/>
  </si>
  <si>
    <t>1909年までに
動物や植物などの自然保護</t>
    <rPh sb="4" eb="5">
      <t>ネン</t>
    </rPh>
    <rPh sb="9" eb="11">
      <t>ドウブツ</t>
    </rPh>
    <rPh sb="12" eb="14">
      <t>ショクブツ</t>
    </rPh>
    <rPh sb="17" eb="19">
      <t>シゼン</t>
    </rPh>
    <rPh sb="19" eb="21">
      <t>ホゴ</t>
    </rPh>
    <phoneticPr fontId="1"/>
  </si>
  <si>
    <t>hærfest（秋）</t>
  </si>
  <si>
    <t>もともとは秋を意味していた
&lt;span class="spacer"&gt;&lt;/span&gt;13世紀半ばまでに
作物を集める時期, 収穫期
&lt;span class="spacer"&gt;&lt;/span&gt;1300年頃以降
収穫, 収穫物</t>
  </si>
  <si>
    <t>1500年頃以降
fallや借用語autumnが秋という意味で使われる</t>
  </si>
  <si>
    <t>1862年
他の動物を捕食する動物, 捕食動物</t>
  </si>
  <si>
    <t>træppe（罠）</t>
  </si>
  <si>
    <t>trappe（罠）</t>
  </si>
  <si>
    <t>trikier（だます, 欺く）
&lt;span class="spacer"&gt;&lt;/span&gt;名詞になって
trique（裏切り, いかさま）</t>
  </si>
  <si>
    <t>15世紀初頭
詐欺, 卑劣な策略, 巧妙な仕掛け</t>
  </si>
  <si>
    <t>1570年代
巧妙な工夫
&lt;span class="spacer"&gt;&lt;/span&gt;1580年代
いたずら
&lt;span class="spacer"&gt;&lt;/span&gt;1600年頃
人を驚かせたり楽しませたりする技
&lt;span class="spacer"&gt;&lt;/span&gt;1610年代
何かを行う技術</t>
  </si>
  <si>
    <t>fault</t>
  </si>
  <si>
    <t>fallere（欺く, 失望させる：failの語源）
&lt;span class="spacer"&gt;&lt;/span&gt;過去分詞falsus（偽の, 見せかけの）</t>
  </si>
  <si>
    <t>*fallita（欠陥, 失敗, 不足）</t>
  </si>
  <si>
    <t>falte（欠陥, 失敗, 不足）</t>
  </si>
  <si>
    <t>faute
&lt;span class="spacer"&gt;&lt;/span&gt;13世紀後期
不足, 欠乏
&lt;span class="spacer"&gt;&lt;/span&gt;14世紀初頭
物理的な欠陥
&lt;span class="spacer"&gt;&lt;/span&gt;14世紀後期
罪よりは軽いが、誤りよりは重大なもの</t>
  </si>
  <si>
    <t>16世紀
ラテン語風のスペルになって-l-が復活</t>
  </si>
  <si>
    <t>computare（数える, 計算する）</t>
  </si>
  <si>
    <t>dis（分離, 否定）＋computare（数える, 計算する）
discomputare（計算から外す）
&lt;span class="spacer"&gt;&lt;/span&gt;名詞になって
discomputus</t>
  </si>
  <si>
    <t>16世紀
descompte</t>
  </si>
  <si>
    <t>1620年代
&lt;span class="obsolete"&gt;軽減（現在は廃用）&lt;/span&gt;
&lt;span class="spacer"&gt;&lt;/span&gt;1680年代
即時支払いに対する控除
&lt;span class="spacer"&gt;&lt;/span&gt;1837年までに
商品価格の値引き</t>
  </si>
  <si>
    <t>biais（傾斜, 斜め）</t>
  </si>
  <si>
    <t>com（共に）+operari（働く）</t>
  </si>
  <si>
    <t>cooperari（共に働く, 協力する）
&lt;span class="spacer"&gt;&lt;/span&gt;名詞を作る-ioが付いて
cooperatio（共に働くこと）</t>
  </si>
  <si>
    <t>coopération</t>
  </si>
  <si>
    <t>1620年代
一つの目的に向かって共に働く行為</t>
  </si>
  <si>
    <t>patere（開いている）
&lt;span class="spacer"&gt;&lt;/span&gt;現在分詞patentem（開いた状態の）</t>
  </si>
  <si>
    <t>patente（開いた, 公開された）</t>
  </si>
  <si>
    <t>lettre patent（公開された手紙, 公開状）</t>
  </si>
  <si>
    <t>14世紀後期
何らかの権威者が何かを行う許可を与える公開状
権利や称号を与える免許状</t>
  </si>
  <si>
    <t>1580年代
新しく有用な発明に対して政府から与えられる免許であり、特定期間その発明を独占的に利用する権利を授与するもの
特許</t>
  </si>
  <si>
    <t>dia（間に, 横切って）＋logos（言葉, 思考, 理性）
dialogos（会話, 対話）</t>
  </si>
  <si>
    <t>dialogus（対話, 会話）</t>
  </si>
  <si>
    <t>dialoge</t>
  </si>
  <si>
    <t>1200年頃
2人以上の人物による会話から成る文学作品
&lt;span class="spacer"&gt;&lt;/span&gt;1400年頃
2人以上の人物による会話</t>
  </si>
  <si>
    <t>ponent</t>
  </si>
  <si>
    <t>com（共に）+ponere（置く）
componere（いくつかの部分から全体を作る, 組み立てる）
&lt;span class="spacer"&gt;&lt;/span&gt;現在分詞componens（構成しているもの）</t>
  </si>
  <si>
    <t>1640年代
構成部分, 構成要素
&lt;span class="spacer"&gt;&lt;/span&gt;1896年から
自動車や自転車などの機械部品</t>
  </si>
  <si>
    <t>re（再び, 繰り返し）+putare（判断する）
&lt;span class="spacer"&gt;&lt;/span&gt;名詞を作る-ioが付いて
reputatio（考慮, 熟考）</t>
  </si>
  <si>
    <t>reputation</t>
  </si>
  <si>
    <t>14世紀中頃
信用, 良い評判, 尊敬</t>
  </si>
  <si>
    <t>verbum（言葉）</t>
  </si>
  <si>
    <t>形容詞を作る-alisが付いて
verbalis（語に関する, 動詞に関する）</t>
  </si>
  <si>
    <t>15世紀初頭
言葉のみに関わる（現実や事実との対比で）</t>
  </si>
  <si>
    <t>1520年代
言葉の, 言葉から成る
動詞の
&lt;span class="spacer"&gt;&lt;/span&gt;1590年代
話し言葉で表現された, 口頭の</t>
  </si>
  <si>
    <t>nal</t>
  </si>
  <si>
    <t>*en（中に）＋*ter-（比較級の接尾辞）</t>
  </si>
  <si>
    <t>inter＋nus（形容詞化）
internus（内部の）</t>
  </si>
  <si>
    <t>形容詞を作る-alisが付いて
internalis（内部の）</t>
  </si>
  <si>
    <t>15世紀初頭
内部に向かって広がる</t>
  </si>
  <si>
    <t>1590年代
内部に位置する
&lt;span class="spacer"&gt;&lt;/span&gt;1795年
国内の</t>
  </si>
  <si>
    <t>solidus（堅い, 完全な, 全体の）</t>
  </si>
  <si>
    <t>solide（堅い, 詰まった）</t>
  </si>
  <si>
    <t>14世紀後期
空洞ではない, 硬化した
図形や物体が立体の</t>
  </si>
  <si>
    <t>1530年代
硬い, 堅い, 密な
&lt;span class="spacer"&gt;&lt;/span&gt;1600年頃
しっかりした, 確立された</t>
  </si>
  <si>
    <t>solid state（固体状態）</t>
  </si>
  <si>
    <t>mote</t>
  </si>
  <si>
    <t>re（後ろへ）＋movere（動かす）
removere（後ろへ動かす, 遠ざける）
&lt;span class="spacer"&gt;&lt;/span&gt;過去分詞remotus（遠く離れた）</t>
  </si>
  <si>
    <t>15世紀半ば
場所が遠い, 離れた, 引き離された</t>
  </si>
  <si>
    <t xml:space="preserve">1590年代
遠い
&lt;span class="spacer"&gt;&lt;/span&gt;1711年までに
類似点や可能性において、かけ離れた
</t>
  </si>
  <si>
    <t>cip</t>
  </si>
  <si>
    <t>primus（第一の）＋capere（取る）
princeps（最初に取る, 第一の男, 指導者, 君主）
&lt;span class="spacer"&gt;&lt;/span&gt;形容詞を作る-alisが付いて
principalis（第一に重要な, 主要な）</t>
  </si>
  <si>
    <t>principal（主要な）</t>
  </si>
  <si>
    <t>1300年頃
主要な, 第一の. 最重要な</t>
  </si>
  <si>
    <t>sophisticus（ソフィストの, 詭弁家の）</t>
  </si>
  <si>
    <t>sophisticusが動詞になって
sophisticare（騙す, 不純物をまぜる）
&lt;span class="spacer"&gt;&lt;/span&gt;過去分詞sophisticatus</t>
  </si>
  <si>
    <t>sophisticaten
&lt;span class="spacer"&gt;&lt;/span&gt;1400年頃
不純物を混ぜる, 質の劣った物を加える
&lt;span class="spacer"&gt;&lt;/span&gt;形容詞sophisticate
混ぜ物をした, 不純な, 偽の</t>
  </si>
  <si>
    <t>1590年代
不純物が入ったというネガティブな意味から、「単純ではない」という意味に変化
&lt;span class="spacer"&gt;&lt;/span&gt;1600年頃
動詞sophisticateの過去分詞sophisticatedが形容詞として使われ始める
&lt;span class="spacer"&gt;&lt;/span&gt;1895年までに
分別のある, 教養のある, 洗練されたというポジティブな意味に変化</t>
  </si>
  <si>
    <t>equivalent</t>
  </si>
  <si>
    <t>equi</t>
  </si>
  <si>
    <t>val</t>
  </si>
  <si>
    <t>aequus（等しい）＋valere（価値がある）
aequivalere（同等である）
&lt;span class="spacer"&gt;&lt;/span&gt;現在分詞aequivalentem（同等の, 等価の）</t>
  </si>
  <si>
    <t>15世紀初頭
価値・力・効果において等しい</t>
  </si>
  <si>
    <t>racionel</t>
  </si>
  <si>
    <t>14世紀後期
理性に関する, 理性から生じる
&lt;span class="spacer"&gt;&lt;/span&gt;15世紀半ば
人について、理性を備えた</t>
  </si>
  <si>
    <t>re（強意）＋levare（持ち上げる, 軽くする）
relevare（軽減する, 和らげる, 助ける）</t>
  </si>
  <si>
    <t>relevantem</t>
  </si>
  <si>
    <t>relevant（助けになる, 〜に依存している）</t>
  </si>
  <si>
    <t>1550年代
目的に適った, 当面の問題に関連がある</t>
  </si>
  <si>
    <t>absolute</t>
  </si>
  <si>
    <t>solute</t>
  </si>
  <si>
    <t>ab（離れて）＋solvere（緩める, ほどく, 解放する）
absolvere（解き放つ, 分離させる）
&lt;span class="spacer"&gt;&lt;/span&gt;過去分詞absolutus</t>
  </si>
  <si>
    <t>14世紀後期
制限のない, 限定から解放された, 完全な
&lt;span class="spacer"&gt;&lt;/span&gt;15世紀半ば
他のものに相対しない, 絶対の</t>
  </si>
  <si>
    <t>15世紀半ば
広大な, 豊富な</t>
  </si>
  <si>
    <t>1530年代
よくある
&lt;span class="spacer"&gt;&lt;/span&gt;1600年頃
頻繁に繰り返される</t>
  </si>
  <si>
    <t>per（通して, 完全に）＋manere（留まる）
permanere（最後まで留まる, 継続する）
&lt;span class="spacer"&gt;&lt;/span&gt;現在分詞permanentem</t>
  </si>
  <si>
    <t>14世紀
permanent</t>
  </si>
  <si>
    <t>15世紀初頭
継続する, 変わることのない, 不変の</t>
  </si>
  <si>
    <t>1909年までに
パーマネント・ウェーブ（髪型のパーマ）</t>
  </si>
  <si>
    <t>13世紀
intense</t>
  </si>
  <si>
    <t>15世紀初頭
性質や状況が極端な, 激しい</t>
  </si>
  <si>
    <t>mēnen（意図する）</t>
    <rPh sb="6" eb="8">
      <t>イト</t>
    </rPh>
    <phoneticPr fontId="1"/>
  </si>
  <si>
    <t>mēnen（意図する）
&lt;span class="spacer"&gt;&lt;/span&gt;13世紀
meninge（意味）</t>
    <rPh sb="6" eb="8">
      <t>イト</t>
    </rPh>
    <rPh sb="42" eb="44">
      <t>セイキ</t>
    </rPh>
    <rPh sb="53" eb="55">
      <t>イミ</t>
    </rPh>
    <phoneticPr fontId="1"/>
  </si>
  <si>
    <t>1827年
meaning（意味）+ful（満ちた）</t>
    <rPh sb="4" eb="5">
      <t>ネン</t>
    </rPh>
    <rPh sb="14" eb="16">
      <t>イミ</t>
    </rPh>
    <rPh sb="22" eb="23">
      <t>ミ</t>
    </rPh>
    <phoneticPr fontId="1"/>
  </si>
  <si>
    <t>evilはbadと関連させて覚える。</t>
  </si>
  <si>
    <t>yfel（悪い, 不道徳な, 邪悪な, 不快な）
&lt;span class="spacer"&gt;&lt;/span&gt;この時期は、悪い・残酷な・下手な・害・犯罪・不幸・病気など、さまざまな悪に対して使われた</t>
  </si>
  <si>
    <t>evil（道徳的な悪）
&lt;span class="spacer"&gt;&lt;/span&gt;中英語期では、badが広い意味で使われるようになり、evilは道徳的な悪へと使用が限定されていった</t>
  </si>
  <si>
    <t>extinct</t>
  </si>
  <si>
    <t>15世紀初頭
消された, 消し止められた</t>
  </si>
  <si>
    <t>1580年代
家系や世襲の称号が絶えた, 断絶した
&lt;span class="spacer"&gt;&lt;/span&gt;1690年代
動植物の種が絶滅した</t>
  </si>
  <si>
    <t>*rant（走ること）</t>
  </si>
  <si>
    <t>randir（速く走る）
&lt;span class="spacer"&gt;&lt;/span&gt;randon（突進, 力, 激しさ）</t>
  </si>
  <si>
    <t>randon（速さ, 猛烈さ）</t>
  </si>
  <si>
    <t>1560年代
at random（猛スピードで, 不注意に, 行き当たりばったりで）
&lt;span class="spacer"&gt;&lt;/span&gt;1650年代
明確な狙いや目的を持たない
でたらめな</t>
  </si>
  <si>
    <t>*kreue-（生肉）</t>
  </si>
  <si>
    <t>hreaw / hreow（調理されていない）</t>
  </si>
  <si>
    <t>raue
&lt;span class="spacer"&gt;&lt;/span&gt;紡がれていない絹
なめされていない皮
&lt;span class="spacer"&gt;&lt;/span&gt;14世紀後期
すりむけた皮膚</t>
  </si>
  <si>
    <t>1500年頃
人に関して、経験不足で未熟な, 若さゆえに無知な
&lt;span class="spacer"&gt;&lt;/span&gt;1740年代
raw material（加工されていない材料）</t>
  </si>
  <si>
    <t>1904年
データや測定値などについて、処理や調整がされていない（生のデータ）</t>
  </si>
  <si>
    <t>rudis（粗い, 未加工の）</t>
  </si>
  <si>
    <t>13世紀
ruide</t>
  </si>
  <si>
    <t>13世紀後期
表面が粗い, ざらざらした, 仕上げされていない
&lt;span class="spacer"&gt;&lt;/span&gt;14世紀半ば
無作法な, 教養のない, 教育を受けていない
行動が乱暴な
&lt;span class="spacer"&gt;&lt;/span&gt;14世紀後期
身分や地位が低い
失礼な, 無礼な</t>
  </si>
  <si>
    <t>merus（純粋な, 本物の）</t>
  </si>
  <si>
    <t>mier（純粋な, 完全な）</t>
  </si>
  <si>
    <t>14世紀後期
声について、澄んだ, 純粋な
&lt;span class="spacer"&gt;&lt;/span&gt;15世紀半ば
絶対的な, 完全な, まったくの
〜にすぎない, 単なる</t>
  </si>
  <si>
    <t>tropicus（回転に関する）</t>
  </si>
  <si>
    <t>tropicus（夏至や冬至の至日に関する）</t>
  </si>
  <si>
    <t>1520年代
北回帰線と南回帰線
&lt;span class="spacer"&gt;&lt;/span&gt;1520年代
tropic＋al（形容詞化）
熱帯の, 熱帯に関する</t>
  </si>
  <si>
    <t>forð（前へ, 先へ）
&lt;span class="spacer"&gt;&lt;/span&gt;and so forth（〜など）は古英語から存在する</t>
  </si>
  <si>
    <t>tropik
&lt;span class="spacer"&gt;&lt;/span&gt;14世紀後期
天文学において, 黄道の最北端と最南端の点を示す天球上の2つの円（北回帰線と南回帰線）</t>
    <rPh sb="75" eb="79">
      <t>キタカイキセン</t>
    </rPh>
    <rPh sb="80" eb="81">
      <t>ミナミ</t>
    </rPh>
    <rPh sb="81" eb="84">
      <t>カイキセン</t>
    </rPh>
    <phoneticPr fontId="1"/>
  </si>
  <si>
    <t>po</t>
  </si>
  <si>
    <t>ssess</t>
  </si>
  <si>
    <t>potis（力をもつ, 可能な）＋sedere（座る）
possidere（持ち続ける, 支配下に置く）
&lt;span class="spacer"&gt;&lt;/span&gt;過去分詞possessus</t>
  </si>
  <si>
    <t>13世紀
possesser（持ち続ける, 所有する）</t>
  </si>
  <si>
    <t xml:space="preserve">14世紀後期
保持する, 占有する
</t>
  </si>
  <si>
    <t>1500年頃
財産として所有する
&lt;span class="spacer"&gt;&lt;/span&gt;1520年代
奪い取る
&lt;span class="spacer"&gt;&lt;/span&gt;1530年代
悪霊が完全に支配する
&lt;span class="spacer"&gt;&lt;/span&gt;1590年代
心を奪う, 魅了する</t>
  </si>
  <si>
    <t>1610年代
支配する</t>
  </si>
  <si>
    <t>*wer-（覆う）</t>
  </si>
  <si>
    <t>15世紀初頭
財産の所有権が正しいことを示す保証</t>
  </si>
  <si>
    <t>1670年代
保証人
&lt;span class="spacer"&gt;&lt;/span&gt;1791年、動詞になって
保証人となる, 保証する</t>
  </si>
  <si>
    <t>*mel-（柔らかい）</t>
  </si>
  <si>
    <t>meltan（熱によって溶ける）</t>
  </si>
  <si>
    <t>melten
&lt;span class="spacer"&gt;&lt;/span&gt;14世紀初頭
溶けるという意味から比喩的に、心を和らげる, なごむ</t>
  </si>
  <si>
    <t>1690年代
口の中で溶ける</t>
  </si>
  <si>
    <t>en（中へ）</t>
  </si>
  <si>
    <t>*barra（棒：barの語源）</t>
  </si>
  <si>
    <t>imbarrare（棒でふさぐ, かんぬきをかける, 妨げる）
&lt;span class="spacer"&gt;&lt;/span&gt;imbarrazzo</t>
  </si>
  <si>
    <t>16世紀
embarrasser（塞ぐ）</t>
  </si>
  <si>
    <t>1670年代
当惑させる
&lt;span class="spacer"&gt;&lt;/span&gt;1680年代
邪魔をする, 妨げる
&lt;span class="spacer"&gt;&lt;/span&gt;1809年までに
恥ずかしがらせる, きまずい思いをさせる</t>
  </si>
  <si>
    <t>俗ラテン語の-āticum部分が名詞を作る-ageに変化
corage（心, 勇気）
&lt;span class="spacer"&gt;&lt;/span&gt;des（離れて）+corage（勇気）
descoragier（落胆させる）</t>
  </si>
  <si>
    <t>15世紀半ば
勇気を奪う, 勇気を失わせる</t>
  </si>
  <si>
    <t>1640年代
説得して思いとどまらせる</t>
  </si>
  <si>
    <t>de（離す）＋tegere（覆う, 保護する）
detegere（覆いを取る, 明らかにする, 発見する）
&lt;span class="spacer"&gt;&lt;/span&gt;過去分詞detectus</t>
  </si>
  <si>
    <t>15世紀初頭
&lt;span class="obsolete"&gt;覆いを取る, 明らかにする（現在は廃用）&lt;/span&gt;</t>
  </si>
  <si>
    <t>1580年代
秘密の行動や正体を見破る
&lt;span class="spacer"&gt;&lt;/span&gt;1756年
発見する, 見つける</t>
  </si>
  <si>
    <t>de（離れて）＋vovere（誓う）
devovere（誓約によって捧げる, 身を捧げる）
&lt;span class="spacer"&gt;&lt;/span&gt;過去分詞devotus</t>
  </si>
  <si>
    <t>1580年代
誓いによって捧げる
&lt;span class="spacer"&gt;&lt;/span&gt;1640年代
運命づける, 害悪や災いに委ねる
&lt;span class="spacer"&gt;&lt;/span&gt;</t>
  </si>
  <si>
    <t>urgere（強く押す, 駆り立てる）</t>
  </si>
  <si>
    <t>1550年代
押す, 駆り立てる, 前へ押し出す</t>
  </si>
  <si>
    <t>loan（貸付, ローン）と関連させて覚える。</t>
  </si>
  <si>
    <t>lænan（一時的に与える, 貸す）</t>
  </si>
  <si>
    <t>14世紀後期
一時的な所有権を与える
&lt;span class="spacer"&gt;&lt;/span&gt;&lt;span class="obsolete"&gt;send−sentなどの現在形（-d）と過去形（-t）ペアに引っ張られて、過去形だったlendeが現在形として使われるようになり、lend−lentになった&lt;/span&gt;</t>
  </si>
  <si>
    <t>re（後ろへ）＋stringere（引っ張る）
restringere（抑制する, 制限する）
&lt;span class="spacer"&gt;&lt;/span&gt;過去分詞restrictus</t>
  </si>
  <si>
    <t>1530年代
制限する</t>
  </si>
  <si>
    <t>insula（島）
&lt;span class="spacer"&gt;&lt;/span&gt;形容詞を作る-atusが付いて
insulatus（島にされた, 島のように孤立させた）</t>
  </si>
  <si>
    <t>isolato</t>
  </si>
  <si>
    <t>17世紀
isolé（孤立した）</t>
  </si>
  <si>
    <t>1740年
他のものから切り離されている（形容詞）
&lt;span class="spacer"&gt;&lt;/span&gt;1786年
分けておく, 孤立させる（動詞）</t>
  </si>
  <si>
    <t>pany</t>
  </si>
  <si>
    <t>com（共に）＋panis（パン）</t>
  </si>
  <si>
    <t>companio（パンを分かち合う仲間）</t>
  </si>
  <si>
    <t>compagnon（仲間）
&lt;span class="spacer"&gt;&lt;/span&gt;à（〜へ）＋compaignier
acompaignier（仲間として連れて行く）</t>
  </si>
  <si>
    <t>15世紀初頭
〜と行動を共にする, 同行する</t>
  </si>
  <si>
    <t>ex（外へ）＋haurire（すくい取る, 汲み上げる）
exhaurire（汲み出す, 空にする, 使い果たす）
&lt;span class="spacer"&gt;&lt;/span&gt;過去分詞exhaustus</t>
  </si>
  <si>
    <t>1530年代
液体などを汲み出す
完全に使い果たす
&lt;span class="spacer"&gt;&lt;/span&gt;1630年代
疲労などで衰弱させる</t>
  </si>
  <si>
    <t>inodiare（嫌悪感を抱かせる）</t>
  </si>
  <si>
    <t>enoiier（怒らせる）
anuier（退屈な存在になる）</t>
  </si>
  <si>
    <t>anuier</t>
  </si>
  <si>
    <t>13世紀後期
anuier（煩わせる, 悩ませる, 不安にさせる）</t>
  </si>
  <si>
    <t>danger</t>
  </si>
  <si>
    <t>domus（家）
&lt;span class="spacer"&gt;&lt;/span&gt;ここに-nus（〜に関わる者）が付いて
dominus（家の主人, 領主）</t>
  </si>
  <si>
    <t>*dominarium（主人や領主の権力）</t>
  </si>
  <si>
    <t>15世紀後期
en（〜させる）＋danger（危険）</t>
  </si>
  <si>
    <t>know</t>
  </si>
  <si>
    <t>ledge</t>
  </si>
  <si>
    <t>on（〜に）＋cnawan（認識する）
oncnawan（認識に至る）</t>
  </si>
  <si>
    <t>16世紀までに
中英語のaknow, knowlechenは廃用になる
acknowledgeのみが使われる</t>
  </si>
  <si>
    <t>mirus（素晴らしい）
&lt;span class="spacer"&gt;&lt;/span&gt;動詞になって
mirari（驚く）
&lt;span class="spacer"&gt;&lt;/span&gt;ad（〜へ）＋mirari（驚く）
admirari（驚きをもって見る, 驚嘆する）</t>
  </si>
  <si>
    <t>admirer（〜を眺める, 熟考する）</t>
  </si>
  <si>
    <t>15世紀初頭
驚きをもって見る, 驚嘆する</t>
  </si>
  <si>
    <t>valuate</t>
  </si>
  <si>
    <t>valere（価値がある, 〜に値する）</t>
  </si>
  <si>
    <t>é-（外へ）＋valuer（価値を置く）
évaluer（〜の価値を見出す）
&lt;span class="spacer"&gt;&lt;/span&gt;名詞になって
évaluation</t>
  </si>
  <si>
    <t>1755年
価値を定める行為
&lt;span class="spacer"&gt;&lt;/span&gt;1831年
evaluate（評価する, 査定する）</t>
  </si>
  <si>
    <t>clarus（明るい：clearの語源）
&lt;span class="spacer"&gt;&lt;/span&gt;動詞になって
clarare（明らかにする）
&lt;span class="spacer"&gt;&lt;/span&gt;de（強意）＋clarare（明らかにする）
declarare（明らかにする, 公表する）</t>
  </si>
  <si>
    <t>declarer（説明する, 解明する）</t>
  </si>
  <si>
    <t>declaren
&lt;span class="spacer"&gt;&lt;/span&gt;14世紀半ば
説明する, 明確にする
&lt;span class="spacer"&gt;&lt;/span&gt;14世紀後期
明確に述べる, 公表する
&lt;span class="spacer"&gt;&lt;/span&gt;15世紀半ば
主張する, 断言する</t>
  </si>
  <si>
    <t>se（離れて）＋cura（心配, 世話）
&lt;span class="spacer"&gt;&lt;/span&gt;securus（心配のない, 安心した, 安全な）</t>
  </si>
  <si>
    <t>1530年代
心配や恐怖がない
&lt;span class="spacer"&gt;&lt;/span&gt;1600年頃
危険がない（形容詞）
&lt;span class="spacer"&gt;&lt;/span&gt;動詞になって
安全にする, 危険から守る
&lt;span class="spacer"&gt;&lt;/span&gt;1640年代
人をとらえて拘束する
&lt;span class="spacer"&gt;&lt;/span&gt;1650年代
物について、しっかり固定する
&lt;span class="spacer"&gt;&lt;/span&gt;1743年から
手に入れる, 確保する</t>
  </si>
  <si>
    <t>special</t>
  </si>
  <si>
    <t>species（種）
&lt;span class="spacer"&gt;&lt;/span&gt;形容詞を作る-alisが付いて
specialis（特定の, 特別な）</t>
  </si>
  <si>
    <t>special（特別な, 独特な）</t>
  </si>
  <si>
    <t>1200年頃
普通ではない状況で与えられた
&lt;span class="spacer"&gt;&lt;/span&gt;1300年頃
ある際立った特質によって他と区別される
特別に選ばれた
&lt;span class="spacer"&gt;&lt;/span&gt;14世紀半ば
並外れた, 卓越した
&lt;span class="spacer"&gt;&lt;/span&gt;14世紀後期
特定の, 特徴的な</t>
  </si>
  <si>
    <t>1610年代
special＋ize（動詞化）
特定する
&lt;span class="spacer"&gt;&lt;/span&gt;1881年までに
特定の研究や事業に従事する</t>
  </si>
  <si>
    <t>14世紀後期
割り当てる</t>
  </si>
  <si>
    <t>prae（前に）＋tendere（伸ばす）
&lt;span class="spacer"&gt;&lt;/span&gt;praetendere（前へ伸ばす, 提示する）</t>
  </si>
  <si>
    <t>pretendre（主張する）</t>
  </si>
  <si>
    <t>pretenden
&lt;span class="spacer"&gt;&lt;/span&gt;14世紀後期
主張として提示する
&lt;span class="spacer"&gt;&lt;/span&gt;1400年頃から
偽りの主張をする, ふりをする</t>
  </si>
  <si>
    <t>1865年から
ごっこ遊びをする</t>
  </si>
  <si>
    <t>verse</t>
  </si>
  <si>
    <t>re（再び, 後ろへ）＋vertere（回す, 向ける）
&lt;span class="spacer"&gt;&lt;/span&gt;revertere（後ろへ向ける, 向きを変える, 戻る）</t>
  </si>
  <si>
    <t>reversare（向きを変える, 引き返す）</t>
  </si>
  <si>
    <t>reverser（逆転させる, ひっくり返す）</t>
  </si>
  <si>
    <t>reversen
&lt;span class="spacer"&gt;&lt;/span&gt;14世紀初頭
&lt;span class="obsolete"&gt;変える, 改める（現在は廃用）&lt;/span&gt;
&lt;span class="spacer"&gt;&lt;/span&gt;14世紀後期
反対方向に向ける, 逆さまにする, 裏返しにする
&lt;span class="spacer"&gt;&lt;/span&gt;1400年頃
物を上下逆さまにする
&lt;span class="spacer"&gt;&lt;/span&gt;15世紀初頭
後退する</t>
  </si>
  <si>
    <t>sist</t>
  </si>
  <si>
    <t>re（対して, 後ろへ）＋sistere（立たせる）
&lt;span class="spacer"&gt;&lt;/span&gt;resistere（〜に対して立ち上がる, 反対する, 耐える）</t>
  </si>
  <si>
    <t>14世紀
resister（持ちこたえる, 対抗する）</t>
  </si>
  <si>
    <t>resisten
&lt;span class="spacer"&gt;&lt;/span&gt;14世紀後期
抵抗する, 対抗する</t>
  </si>
  <si>
    <t>skirra（怖がらせる, 恐れて避ける）</t>
  </si>
  <si>
    <t>12世紀後期
skerren（人を怖がらせる）</t>
  </si>
  <si>
    <t>1590年代
怖がらせる, 脅す</t>
  </si>
  <si>
    <t>*aim-（コピーする）</t>
  </si>
  <si>
    <t>imitari（まねをする, 描写する）
&lt;span class="spacer"&gt;&lt;/span&gt;過去分詞imitatus</t>
  </si>
  <si>
    <t>1530年代
例にならう, 行動ややり方をまねる</t>
  </si>
  <si>
    <t>ad（〜へ）＋sistere（立たせる）
&lt;span class="spacer"&gt;&lt;/span&gt;assistere（〜へ立たせる, そばに立つ）</t>
  </si>
  <si>
    <t>14世紀
assister（そばに立つ, 助ける, 援助する）</t>
  </si>
  <si>
    <t>assisten
&lt;span class="spacer"&gt;&lt;/span&gt;15世紀初頭
助ける, 援助する</t>
  </si>
  <si>
    <t>tropic</t>
  </si>
  <si>
    <t>semble</t>
  </si>
  <si>
    <t>*sem-（一つ, 共に）</t>
  </si>
  <si>
    <t>semol（一緒に）
&lt;span class="spacer"&gt;&lt;/span&gt;similis（同じ種類の, 似ている）
&lt;span class="spacer"&gt;&lt;/span&gt;simulare（似せる, 模倣する）</t>
  </si>
  <si>
    <t>14世紀半ば
〜に似ている</t>
  </si>
  <si>
    <t xml:space="preserve">tirer（引く, 引き寄せる）
</t>
  </si>
  <si>
    <t>re（後ろへ）＋tirer（引く）
retirer（引き戻す, 退かせる）</t>
  </si>
  <si>
    <t>1530年代
軍隊について、退却する, 後退する
人について、退く
&lt;span class="spacer"&gt;&lt;/span&gt;1660年代
仕事や職業を引退する</t>
  </si>
  <si>
    <t>neg</t>
  </si>
  <si>
    <t>nec（ない）＋legere（拾い上げる, 選ぶ）
neglegere（拾い上げない, 軽んじる, 無視する, 気にかけない）
&lt;span class="spacer"&gt;&lt;/span&gt;過去分詞neglectus</t>
  </si>
  <si>
    <t>1520年代
すべきことを怠る
&lt;span class="spacer"&gt;&lt;/span&gt;1530年代
不用意に扱う, 注意や配慮をせず扱う</t>
  </si>
  <si>
    <t>com（共に）＋labi（滑る, 落ちる）
collabi（共に滑る, 共に落ちる）
&lt;span class="spacer"&gt;&lt;/span&gt;過去分詞collapsus</t>
  </si>
  <si>
    <t>1732年
支えを失ってバラバラに崩れ落ちる, 崩壊する</t>
  </si>
  <si>
    <t>re（再び）＋formare（形作る）
reformare（再び形作る, 改める）</t>
  </si>
  <si>
    <t>12世紀
reformer（再建する, 再構成する）</t>
  </si>
  <si>
    <t>reformen
&lt;span class="spacer"&gt;&lt;/span&gt;14世紀後期
別のより良い形に変える
人を改心させる
&lt;span class="spacer"&gt;&lt;/span&gt;15世紀初頭
政府や制度などを改革する</t>
  </si>
  <si>
    <t>*tris（三）
*tri-st-i-（第三者, 利害のない証人）</t>
  </si>
  <si>
    <t>protester</t>
  </si>
  <si>
    <t>protesten
&lt;span class="spacer"&gt;&lt;/span&gt;15世紀半ば
正式に宣言する, 証言する</t>
  </si>
  <si>
    <t>own（所有する）やought to（〜すべき）と関連させて覚える。</t>
  </si>
  <si>
    <t>agan（所有する）
&lt;span class="spacer"&gt;&lt;/span&gt;古英語後期のフレーズ
（ラテン語debereの翻訳）
agan to geldanne（支払うべきものを所有している）
&lt;span class="spacer"&gt;&lt;/span&gt;このフレーズがaganという1語になり、aganは所有する（＝own）・借りがある（＝owe）という2つの意味を持つようになる。
&lt;span class="spacer"&gt;&lt;/span&gt;［oweとourhtの関係］
aganの過去形ahteがoughtの語源。
借りがあって返すべきという義務からought to do（〜すべきである）となる。
&lt;span class="spacer"&gt;&lt;/span&gt;［oughtとshouldの関係］
支払うべきものがあるという義務は、aganが使われる前は、shall, shouldの語源である古英語sceal（負っている, 義務がある）が使われていた。
そのためought toとshouldの2つは意味がかぶっている。</t>
  </si>
  <si>
    <t>sus</t>
  </si>
  <si>
    <t>13世紀
sustenir（支える, 耐える）</t>
  </si>
  <si>
    <t>sustenen
&lt;span class="spacer"&gt;&lt;/span&gt;13世紀後期
生活に必要なものを供給する
&lt;span class="spacer"&gt;&lt;/span&gt;14世紀初頭
努力を支持する
物が落ちないように支え持つ
争いを持続させる
動作などを維持する
&lt;span class="spacer"&gt;&lt;/span&gt;1400年頃から
苦痛や困難を耐える, 持ちこたえる</t>
  </si>
  <si>
    <t>sign</t>
  </si>
  <si>
    <t>signum（印）
&lt;span class="spacer"&gt;&lt;/span&gt;動詞になって
signare（印をつける）
&lt;span class="spacer"&gt;&lt;/span&gt;ad（〜へ）＋signare（印をつける）
assignare（印をつけて割り当てる, 印によって分配する, 割り当てる）</t>
  </si>
  <si>
    <t>13世紀
assigner（割り当てる）</t>
  </si>
  <si>
    <t>1300年頃
財産を譲渡する
誰かに任務を命じる
日時などを定める</t>
  </si>
  <si>
    <t>plish</t>
  </si>
  <si>
    <t>ad（〜へ）＋com（強意）＋plere（満たす）</t>
  </si>
  <si>
    <t>*accomplēre（完全に満たす, やり遂げる）</t>
  </si>
  <si>
    <t>12世紀
acomplir（満たす, 完成させる）</t>
  </si>
  <si>
    <t>14世紀後期
約束や義務を果たす
着手したことを遂行する</t>
  </si>
  <si>
    <t>tropē（回転, 転回）
&lt;span class="spacer"&gt;&lt;/span&gt;形容詞を作る-ikosが付いて
tropikos（回転に関する, 至点に関する）</t>
    <phoneticPr fontId="1"/>
  </si>
  <si>
    <t>wisdom</t>
  </si>
  <si>
    <t>*weid-（見る, 知る）</t>
  </si>
  <si>
    <t>*wissaz</t>
  </si>
  <si>
    <t>wis（学識のある, 賢明な：wiseの語源）
&lt;span class="spacer"&gt;&lt;/span&gt;wis（賢明な）＋dom（名詞化）
wisdom（賢明さ, 知恵, 知識, 学習, 経験）</t>
  </si>
  <si>
    <t>littera（アルファベットの文字：letterの語源）
&lt;span class="spacer"&gt;&lt;/span&gt;形容詞を作る-atusが付いて
literatus（文字を知っている, 教育を受けた, 学識のある）</t>
  </si>
  <si>
    <t>15世紀初頭
文字の知識がある, 読み書きのできる, 教育を受けた（現代英語のliterate）</t>
  </si>
  <si>
    <t>1883年
literate（読み書きのできる）＋cy（名詞化）
literacy（読み書きの能力）</t>
  </si>
  <si>
    <t>heres（後継者）</t>
  </si>
  <si>
    <t>hereditare（相続する）</t>
  </si>
  <si>
    <t>heriter（相続する）
&lt;span class="spacer"&gt;&lt;/span&gt;名詞を作る-ageが付いて
heritage（後継者, 相続, 遺産）</t>
  </si>
  <si>
    <t>1200年頃
相続されるもの, 遺産</t>
  </si>
  <si>
    <t>日本語でも使われるmission（ミッション, 使命）と関連させて覚える。
またもとになったラテン語からイメージをつかむ。</t>
  </si>
  <si>
    <t>1590年代
イエズス会の派遣
国外への使節派遣
&lt;span class="spacer"&gt;&lt;/span&gt;1620年代
外交や商業目的で外国に送られた人々の集団
&lt;span class="spacer"&gt;&lt;/span&gt;1640年代
宗教の布教
&lt;span class="spacer"&gt;&lt;/span&gt;1670年代
人が派遣されて行うべき任務</t>
  </si>
  <si>
    <t>licere（許されている, 合法である）
&lt;span class="spacer"&gt;&lt;/span&gt;現在分詞licentem
&lt;span class="spacer"&gt;&lt;/span&gt;名詞を作る-iaが付いて
licentia（自由, 解放）</t>
  </si>
  <si>
    <t>12世紀
licence（自由, 解放, 許可）</t>
  </si>
  <si>
    <t>14世紀後期
正式な認可, 公的な許可, 許可証
&lt;span class="spacer"&gt;&lt;/span&gt;15世紀初頭
結婚・狩猟・運転などの許可</t>
  </si>
  <si>
    <t>ex（外に）＋legere（選ぶ）
eligere（選び出す）</t>
  </si>
  <si>
    <t>elire（選び出す）
&lt;span class="spacer"&gt;&lt;/span&gt;過去分詞eslite（選ばれたもの）</t>
  </si>
  <si>
    <t>近代フランス語</t>
  </si>
  <si>
    <t>élite（選抜）</t>
  </si>
  <si>
    <t>1823年
elite（選ばれた集団, 精鋭）</t>
  </si>
  <si>
    <t>lecgan（地面に置く, 横たえる：layの語源）</t>
  </si>
  <si>
    <t>14世紀後期
lay＋er（〜する人, 〜するもの）
何かを置く人, 敷くもの
石を敷く人, 石工</t>
  </si>
  <si>
    <t>1610年代
表面に塗り重ねられた材料の厚み, 層</t>
  </si>
  <si>
    <t>mot</t>
  </si>
  <si>
    <t>movere（動かす）</t>
  </si>
  <si>
    <t>movere
&lt;span class="spacer"&gt;&lt;/span&gt;名詞を作る-or（〜する人, 〜するもの）が付いて
motor（動かすもの）</t>
  </si>
  <si>
    <t>15世紀半ば
運動を与える人や物</t>
  </si>
  <si>
    <t>1660年代
機会的な運動を生み出す主体や力
&lt;span class="spacer"&gt;&lt;/span&gt;1856年から
動力を供給する機械</t>
  </si>
  <si>
    <t>prōtos（第一の）
prōteios（最も重要な）</t>
  </si>
  <si>
    <t xml:space="preserve">1844年
フランス語から借用
</t>
  </si>
  <si>
    <t>1907年
全ての生物の重要な一部を形成する有機化合物の一群
タンパク質</t>
  </si>
  <si>
    <t>profession</t>
  </si>
  <si>
    <t>professioun
&lt;span class="spacer"&gt;&lt;/span&gt;1200年頃
修道会に入る際に行う誓い
&lt;span class="spacer"&gt;&lt;/span&gt;14世紀半ば
あらゆる厳粛な宣言
&lt;span class="spacer"&gt;&lt;/span&gt;15世紀初頭
自分が熟達していると公言する職業</t>
  </si>
  <si>
    <t>1610年代
ある特定の職業に従事する集団</t>
  </si>
  <si>
    <t>ex（外に）＋dare（与える）
edere（外に出す, 生み出す）
&lt;span class="spacer"&gt;&lt;/span&gt;名詞を作る-or（〜する人, 〜するもの）が付いて
editor（世に出す者）</t>
  </si>
  <si>
    <t>1640年代
出版者, 発行人
&lt;span class="spacer"&gt;&lt;/span&gt;1712年までに
出版のために執筆物を校訂する人
&lt;span class="spacer"&gt;&lt;/span&gt;1803年から
新聞の編集者</t>
  </si>
  <si>
    <t>15世紀後期
行動する者, 行為者</t>
  </si>
  <si>
    <t>1550年代
現象を引き起こすあらゆる自然の力
作用物質
&lt;span class="spacer"&gt;&lt;/span&gt;1590年代
代理人</t>
  </si>
  <si>
    <t>1916年までに
スパイ, 秘密工作員</t>
  </si>
  <si>
    <t>globus（丸い塊, 球, 人の群れ, 人だかり）</t>
  </si>
  <si>
    <t>globe（球, 丸い塊）</t>
  </si>
  <si>
    <t>14世紀後期
大きな塊
&lt;span class="spacer"&gt;&lt;/span&gt;15世紀半ば
球状の固体, 球</t>
  </si>
  <si>
    <t>1550年代
惑星としての地球
地球儀, 天球儀</t>
  </si>
  <si>
    <t>hæfen（港, 避難港）</t>
  </si>
  <si>
    <t>1200年頃
避難所, 安息地, 保護の場</t>
  </si>
  <si>
    <t>ræw（列, 連続, 生垣）</t>
  </si>
  <si>
    <t>reue（直線上に並んだ人や物の連なり）
&lt;span class="spacer"&gt;&lt;/span&gt;14世紀半ば
一列に並んだ家の連なり</t>
  </si>
  <si>
    <t>1710年までに
劇場の座席の列</t>
  </si>
  <si>
    <t>sacer（神聖な：sacredの語源）
&lt;span class="spacer"&gt;&lt;/span&gt;sacra（神聖な儀式）
&lt;span class="spacer"&gt;&lt;/span&gt;sacra＋facere（行う, 作る）
sacrificus（神聖なものにすること, 犠牲を執り行うこと）
&lt;span class="spacer"&gt;&lt;/span&gt;sacrificium（犠牲, 神への捧げ物）</t>
  </si>
  <si>
    <t>12世紀
sacrifise（犠牲, 捧げ物）</t>
  </si>
  <si>
    <t>13世紀後期
災いのなだめや崇敬のために神に命を捧げること
&lt;span class="spacer"&gt;&lt;/span&gt;14世紀半ば
犠牲として捧げられたもの</t>
  </si>
  <si>
    <t>1590年代
より高潔な目的や、差し迫った要求のために望ましいものを手放す
誰かのために諦めたもの</t>
  </si>
  <si>
    <t>medius（真ん中の）</t>
  </si>
  <si>
    <t>medianus（中間の）</t>
  </si>
  <si>
    <t>meien（中間, 手段）</t>
  </si>
  <si>
    <t>1300年頃
mean（中間に位置する点・場所・状態）
&lt;span class="spacer"&gt;&lt;/span&gt;14世紀後期
means（行動の過程, 目的を達成するための手段）
&lt;span class="spacer"&gt;&lt;/span&gt;15世紀後期
by no means（いかなる手段によっても〜ない, 決して〜ない）</t>
  </si>
  <si>
    <t>1600年頃
目的のために使える富や資力</t>
  </si>
  <si>
    <t>session（座ること, 集会）</t>
  </si>
  <si>
    <t>sessioun
&lt;span class="spacer"&gt;&lt;/span&gt;14世紀後期
法廷の定期的な開廷（着席）</t>
  </si>
  <si>
    <t>1550年代までに
立法府などが業務のために毎日集まる期間, 会期</t>
  </si>
  <si>
    <t>1920年までに
特定の活動のために割り当てられた時間
&lt;span class="spacer"&gt;&lt;/span&gt;1927年から
音楽におけるスタジオでの録音機会, セッション</t>
  </si>
  <si>
    <t>ligare（縛る）</t>
  </si>
  <si>
    <t>lega</t>
  </si>
  <si>
    <t>15世紀
ligue（連盟, 同盟）</t>
  </si>
  <si>
    <t>ligg
&lt;span class="spacer"&gt;&lt;/span&gt;15世紀半ば
同盟</t>
  </si>
  <si>
    <t>もともとは国家間の同盟だったが
&lt;span class="spacer"&gt;&lt;/span&gt;1846年
政治団体の連盟
&lt;span class="spacer"&gt;&lt;/span&gt;1879年
スポーツの連盟</t>
  </si>
  <si>
    <t>1919年に設立されたLeague of Nations（国際連盟）</t>
  </si>
  <si>
    <t>testis（証人）
&lt;span class="spacer"&gt;&lt;/span&gt;動詞になって
testari（証言する）
&lt;span class="spacer"&gt;&lt;/span&gt;com（共に）＋testari（証言する）
contestari（共に証言する, 訴訟において証人を呼ぶ, 訴えを起こす）</t>
  </si>
  <si>
    <t>contester（反論する, 反対する）</t>
  </si>
  <si>
    <t>1600年頃
戦う, 争って勝ち取ろうとする
&lt;span class="spacer"&gt;&lt;/span&gt;1610年代
争点とする
何かを求めて競争に加わる
&lt;span class="spacer"&gt;&lt;/span&gt;1640年代、名詞になって
勝利や優位を目指す争い
賞品などをかけた競争</t>
  </si>
  <si>
    <t>*wer-（知覚する, 警戒する）</t>
  </si>
  <si>
    <t>*wardon（守る）</t>
  </si>
  <si>
    <t>*wardon</t>
  </si>
  <si>
    <t>garder（保持する, 保護する）</t>
  </si>
  <si>
    <t>garde（守護者, 見守ること）</t>
  </si>
  <si>
    <t>15世紀初頭
見張りをする者
世話, 監視
防具</t>
  </si>
  <si>
    <t>ob（前に, 対して）＋ponere（置く）
opponere（〜に対して置く, 反対する, 異議を唱える）
&lt;span class="spacer"&gt;&lt;/span&gt;現在分詞opponens</t>
  </si>
  <si>
    <t>1580年代
反対する者, 敵, 対抗者
&lt;span class="spacer"&gt;&lt;/span&gt;1610年代までに
競技や争いにおける相手</t>
  </si>
  <si>
    <t>glacies（氷）</t>
  </si>
  <si>
    <t>*glacia</t>
  </si>
  <si>
    <t>glace（氷）
&lt;span class="spacer"&gt;&lt;/span&gt;動詞になって
glacier（滑る）</t>
  </si>
  <si>
    <t>1300年頃
glacen（かすめる, かすり当たる）
&lt;span class="spacer"&gt;&lt;/span&gt;15世紀半ば
武器について、クリーンヒットせずに斜めにかすめる（滑る）</t>
  </si>
  <si>
    <t>vorce</t>
  </si>
  <si>
    <t>dis（離れて）＋vertere（回す, 向ける）
divertere（異なる方向へ向ける, 分離する, 夫のもとを去る）</t>
  </si>
  <si>
    <t>14世紀
divorce</t>
  </si>
  <si>
    <t>14世紀後期
婚姻の法的解消, 離婚
&lt;span class="spacer"&gt;&lt;/span&gt;15世紀初頭
完全な分離</t>
  </si>
  <si>
    <t>texere（織る）</t>
  </si>
  <si>
    <t>tistre（織る）
&lt;span class="spacer"&gt;&lt;/span&gt;過去分詞tissu（織られた, 編み合わされた）
&lt;span class="spacer"&gt;&lt;/span&gt;名詞になって
リボン, ヘッドバンド, 織物のベルト</t>
  </si>
  <si>
    <t>tisseu
&lt;span class="spacer"&gt;&lt;/span&gt;14世紀後期
高級な織物で作られたベルト</t>
  </si>
  <si>
    <t>もとはシルクや金糸・銀糸で織られた素材を指していたが、のちにベールなどに使われる薄くて軽いガーゼ状の布地を指すようになる
&lt;span class="spacer"&gt;&lt;/span&gt;1730年までに
繊細な織物全般
&lt;span class="spacer"&gt;&lt;/span&gt;1777年から
薄紙, 高級なシルク織物tissuesを保護するために、折り目の間に挟むために作られたもの
&lt;span class="spacer"&gt;&lt;/span&gt;1831年までに
生命体を構成する細胞構造, 生物の細胞組織</t>
  </si>
  <si>
    <t>1929年から
ティッシュペーパー</t>
  </si>
  <si>
    <t>liquere（流動する）
&lt;span class="spacer"&gt;&lt;/span&gt;形容詞を作る-idusが付いて
liquidus（流動的な, 液状の, 流れるような, 連続した）</t>
  </si>
  <si>
    <t>13世紀
liquide（液体の, 流れる）</t>
  </si>
  <si>
    <t>14世紀後期
流れる性質を持つ, 液体の</t>
  </si>
  <si>
    <t>1708年、名詞になって
液体の物質</t>
  </si>
  <si>
    <t>equal</t>
  </si>
  <si>
    <t>aequus（平らな, 均一な）
&lt;span class="spacer"&gt;&lt;/span&gt;形容詞を作る-alisが付いて
aequalis（均一な, 同一の, 等しい）
&lt;span class="spacer"&gt;&lt;/span&gt;in（否定）＋aequalis
inaequalis（等しくない）</t>
  </si>
  <si>
    <t>名詞を作る-itasが付いて
inaequalitas</t>
  </si>
  <si>
    <t>14世紀
inequalité</t>
  </si>
  <si>
    <t>15世紀初頭
身分や地位の差</t>
  </si>
  <si>
    <t>1530年代
量・数・強度などにおける不均等, 不平等</t>
  </si>
  <si>
    <t>judice</t>
  </si>
  <si>
    <t>ius（法）+dicere（宣言する, 示す）
&lt;span class="spacer"&gt;&lt;/span&gt;iudex（法を宣言する裁判官：judgeの語源）
&lt;span class="spacer"&gt;&lt;/span&gt;iudicium（判断, 裁判）
&lt;span class="spacer"&gt;&lt;/span&gt;prae（前もって）＋iudicium（判断）
praeiudicium（事前の判断, 予備審理）</t>
  </si>
  <si>
    <t>prejudicium（不公正, 不当な扱い, 不利益）</t>
  </si>
  <si>
    <t>prejudice（偏見）</t>
  </si>
  <si>
    <t>1300年頃
軽蔑, 侮辱
&lt;span class="spacer"&gt;&lt;/span&gt;14世紀半ば
法的権利の侵害によって引き起こされた不利益や損害
&lt;span class="spacer"&gt;&lt;/span&gt;14世紀後期
先入観</t>
  </si>
  <si>
    <t>ius（法, 法的権利）
&lt;span class="spacer"&gt;&lt;/span&gt;形容詞を作る-tusが付いて
iustus（法に従っている, 正しい, 公正な）
&lt;span class="spacer"&gt;&lt;/span&gt;名詞を作る-iaが付いて
iustitia（正義, 公正）</t>
  </si>
  <si>
    <t>11世紀
justice（正義, 公正, 司法権, 法的権利, 裁判権）</t>
  </si>
  <si>
    <t>12世紀半ば
報酬や処罰を割り当てることで権利を回復させる（司法）
公平で正しいということ
道徳的な正しさ, 正義
&lt;span class="spacer"&gt;&lt;/span&gt;14世紀後期
正しい秩序
その人が受けるべきものを与えること</t>
  </si>
  <si>
    <t>guide（導く）＋line（線）
&lt;span class="spacer"&gt;&lt;/span&gt;1785年
何かを切断する前に引かれた補助線
&lt;span class="spacer"&gt;&lt;/span&gt;1846年
熱気球を操縦するためのロープ</t>
  </si>
  <si>
    <t>1948年までに
指針, 政策などの指し示す方向</t>
  </si>
  <si>
    <t>plat</t>
  </si>
  <si>
    <t>plat（平らな, 水平な）＋forme（形）
platte fourme / plateforme（平らな形, 平らな台）</t>
  </si>
  <si>
    <t>1540年代
&lt;span class="obsolete"&gt;行動計画, 設計（現在は廃用）&lt;/span&gt;
&lt;span class="spacer"&gt;&lt;/span&gt;1550年代
&lt;span class="obsolete"&gt;平面図, スケッチ（現在は廃用）&lt;/span&gt;
高く持ち上げられた平らな面や場所
平らな表面をもつ高く上がった枠組みや構造物
&lt;span class="spacer"&gt;&lt;/span&gt;1803年から
政治家が訴えを行う演壇（プラットフォーム）から発展して政治家が語る方針
&lt;span class="spacer"&gt;&lt;/span&gt;1813年までに
平らで水平な土地
&lt;span class="spacer"&gt;&lt;/span&gt;1832年から
客や貨物の積み降ろしのために線路沿いに設けられた、高く上がった歩道</t>
  </si>
  <si>
    <t>secare（切る）
&lt;span class="spacer"&gt;&lt;/span&gt;過去分詞sectus
&lt;span class="spacer"&gt;&lt;/span&gt;名詞を作る-or（〜する人, 〜するもの）が付いて
sector（切る人）</t>
  </si>
  <si>
    <t>sector（扇形）</t>
  </si>
  <si>
    <t>1560年代
扇形
&lt;span class="spacer"&gt;&lt;/span&gt;1715年までに
扇形に近い形状をもつあらゆる図形</t>
  </si>
  <si>
    <t>1916年
戦線の一部
司令部を中心とする円を基準に区切られた区域
&lt;span class="spacer"&gt;&lt;/span&gt;1920年までに
形状を問わない区域, 区分
&lt;span class="spacer"&gt;&lt;/span&gt;1937年までに
経済の一部門, 産業部門</t>
  </si>
  <si>
    <t>canna（葦：茎がストローのように空洞の植物）
&lt;span class="spacer"&gt;&lt;/span&gt;canalis（水路, 溝, 水道管）</t>
  </si>
  <si>
    <t>chanel（水路の底, 管, パイプ, 溝）</t>
  </si>
  <si>
    <t>14世紀初頭
川の底</t>
  </si>
  <si>
    <t>1530年代
何かが通過、伝達されるための経路
&lt;span class="spacer"&gt;&lt;/span&gt;1550年代
陸地と陸地の間を通る海の一部, 大きな海峡
&lt;span class="spacer"&gt;&lt;/span&gt;1848年
電気通信の回路</t>
  </si>
  <si>
    <t>1928年
ラジオやテレビ信号の周波数帯</t>
  </si>
  <si>
    <t>*gel-（冷たい, 凍る）</t>
  </si>
  <si>
    <t>glace（氷）</t>
  </si>
  <si>
    <t>サヴォワ方言glacière（移動する氷）
&lt;span class="spacer"&gt;&lt;/span&gt;16世紀
glacier</t>
  </si>
  <si>
    <t>1744年
移動する氷</t>
  </si>
  <si>
    <t>primus（第一の）</t>
  </si>
  <si>
    <t>primas（第一の, 主要な）</t>
  </si>
  <si>
    <t>primas（第一の, 主要な）が名詞になって
primatem（第一の者, 教会の首座大司教）</t>
  </si>
  <si>
    <t>primat</t>
  </si>
  <si>
    <t>1200年頃
高位の司教
管轄区域で卓越した地位にある聖職者</t>
  </si>
  <si>
    <t>1876年から
哺乳類が最も高位の目と見なされたことから、霊長目に属する動物に近代ラテン語Primatesが使われる</t>
  </si>
  <si>
    <t>uti（使う：useの語源）
&lt;span class="spacer"&gt;&lt;/span&gt;名詞になって
usus（使用, 慣習）</t>
  </si>
  <si>
    <t>usage（慣習, 習慣）</t>
  </si>
  <si>
    <t>1300年頃
確立された慣習
&lt;span class="spacer"&gt;&lt;/span&gt;14世紀後期
使用, 何かを使用する行為
慣用的な言葉の使用法, 語法</t>
  </si>
  <si>
    <t>fors（偶然, 運）
&lt;span class="spacer"&gt;&lt;/span&gt;fortuna（偶然, 運命, 幸運）</t>
  </si>
  <si>
    <t>12世紀
fortune（運命, 幸運, 不運）</t>
  </si>
  <si>
    <t>1300年頃
人間の営みに作用する力としての偶然・運・運命</t>
  </si>
  <si>
    <t>詩人スペンサーの著作において、富, 財産
（人生における境遇→富によって決まる社会的地位→富や財産そのものへと発展）</t>
  </si>
  <si>
    <t>re（再び）+ferre（運ぶ）
referre（持ち帰る, 報告する）
&lt;span class="spacer"&gt;&lt;/span&gt;過去分詞relatus（持ち戻された, 報告された）
&lt;span class="spacer"&gt;&lt;/span&gt;名詞を作る-ioが付いて
relatio（持ち帰ること, 報告）</t>
  </si>
  <si>
    <t>14世紀
relacion（報告, つながり）</t>
  </si>
  <si>
    <t>com（共に）＋relation（つながり）
corrélation</t>
  </si>
  <si>
    <t>1560年代
相互のつながり, 相互関係</t>
  </si>
  <si>
    <t>日本語でも使われるアート（芸術）やアーティスト（芸術家）と関連させて覚える。</t>
  </si>
  <si>
    <t>ars（技術, 芸術作品, 工芸）</t>
  </si>
  <si>
    <t>arsに-ista（〜する人）が付いて
artista</t>
  </si>
  <si>
    <t>artista</t>
  </si>
  <si>
    <t>artiste
&lt;span class="spacer"&gt;&lt;/span&gt;形容詞を作る-iqueが付いて
artistique</t>
  </si>
  <si>
    <t>1753年
芸術に関する, 芸術家に関する, 芸術的な</t>
  </si>
  <si>
    <t>liter</t>
  </si>
  <si>
    <t>littera（アルファベットの文字）
&lt;span class="spacer"&gt;&lt;/span&gt;形容詞を作る-ariusが付いて
literarius（文字に関する, 学問に関する）</t>
  </si>
  <si>
    <t>littéraire</t>
  </si>
  <si>
    <t>1640年代
アルファベットの文字に関する
&lt;span class="spacer"&gt;&lt;/span&gt;1737年から
文学に関する</t>
  </si>
  <si>
    <t>17世紀
classique</t>
  </si>
  <si>
    <t>1610年代
最高階級の
模範として認められた
&lt;span class="spacer"&gt;&lt;/span&gt;1620年代
ギリシャやローマ古典期の定番の著者（古典作家）に属する</t>
  </si>
  <si>
    <t>liber</t>
  </si>
  <si>
    <t>liber（自由な, 制限のない）
&lt;span class="spacer"&gt;&lt;/span&gt;形容詞を作る-alisが付いて
liberalis（自由人に相応しい, 高貴な, 気前のよい）
&lt;span class="spacer"&gt;&lt;/span&gt;artes liberales（自由学芸）
実用目的ではなく、知的能力の拡張を目的とする学問領域で、職業の実用的・専門的な技術や知識と対立する概念。ここで学ぶものが自由人にふさわしいものとみなされた。</t>
  </si>
  <si>
    <t>12世紀
liberal（自由人にふさわしい, 高貴な, 気前のよい）</t>
  </si>
  <si>
    <t>14世紀半ば
高貴な生まれの, 気前のよい, 自由身分の
&lt;span class="spacer"&gt;&lt;/span&gt;14世紀後期
利他的な, 称賛に値する
&lt;span class="spacer"&gt;&lt;/span&gt;15世紀初頭
贅沢すぎる</t>
  </si>
  <si>
    <t>16〜17世紀
言動に慎みがない
&lt;span class="spacer"&gt;&lt;/span&gt;1776〜1788年
偏見のない, 寛容な
&lt;span class="spacer"&gt;&lt;/span&gt;1801年頃から
政治的な意味で、自由主義の</t>
  </si>
  <si>
    <t>com（共に）＋crescere（成長する）
concrescere
&lt;span class="spacer"&gt;&lt;/span&gt;過去分詞concretus（共に成長した, 凝縮した, 凝固した, 濃い）</t>
  </si>
  <si>
    <t>14世紀後期
実際の, 固体の, 特定の, 実体を表す</t>
  </si>
  <si>
    <t>（論理学用語で）具体的な（抽象的の反対）
&lt;span class="spacer"&gt;&lt;/span&gt;1600年代
（論理学を超えて日常語で）具体的な</t>
  </si>
  <si>
    <t>14世紀初頭
&lt;span class="obsolete"&gt;平らな, なめらかな（現在は廃用）&lt;/span&gt;
&lt;span class="spacer"&gt;&lt;/span&gt;&lt;span class="obsolete"&gt;ほっそりした, 細い（現在は廃用）&lt;/span&gt;
&lt;span class="spacer"&gt;&lt;/span&gt;&lt;span class="obsolete"&gt;強くない, 劣った, 重要ではない（現在は廃用）&lt;/span&gt;</t>
    <phoneticPr fontId="1"/>
  </si>
  <si>
    <t>1520年代
量が少ない</t>
  </si>
  <si>
    <t>foedus（契約, 条約, 同盟, 連合）</t>
    <rPh sb="11" eb="13">
      <t>ジョウヤク</t>
    </rPh>
    <rPh sb="15" eb="17">
      <t>ドウメイ</t>
    </rPh>
    <rPh sb="19" eb="21">
      <t>レンゴウ</t>
    </rPh>
    <phoneticPr fontId="1"/>
  </si>
  <si>
    <t>fédéral</t>
    <phoneticPr fontId="1"/>
  </si>
  <si>
    <t>1640年代
神学用語で、神と人との契約に関する
&lt;span class="spacer"&gt;&lt;/span&gt;1650年代
契約や条約に関する
&lt;span class="spacer"&gt;&lt;/span&gt;1707年
独立した諸国家の合意によって形成された
&lt;span class="spacer"&gt;&lt;/span&gt;1776～1787年：アメリカ合衆国の形成期
federal union（条約に基づく連合）
&lt;span class="spacer"&gt;&lt;/span&gt;1788年
中央政府を支持する立場
連邦政府が州から独立した権限を持つ国家</t>
    <rPh sb="4" eb="6">
      <t>ネンダイ</t>
    </rPh>
    <rPh sb="7" eb="11">
      <t>シンガクヨウゴ</t>
    </rPh>
    <rPh sb="13" eb="14">
      <t>カミ</t>
    </rPh>
    <rPh sb="15" eb="16">
      <t>ヒト</t>
    </rPh>
    <rPh sb="18" eb="20">
      <t>ケイヤク</t>
    </rPh>
    <rPh sb="21" eb="22">
      <t>カン</t>
    </rPh>
    <rPh sb="57" eb="59">
      <t>ネンダイ</t>
    </rPh>
    <rPh sb="60" eb="62">
      <t>ケイヤク</t>
    </rPh>
    <rPh sb="63" eb="65">
      <t>ジョウヤク</t>
    </rPh>
    <rPh sb="66" eb="67">
      <t>カン</t>
    </rPh>
    <rPh sb="102" eb="103">
      <t>ネン</t>
    </rPh>
    <rPh sb="104" eb="106">
      <t>ドクリツ</t>
    </rPh>
    <rPh sb="108" eb="111">
      <t>ショコッカ</t>
    </rPh>
    <rPh sb="112" eb="114">
      <t>ゴウイ</t>
    </rPh>
    <rPh sb="118" eb="120">
      <t>ケイセイ</t>
    </rPh>
    <rPh sb="161" eb="162">
      <t>ネン</t>
    </rPh>
    <rPh sb="167" eb="170">
      <t>ガッシュウコク</t>
    </rPh>
    <rPh sb="171" eb="174">
      <t>ケイセイキ</t>
    </rPh>
    <rPh sb="189" eb="191">
      <t>ジョウヤク</t>
    </rPh>
    <rPh sb="192" eb="193">
      <t>モト</t>
    </rPh>
    <rPh sb="195" eb="197">
      <t>レンゴウ</t>
    </rPh>
    <rPh sb="231" eb="232">
      <t>ネン</t>
    </rPh>
    <rPh sb="233" eb="237">
      <t>チュウオウセイフ</t>
    </rPh>
    <rPh sb="238" eb="240">
      <t>シジ</t>
    </rPh>
    <rPh sb="242" eb="244">
      <t>タチバ</t>
    </rPh>
    <rPh sb="245" eb="249">
      <t>レンポウセイフ</t>
    </rPh>
    <rPh sb="250" eb="251">
      <t>シュウ</t>
    </rPh>
    <rPh sb="253" eb="255">
      <t>ドクリツ</t>
    </rPh>
    <rPh sb="257" eb="259">
      <t>ケンゲン</t>
    </rPh>
    <rPh sb="260" eb="261">
      <t>モ</t>
    </rPh>
    <rPh sb="262" eb="264">
      <t>コッカ</t>
    </rPh>
    <phoneticPr fontId="1"/>
  </si>
  <si>
    <t>1560年代
著書『Topica』
&lt;span class="spacer"&gt;&lt;/span&gt;1720年までに
話題や主題</t>
    <rPh sb="4" eb="6">
      <t>ネンダイ</t>
    </rPh>
    <rPh sb="7" eb="9">
      <t>チョショ</t>
    </rPh>
    <rPh sb="50" eb="51">
      <t>ネン</t>
    </rPh>
    <rPh sb="55" eb="57">
      <t>ワダイ</t>
    </rPh>
    <rPh sb="58" eb="60">
      <t>シュダイ</t>
    </rPh>
    <phoneticPr fontId="1"/>
  </si>
  <si>
    <t>sors（くじ, 割り当てられたもの）
&lt;span class="spacer"&gt;&lt;/span&gt;動詞になって
sortir（割り当てる, 分類する）</t>
    <rPh sb="48" eb="50">
      <t>ドウシ</t>
    </rPh>
    <rPh sb="62" eb="63">
      <t>ワ</t>
    </rPh>
    <rPh sb="64" eb="65">
      <t>ア</t>
    </rPh>
    <rPh sb="69" eb="71">
      <t>ブンルイ</t>
    </rPh>
    <phoneticPr fontId="1"/>
  </si>
  <si>
    <t>primit</t>
  </si>
  <si>
    <t>primus（第一の, 最初の）
primitus（はじめに, 最初に）
&lt;span class="spacer"&gt;&lt;/span&gt;形容詞を作る-ivusが付いて
primitivus</t>
  </si>
  <si>
    <t>14世紀
primitif（最初期の, 最初の種類の）</t>
  </si>
  <si>
    <t>primitif
&lt;span class="spacer"&gt;&lt;/span&gt;14世紀後期
現在のprimaryの意味で使われる
&lt;span class="spacer"&gt;&lt;/span&gt;15世紀初頭
最初の時代に属する
キリスト教の文脈で、初期教会の性質を保つ</t>
  </si>
  <si>
    <t>1680年代
古代や初期の時代の様式をもつ
&lt;span class="spacer"&gt;&lt;/span&gt;1895年までに
人類学において、孤立によって単純な段階にとどまっている文化
&lt;span class="spacer"&gt;&lt;/span&gt;1847年
原始的な文化や先史時代の芸術</t>
  </si>
  <si>
    <t>un（否定）＋familiar（よく知っている, よく知られている）
&lt;span class="spacer"&gt;&lt;/span&gt;1590年代
あまり知られていない
親しくない
頻繁に使うわけではないので慣れていない</t>
  </si>
  <si>
    <t>sub</t>
  </si>
  <si>
    <t>tl</t>
  </si>
  <si>
    <t>12世紀
subtil（精緻な, 精巧な）</t>
  </si>
  <si>
    <t>sotil
&lt;span class="spacer"&gt;&lt;/span&gt;1300年頃
心について、鋭敏な, 洗練された
&lt;span class="spacer"&gt;&lt;/span&gt;14世紀初頭
物体について、薄い, 密度が低い, 軽い
職人について、巧みな, 熟練した
&lt;span class="spacer"&gt;&lt;/span&gt;14世紀後期
物質について、繊細な, 微かな, 小さな粒から成る</t>
  </si>
  <si>
    <t>planus（平らな, 平坦な）</t>
  </si>
  <si>
    <t>12世紀
plain（平らな, 平坦な）</t>
  </si>
  <si>
    <t>1300年頃
平らな, 平坦な
&lt;span class="spacer"&gt;&lt;/span&gt;14世紀半ば
障害物のない
&lt;span class="spacer"&gt;&lt;/span&gt;14世紀後期
衣服について、飾りのない, 簡素な
話し方について、率直な, 余分な言葉のない
物事や話について、明白な, わかりやすい</t>
  </si>
  <si>
    <t>日本語でも使われるマリン（海の）アクティビティと関連させて覚える。</t>
  </si>
  <si>
    <t>mare（海, 海水）
&lt;span class="spacer"&gt;&lt;/span&gt;形容詞を作る-inusが付いて
marinus（海の）</t>
  </si>
  <si>
    <t>marin（海の）</t>
  </si>
  <si>
    <t>15世紀半ば
海に関する</t>
  </si>
  <si>
    <t>ad（〜へ）＋parere（目にみえる, 出現する）
apparere（現れる, 視界に入る：appearの語源）
&lt;span class="spacer"&gt;&lt;/span&gt;現在分詞apparens（目にみえる, 明白な）</t>
  </si>
  <si>
    <t>aparant（明白な, 明らかな, 目にみえる）</t>
  </si>
  <si>
    <t>14世紀後期
明確に理解される
&lt;span class="spacer"&gt;&lt;/span&gt;1400年頃
表面的な</t>
  </si>
  <si>
    <t>1640年代
感覚や認識には現れているが、実在とは限らない
一見〜らしい</t>
  </si>
  <si>
    <t>luctant</t>
  </si>
  <si>
    <t>1660年代
気が進まない, 義務や命令に抗う</t>
  </si>
  <si>
    <t>tempus（時間, 季節）
&lt;span class="spacer"&gt;&lt;/span&gt;形容詞を作る-ariusが付いて
temporarius（短時間続く, 季節的な）</t>
  </si>
  <si>
    <t>1540年代
一時的な</t>
  </si>
  <si>
    <t>gylt（犯罪, 罪）
&lt;span class="spacer"&gt;&lt;/span&gt;gyltig（罪を犯した）</t>
  </si>
  <si>
    <t>13世紀後期
法律用語で、指定された何らかの罪を犯した</t>
  </si>
  <si>
    <t>1590年代
罪悪感のある</t>
  </si>
  <si>
    <t>roy</t>
  </si>
  <si>
    <t>*reg-（まっすぐ導く）</t>
  </si>
  <si>
    <t>rex（王）
&lt;span class="spacer"&gt;&lt;/span&gt;形容詞を作る-alisが付いて
regalis（王の, 王らしい, 王室の）</t>
  </si>
  <si>
    <t>roial（王の）</t>
  </si>
  <si>
    <t>13世紀半ば
王にふさわしい
&lt;span class="spacer"&gt;&lt;/span&gt;14世紀後期
王に関する</t>
  </si>
  <si>
    <t>purus（きれいな, 澄んだ, 混じり気のない）</t>
  </si>
  <si>
    <t>pur（純粋な, 単純な, 混じり気のない）</t>
  </si>
  <si>
    <t>13世紀半ば
金について、不純物のない, 純金の
&lt;span class="spacer"&gt;&lt;/span&gt;1300年頃
混じり気のない
完全な, 単なる</t>
  </si>
  <si>
    <t>credi</t>
  </si>
  <si>
    <t>ble</t>
  </si>
  <si>
    <t>*kerd-（心）</t>
  </si>
  <si>
    <t>credere（信じる, 信用する）＋bilis（〜できる）
&lt;span class="spacer"&gt;&lt;/span&gt;credibilis（信用できる）
&lt;span class="spacer"&gt;&lt;/span&gt;in（否定）＋credibilis（信用できる）
incredibilis（信じられない）</t>
  </si>
  <si>
    <t>15世紀初頭
信じがたい</t>
  </si>
  <si>
    <t>acer（鋭い, 尖った, 熱心な）</t>
  </si>
  <si>
    <t>*acrus</t>
  </si>
  <si>
    <t>aigre（酸性の, 熱心な, 活動的な）</t>
  </si>
  <si>
    <t xml:space="preserve">13世紀後期
懸命な, 熱烈な, 激しい
&lt;span class="spacer"&gt;&lt;/span&gt;14世紀初頭
強い欲望に満ちた, 熱望して </t>
  </si>
  <si>
    <t>quate</t>
  </si>
  <si>
    <t>1610年代
必要とされるものや望まれるものに等しい
十分な
&lt;span class="spacer"&gt;&lt;/span&gt;1900年までに
かろうじて十分な, 平凡な（ややネガティブな意味）</t>
  </si>
  <si>
    <t>*wegh-（行く, 乗り物で運ぶ）</t>
  </si>
  <si>
    <t>via（道, 道路, 〜の経由で）</t>
  </si>
  <si>
    <t xml:space="preserve">1779年
〜を経由して, 〜を通って </t>
  </si>
  <si>
    <t>sess</t>
  </si>
  <si>
    <t>ad（〜へ）＋sedere（座る）
assidere（そばに座る, 裁判や職務で補佐する）
&lt;span class="spacer"&gt;&lt;/span&gt;過去分詞assessus（そばに座った状態）</t>
  </si>
  <si>
    <t>assessusが動詞になって
assessare（税を課す, 査定する）</t>
  </si>
  <si>
    <t>assesser</t>
  </si>
  <si>
    <t>15世紀初頭
税金や罰金などの額を定める</t>
  </si>
  <si>
    <t>1809年から
課税を目的として資産の価値を査定する</t>
  </si>
  <si>
    <t>1934年から
人や考えなどの価値を判断する</t>
  </si>
  <si>
    <t>aprover（承認する, 賛成する）</t>
  </si>
  <si>
    <t>approven
&lt;span class="spacer"&gt;&lt;/span&gt;1300年頃
実証する
&lt;span class="spacer"&gt;&lt;/span&gt;14世紀後期
良いものとして認める
賛成する
承認する</t>
  </si>
  <si>
    <t>remark</t>
    <phoneticPr fontId="1"/>
  </si>
  <si>
    <t>re（強意）+marquer（印をつける）
remarquer（はっきり印をつける）</t>
    <rPh sb="3" eb="5">
      <t>キョウイ</t>
    </rPh>
    <rPh sb="15" eb="16">
      <t>シルシ</t>
    </rPh>
    <phoneticPr fontId="1"/>
  </si>
  <si>
    <t>1630年代
&lt;span class="obsolete"&gt;区別して印をつける（現在は廃用）&lt;/span&gt;
&lt;span class="spacer"&gt;&lt;/span&gt;1670年代
心に留める, 注意する
&lt;span class="spacer"&gt;&lt;/span&gt;1690年代
考えとして述べる, コメントする</t>
    <rPh sb="4" eb="6">
      <t>ネンダイ</t>
    </rPh>
    <rPh sb="30" eb="32">
      <t>クベツ</t>
    </rPh>
    <rPh sb="34" eb="35">
      <t>シルシ</t>
    </rPh>
    <rPh sb="86" eb="88">
      <t>ネンダイ</t>
    </rPh>
    <rPh sb="89" eb="90">
      <t>ココロ</t>
    </rPh>
    <rPh sb="91" eb="92">
      <t>ト</t>
    </rPh>
    <rPh sb="96" eb="98">
      <t>チュウイ</t>
    </rPh>
    <rPh sb="133" eb="135">
      <t>ネンダイ</t>
    </rPh>
    <rPh sb="136" eb="137">
      <t>カンガ</t>
    </rPh>
    <rPh sb="141" eb="142">
      <t>ノ</t>
    </rPh>
    <phoneticPr fontId="1"/>
  </si>
  <si>
    <t>ponere（置く, 配置する）</t>
    <rPh sb="7" eb="8">
      <t>オ</t>
    </rPh>
    <rPh sb="11" eb="13">
      <t>ハイチ</t>
    </rPh>
    <phoneticPr fontId="1"/>
  </si>
  <si>
    <t>pausare（止まる, 休む, 休ませる）</t>
    <rPh sb="8" eb="9">
      <t>ト</t>
    </rPh>
    <rPh sb="13" eb="14">
      <t>ヤス</t>
    </rPh>
    <rPh sb="17" eb="18">
      <t>ヤス</t>
    </rPh>
    <phoneticPr fontId="1"/>
  </si>
  <si>
    <t>14世紀後期
示唆する, 仮定する, 前提とする, 認める
&lt;span class="spacer"&gt;&lt;/span&gt;15世紀初頭
特定の位置に置く</t>
    <rPh sb="7" eb="9">
      <t>シサ</t>
    </rPh>
    <rPh sb="13" eb="15">
      <t>カテイ</t>
    </rPh>
    <rPh sb="19" eb="21">
      <t>ゼンテイ</t>
    </rPh>
    <rPh sb="26" eb="27">
      <t>ミト</t>
    </rPh>
    <rPh sb="60" eb="62">
      <t>セイキ</t>
    </rPh>
    <rPh sb="62" eb="64">
      <t>ショトウ</t>
    </rPh>
    <rPh sb="65" eb="67">
      <t>トクテイ</t>
    </rPh>
    <rPh sb="68" eb="70">
      <t>イチ</t>
    </rPh>
    <rPh sb="71" eb="72">
      <t>オ</t>
    </rPh>
    <phoneticPr fontId="1"/>
  </si>
  <si>
    <t>1840年から
ある態度や性格を装う
&lt;span class="spacer"&gt;&lt;/span&gt;1850年から
画家のモデルなどがポーズをとる</t>
    <rPh sb="4" eb="5">
      <t>ネン</t>
    </rPh>
    <rPh sb="10" eb="12">
      <t>タイド</t>
    </rPh>
    <rPh sb="13" eb="15">
      <t>セイカク</t>
    </rPh>
    <rPh sb="16" eb="17">
      <t>ヨソオ</t>
    </rPh>
    <rPh sb="51" eb="52">
      <t>ネン</t>
    </rPh>
    <rPh sb="55" eb="57">
      <t>ガカ</t>
    </rPh>
    <phoneticPr fontId="1"/>
  </si>
  <si>
    <t>yield</t>
    <phoneticPr fontId="1"/>
  </si>
  <si>
    <t>yelden
&lt;span class="spacer"&gt;&lt;/span&gt;1300年
不本意に手放す, 他者の支配や指示に従う, 降伏する
屈服する, 力に屈する, 道を譲る
生み出す, 産出する, 労働の対価として与える</t>
    <rPh sb="39" eb="40">
      <t>ネン</t>
    </rPh>
    <rPh sb="41" eb="44">
      <t>フホンイ</t>
    </rPh>
    <rPh sb="45" eb="47">
      <t>テバナ</t>
    </rPh>
    <rPh sb="50" eb="52">
      <t>タシャ</t>
    </rPh>
    <rPh sb="53" eb="55">
      <t>シハイ</t>
    </rPh>
    <rPh sb="56" eb="58">
      <t>シジ</t>
    </rPh>
    <rPh sb="59" eb="60">
      <t>シタガ</t>
    </rPh>
    <rPh sb="63" eb="65">
      <t>コウフク</t>
    </rPh>
    <rPh sb="68" eb="70">
      <t>クップク</t>
    </rPh>
    <rPh sb="74" eb="75">
      <t>チカラ</t>
    </rPh>
    <rPh sb="76" eb="77">
      <t>クッ</t>
    </rPh>
    <rPh sb="81" eb="82">
      <t>ミチ</t>
    </rPh>
    <rPh sb="83" eb="84">
      <t>ユズ</t>
    </rPh>
    <rPh sb="86" eb="87">
      <t>ウ</t>
    </rPh>
    <rPh sb="88" eb="89">
      <t>ダ</t>
    </rPh>
    <rPh sb="92" eb="94">
      <t>サンシュツ</t>
    </rPh>
    <rPh sb="98" eb="100">
      <t>ロウドウ</t>
    </rPh>
    <rPh sb="101" eb="103">
      <t>タイカ</t>
    </rPh>
    <rPh sb="106" eb="107">
      <t>アタ</t>
    </rPh>
    <phoneticPr fontId="1"/>
  </si>
  <si>
    <t>tribus（部族）
&lt;span class="spacer"&gt;&lt;/span&gt;動詞になって
tribuere（与える, 部族の間で配分する, 各部族に割り当てる）
&lt;span class="spacer"&gt;&lt;/span&gt;com（共に）+tribuere（割り当てる, 与える）
contribuere（共に割り当てる, 共に持ち寄る, 寄与する）
&lt;span class="spacer"&gt;&lt;/span&gt;過去分詞contributus</t>
  </si>
  <si>
    <t>tribus（部族）
&lt;span class="spacer"&gt;&lt;/span&gt;動詞になって
tribuere（与える, 部族の間で配分する, 各部族に割り当てる）
&lt;span class="spacer"&gt;&lt;/span&gt;ad（〜へ）＋tribuere（割り当てる）
&lt;span class="spacer"&gt;&lt;/span&gt;attribuere（〜に割り当てる）</t>
  </si>
  <si>
    <t>hibit</t>
  </si>
  <si>
    <t>ex（外に）＋habere（持つ）
exhibere（示す, 展示する）
&lt;span class="spacer"&gt;&lt;/span&gt;過去分詞exhibitus</t>
  </si>
  <si>
    <t>15世紀半ば
見えるように出す, 提示する</t>
  </si>
  <si>
    <t>tribus（部族）
&lt;span class="spacer"&gt;&lt;/span&gt;動詞になって
tribuere（与える, 部族の間で配分する, 各部族に割り当てる）
&lt;span class="spacer"&gt;&lt;/span&gt;dis（分けて）＋tribuere
distibuere（部分に分けて分配する, 分配する）
&lt;span class="spacer"&gt;&lt;/span&gt;過去分詞distributus</t>
  </si>
  <si>
    <t>distributen
&lt;span class="spacer"&gt;&lt;/span&gt;15世紀初頭
分配する, 分け与える</t>
  </si>
  <si>
    <t>manus（手）＋dare（与える）
mandare（手渡す, 命じる）
&lt;span class="spacer"&gt;&lt;/span&gt;com（強意）＋mandare
commendare（推薦する, 委ねる）</t>
  </si>
  <si>
    <t>*commandare</t>
  </si>
  <si>
    <t>12世紀
comander</t>
  </si>
  <si>
    <t>1300年頃
権威をもって命じる, 指揮する
&lt;span class="spacer"&gt;&lt;/span&gt;14世紀後期
自分の影響範囲内におく</t>
  </si>
  <si>
    <t>軍事において、指揮下に置く
&lt;span class="spacer"&gt;&lt;/span&gt;1690年代
高い場所から見下ろす</t>
  </si>
  <si>
    <t>cupy</t>
  </si>
  <si>
    <t>ob（〜に対して）＋capere（つかむ）
occupare（奪取する, 占有する）</t>
  </si>
  <si>
    <t>13世紀
occuper（占領する, 奪取する）</t>
  </si>
  <si>
    <t>occupien
&lt;span class="spacer"&gt;&lt;/span&gt;14世紀半ば
占有して保持する
空間や時間を占める</t>
  </si>
  <si>
    <t>popの発音からイメージをつかむ。
&lt;span class="spacer"&gt;&lt;/span&gt;&lt;span class="obsolete"&gt;pop cultureのpopはpopularの略なので無関係。&lt;/span&gt;</t>
  </si>
  <si>
    <t>15世紀半ば
短く素早い音が出るように叩く
素早く突然の動作で現れる</t>
  </si>
  <si>
    <t>1570年代
ポンと鳴る</t>
  </si>
  <si>
    <t>pila（柱）</t>
  </si>
  <si>
    <t>pile（積み重ね, 山）</t>
  </si>
  <si>
    <t>1400年頃
積み上げる</t>
  </si>
  <si>
    <t>greeting card（季節のあいさつ状）と関連させて覚える。</t>
  </si>
  <si>
    <t>graten（接触する, 扱う, ハープを奏でる, 声をかける, 挨拶する, 攻撃する）
&lt;span class="obsolete"&gt;古英語ではさまざまな意味での接触を意味していた&lt;/span&gt;</t>
  </si>
  <si>
    <t>apo</t>
  </si>
  <si>
    <t>apo（〜に対して）＋logos（言葉）
apologos（説明）
&lt;span class="spacer"&gt;&lt;/span&gt;動詞になって
apologeisthai（自己を弁護するために話す）
&lt;span class="spacer"&gt;&lt;/span&gt;apologia（弁明のための演説）</t>
  </si>
  <si>
    <t>apologia</t>
  </si>
  <si>
    <t>15世紀初頭
弁明, 正当化</t>
  </si>
  <si>
    <t>apology＋ize（動詞化）
&lt;span class="spacer"&gt;&lt;/span&gt;1590年代
弁明のために話す
&lt;span class="spacer"&gt;&lt;/span&gt;1725年までに
後悔して認める, 謝罪する</t>
  </si>
  <si>
    <t>frustra（無駄に, 誤って）
&lt;span class="spacer"&gt;&lt;/span&gt;動詞になって
frustrari（無駄にする, 欺く）
&lt;span class="spacer"&gt;&lt;/span&gt;過去分詞frustratus</t>
  </si>
  <si>
    <t>15世紀半ば
無に帰する, 効果の発揮や何かの成就を妨げる</t>
  </si>
  <si>
    <t>lieve</t>
  </si>
  <si>
    <t>levis（軽い）
&lt;span class="spacer"&gt;&lt;/span&gt;動詞になって
levare（軽くする, 持ち上げる）
&lt;span class="spacer"&gt;&lt;/span&gt;re（強意）＋levare（軽くする, 持ち上げる）
relevare（持ち上げる, 軽減する, 負担から解放する）</t>
  </si>
  <si>
    <t>11世紀
relever（持ち上げる, 軽減する, 負担から解放する）</t>
  </si>
  <si>
    <t>releven
&lt;span class="spacer"&gt;&lt;/span&gt;14世紀後期
軽減する, 緩和する, 安らぎを与える</t>
  </si>
  <si>
    <t>rive</t>
  </si>
  <si>
    <t>de（〜から）＋rivus（小川, 流れ）
フレーズde rivo
&lt;span class="spacer"&gt;&lt;/span&gt;動詞になって
derivare（水源から水を引く）</t>
  </si>
  <si>
    <t>derivare（由来する）</t>
  </si>
  <si>
    <t>deriver（流れる, 起源を持つ, 由来する）</t>
  </si>
  <si>
    <t>14世紀後期
〜に由来する, 〜から下る</t>
  </si>
  <si>
    <t>1500年頃
推論の過程によって得る
&lt;span class="spacer"&gt;&lt;/span&gt;1600年頃から
語源をたどる
語の派生関係を示す</t>
  </si>
  <si>
    <t>desevire（よい奉仕をするから褒美を受ける資格がある）</t>
  </si>
  <si>
    <t>deservir（値する, 価値がある, 報いに値する）</t>
  </si>
  <si>
    <t>13世紀半ば
報いに値する, 〜の価値がある</t>
  </si>
  <si>
    <t>appearと関連させて覚える。</t>
  </si>
  <si>
    <t>14世紀後期
piren（じっと見る）
&lt;span class="spacer"&gt;&lt;/span&gt;aperen（見える, 現れる：appearの語源）の短縮形perenの影響を受けている。</t>
  </si>
  <si>
    <t>1590年代
じっと見る, 凝視する</t>
  </si>
  <si>
    <t>feat</t>
  </si>
  <si>
    <t>dis（否定）＋facere（作る, 行う）</t>
  </si>
  <si>
    <t>*diffacere（元に戻す, 破壊する）</t>
  </si>
  <si>
    <t>desfaire（元に戻す, 壊す）
&lt;span class="spacer"&gt;&lt;/span&gt;過去分詞desfait</t>
  </si>
  <si>
    <t>defeten
&lt;span class="spacer"&gt;&lt;/span&gt;14世紀後期
悲しみや怒りで打ちのめす, 圧倒する
&lt;span class="spacer"&gt;&lt;/span&gt;15世紀初頭
&lt;span class="obsolete"&gt;破滅させる, 完全に破壊する（現在は廃用）&lt;/span&gt;
&lt;span class="spacer"&gt;&lt;/span&gt;15世紀後期
成功を阻止する, 失敗させる</t>
  </si>
  <si>
    <t>1560年代
競技や争いにおいて、打ち負かす</t>
  </si>
  <si>
    <t>convert</t>
    <phoneticPr fontId="1"/>
  </si>
  <si>
    <t>vert</t>
  </si>
  <si>
    <t>com（共に）＋vertere（向ける, 回す）
convertere（回転させる, 変形させる）</t>
    <rPh sb="4" eb="5">
      <t>トモ</t>
    </rPh>
    <rPh sb="16" eb="17">
      <t>ム</t>
    </rPh>
    <rPh sb="21" eb="22">
      <t>マワ</t>
    </rPh>
    <rPh sb="36" eb="38">
      <t>カイテン</t>
    </rPh>
    <rPh sb="43" eb="45">
      <t>ヘンケイ</t>
    </rPh>
    <phoneticPr fontId="1"/>
  </si>
  <si>
    <t>*convertire</t>
    <phoneticPr fontId="1"/>
  </si>
  <si>
    <t>convertir（向きを変える, 改宗させる）</t>
    <rPh sb="10" eb="11">
      <t>ム</t>
    </rPh>
    <rPh sb="13" eb="14">
      <t>カ</t>
    </rPh>
    <rPh sb="18" eb="20">
      <t>カイシュウ</t>
    </rPh>
    <phoneticPr fontId="1"/>
  </si>
  <si>
    <t>1300年頃
ある宗教から別の宗教へ改宗させる
特にキリスト教へ改宗させる
&lt;span class="spacer"&gt;&lt;/span&gt;14世紀後期
別の形態や物質に変化させる
変質させる
&lt;span class="spacer"&gt;&lt;/span&gt;15世紀後期
用途や行き先を変える</t>
    <rPh sb="4" eb="6">
      <t>ネンコロ</t>
    </rPh>
    <rPh sb="9" eb="11">
      <t>シュウキョウ</t>
    </rPh>
    <rPh sb="13" eb="14">
      <t>ベツ</t>
    </rPh>
    <rPh sb="15" eb="17">
      <t>シュウキョウ</t>
    </rPh>
    <rPh sb="18" eb="20">
      <t>カイシュウ</t>
    </rPh>
    <rPh sb="24" eb="25">
      <t>トク</t>
    </rPh>
    <rPh sb="30" eb="31">
      <t>キョウ</t>
    </rPh>
    <rPh sb="32" eb="34">
      <t>カイシュウ</t>
    </rPh>
    <rPh sb="68" eb="70">
      <t>セイキ</t>
    </rPh>
    <rPh sb="70" eb="72">
      <t>コウキ</t>
    </rPh>
    <rPh sb="87" eb="89">
      <t>ヘンシツ</t>
    </rPh>
    <rPh sb="128" eb="130">
      <t>ヨウト</t>
    </rPh>
    <rPh sb="131" eb="134">
      <t>イキサキ</t>
    </rPh>
    <rPh sb="135" eb="136">
      <t>カ</t>
    </rPh>
    <phoneticPr fontId="1"/>
  </si>
  <si>
    <t>日本語でも使われるウェディングと関連させて覚える。</t>
  </si>
  <si>
    <t>weddian（誓う, 結婚する）</t>
  </si>
  <si>
    <t>wedden（結婚する）</t>
  </si>
  <si>
    <t>light</t>
  </si>
  <si>
    <t>de（〜から）＋lacere（誘う, おびき寄せる）
delicere（誘惑する）
&lt;span class="spacer"&gt;&lt;/span&gt;反復形になって
delectare（誘惑する, 魅了する, 喜ばせる）</t>
  </si>
  <si>
    <t>delitier（大いに喜ばせる, 魅了する）</t>
  </si>
  <si>
    <t>deliten
&lt;span class="spacer"&gt;&lt;/span&gt;1200年頃
大喜びする
&lt;span class="spacer"&gt;&lt;/span&gt;1300年頃
大喜びさせる</t>
  </si>
  <si>
    <t>日本語でも使われるブースト（増やす）と関連させて覚える。</t>
  </si>
  <si>
    <t>1815年
後ろから押すことで持ち上げる・高める</t>
  </si>
  <si>
    <t>dure</t>
  </si>
  <si>
    <t>durus（堅い, 硬い）
&lt;span class="spacer"&gt;&lt;/span&gt;動詞になって
durare（堅くする, 持続する）
&lt;span class="spacer"&gt;&lt;/span&gt;in（中に）＋durare（堅くする, 持続する）
indurare（堅くする）</t>
  </si>
  <si>
    <t>indurare（心を堅くして耐える）</t>
  </si>
  <si>
    <t>12世紀
endurer（堅くする, 耐える, 持続させる）</t>
  </si>
  <si>
    <t>14世紀後期
耐える, 存在し続ける</t>
  </si>
  <si>
    <t>re（返して）＋spondere（誓約する）
respondere（応答する, 答える）</t>
  </si>
  <si>
    <t>com（共に）＋respondere（応答する）
correspondere（二つのものが相互に作用する, 一方が他方に対応する, 調和する）</t>
  </si>
  <si>
    <t>14世紀
correspondre</t>
  </si>
  <si>
    <t>1520年代
一致する, 調和する
&lt;span class="spacer"&gt;&lt;/span&gt;1600年頃から
連絡を取り合う
&lt;span class="spacer"&gt;&lt;/span&gt;1640年代
〜に類似している, 対応している
手紙でやりとりする</t>
  </si>
  <si>
    <t>pose</t>
  </si>
  <si>
    <t>in（中に）＋poser（置く）
imposer（置く, 罪や義務などを負わせる）
&lt;span class="spacer"&gt;&lt;/span&gt;&lt;span class="obsolete"&gt;古フランス語poserは、後期ラテン語pausare（停止する, 休む）に由来する。語源的には「置く」という意味はないが、ラテン語ponere（置く）と混同されたことで、「置く」という意味を獲得した。&lt;/span&gt;</t>
    <phoneticPr fontId="1"/>
  </si>
  <si>
    <t>14世紀後期
罪や義務などを負わせる</t>
  </si>
  <si>
    <t>1500年頃
権威をもって適用する
&lt;span class="spacer"&gt;&lt;/span&gt;1580年代
重荷として課す, 力や権威によって押し付ける</t>
  </si>
  <si>
    <t>s</t>
  </si>
  <si>
    <t>ex（外に）＋quatere（振る）
excutere（振り払う）</t>
  </si>
  <si>
    <t>re（強意）＋escourre（振り落とす, 解き放つ）
rescorre（解放する, 救い出す）
rescou-</t>
  </si>
  <si>
    <t>rescu-</t>
  </si>
  <si>
    <t>rescouen
&lt;span class="spacer"&gt;&lt;/span&gt;1300年頃
敵の攻撃または拘束から救い出す
悪や害から救い出す</t>
  </si>
  <si>
    <t>solve</t>
  </si>
  <si>
    <t>re（強意）＋solvere（緩める, ほどく）
resolvere（緩める, ほどく）</t>
  </si>
  <si>
    <t>resolver</t>
  </si>
  <si>
    <t>resolven
&lt;span class="spacer"&gt;&lt;/span&gt;14世紀後期
溶かす, 構成要素に分解する
知的分析によって基本形態に戻す</t>
  </si>
  <si>
    <t>1520年代
物事を分析した結果、決定する, 決心する
&lt;span class="spacer"&gt;&lt;/span&gt;1580年代
会議で決定する, 決議する
&lt;span class="spacer"&gt;&lt;/span&gt;1610年代
紛争などを解決する</t>
  </si>
  <si>
    <t>gister</t>
  </si>
  <si>
    <t>re（後ろへ）＋gerere（運ぶ）
regerere（後ろへ運ぶ, 運び戻す, 記録する）
&lt;span class="spacer"&gt;&lt;/span&gt;過去分詞regestus（記録された）</t>
  </si>
  <si>
    <t>regestus（記録された）が名詞になって
regesta（記録された事柄）</t>
  </si>
  <si>
    <t>registrum（記録簿）
&lt;span class="spacer"&gt;&lt;/span&gt;動詞になって
registrare（記録簿に記す, 登録する）</t>
  </si>
  <si>
    <t>13世紀
registrer（書き留める）</t>
  </si>
  <si>
    <t>14世紀後期
記録する, 名簿に記入する</t>
  </si>
  <si>
    <t>rupt</t>
  </si>
  <si>
    <t>inter（〜の間に）＋rumpere（壊す）
interrumpere（ばらばらに壊す, 中断させる）
&lt;span class="spacer"&gt;&lt;/span&gt;過去分詞interruptus</t>
  </si>
  <si>
    <t>1400年頃
法的権利を侵害する
&lt;span class="spacer"&gt;&lt;/span&gt;15世紀初頭
話や行為などに割り込む, 妨げる</t>
  </si>
  <si>
    <t>get rid of（〜を取り除く）で覚える。</t>
  </si>
  <si>
    <t>ridden
&lt;span class="spacer"&gt;&lt;/span&gt;1200年頃
場所を片付ける
解放する
&lt;span class="spacer"&gt;&lt;/span&gt;15世紀半ば
厄介なものや不要なものから解放される（be rid of）</t>
  </si>
  <si>
    <t>16世紀までに
人や場所を何かから自由にする
&lt;span class="spacer"&gt;&lt;/span&gt;1660年代
get rid of（〜を取り除く）</t>
  </si>
  <si>
    <t>pro（前方に）＋habere（持つ）
prohibere（引きとめる, 抑える, 防ぐ）
&lt;span class="spacer"&gt;&lt;/span&gt;過去分詞prohibitus</t>
  </si>
  <si>
    <t>prohibiten
&lt;span class="spacer"&gt;&lt;/span&gt;15世紀初頭
権威によって禁ずる, 禁止する</t>
  </si>
  <si>
    <t>compose</t>
    <phoneticPr fontId="1"/>
  </si>
  <si>
    <t>com（共に）＋ponere（置く）
componere（一緒に置く）</t>
    <rPh sb="4" eb="5">
      <t>トモ</t>
    </rPh>
    <rPh sb="15" eb="16">
      <t>オ</t>
    </rPh>
    <rPh sb="29" eb="31">
      <t>イッショ</t>
    </rPh>
    <rPh sb="32" eb="33">
      <t>オ</t>
    </rPh>
    <phoneticPr fontId="1"/>
  </si>
  <si>
    <t>12世紀
composer（混ぜ合わせる, 組み立てる）
&lt;span class="spacer"&gt;&lt;/span&gt;&lt;span class="obsolete"&gt;古フランス語poserは、後期ラテン語pausare（停止する, 休む）に由来する。語源的には「置く」という意味はないが、ラテン語ponere（置く）と混同されたことで、「置く」という意味を獲得した。&lt;/span&gt;</t>
    <rPh sb="2" eb="4">
      <t>セイキ</t>
    </rPh>
    <rPh sb="14" eb="15">
      <t>マ</t>
    </rPh>
    <rPh sb="16" eb="17">
      <t>ア</t>
    </rPh>
    <rPh sb="22" eb="23">
      <t>ク</t>
    </rPh>
    <rPh sb="24" eb="25">
      <t>タ</t>
    </rPh>
    <phoneticPr fontId="1"/>
  </si>
  <si>
    <t>15世紀後期
2つ以上のものを結合させて作る</t>
    <rPh sb="2" eb="6">
      <t>セイキコウキ</t>
    </rPh>
    <rPh sb="9" eb="11">
      <t>イジョウ</t>
    </rPh>
    <rPh sb="15" eb="17">
      <t>ケツゴウ</t>
    </rPh>
    <rPh sb="20" eb="21">
      <t>ツク</t>
    </rPh>
    <phoneticPr fontId="1"/>
  </si>
  <si>
    <t>1540年代
構成する
&lt;span class="spacer"&gt;&lt;/span&gt;1590年代
楽曲を作る
&lt;span class="spacer"&gt;&lt;/span&gt;1600年頃から
落ち着いた状態にする, 静める</t>
    <rPh sb="4" eb="6">
      <t>ネンダイ</t>
    </rPh>
    <rPh sb="7" eb="9">
      <t>コウセイ</t>
    </rPh>
    <rPh sb="44" eb="46">
      <t>ネンダイ</t>
    </rPh>
    <rPh sb="47" eb="49">
      <t>ガッキョク</t>
    </rPh>
    <rPh sb="50" eb="51">
      <t>ツク</t>
    </rPh>
    <rPh sb="85" eb="86">
      <t>ネン</t>
    </rPh>
    <rPh sb="86" eb="87">
      <t>コロ</t>
    </rPh>
    <rPh sb="90" eb="91">
      <t>オ</t>
    </rPh>
    <rPh sb="102" eb="103">
      <t>シズ</t>
    </rPh>
    <phoneticPr fontId="1"/>
  </si>
  <si>
    <t>misunderstand</t>
    <phoneticPr fontId="1"/>
  </si>
  <si>
    <t>mis+understand＝理解をミスすると覚える。</t>
    <rPh sb="15" eb="17">
      <t>リカイ</t>
    </rPh>
    <rPh sb="23" eb="24">
      <t>オボ</t>
    </rPh>
    <phoneticPr fontId="1"/>
  </si>
  <si>
    <t>under（間に）+standan（立つ）
understandan（事柄の間に立って把握する, 理解する）
&lt;span class="spacer"&gt;&lt;/span&gt;&lt;span class="obsolete"&gt;ここでのunderは「下に」ではなくinterのような「間に」という意味だと考えられる。&lt;/span&gt;</t>
    <rPh sb="6" eb="7">
      <t>アイダ</t>
    </rPh>
    <rPh sb="18" eb="19">
      <t>タ</t>
    </rPh>
    <rPh sb="35" eb="37">
      <t>コトガラ</t>
    </rPh>
    <rPh sb="38" eb="39">
      <t>アイダ</t>
    </rPh>
    <rPh sb="40" eb="41">
      <t>タ</t>
    </rPh>
    <rPh sb="43" eb="45">
      <t>ハアク</t>
    </rPh>
    <rPh sb="49" eb="51">
      <t>リカイ</t>
    </rPh>
    <rPh sb="117" eb="118">
      <t>シタ</t>
    </rPh>
    <rPh sb="134" eb="135">
      <t>アイダ</t>
    </rPh>
    <rPh sb="140" eb="142">
      <t>イミ</t>
    </rPh>
    <rPh sb="144" eb="145">
      <t>カンガ</t>
    </rPh>
    <phoneticPr fontId="1"/>
  </si>
  <si>
    <t>mis（誤って）+understonde（理解する）
misunderstonde（誤って理解する, 誤解する）</t>
    <rPh sb="4" eb="5">
      <t>アヤマ</t>
    </rPh>
    <rPh sb="21" eb="23">
      <t>リカイ</t>
    </rPh>
    <rPh sb="42" eb="43">
      <t>アヤマ</t>
    </rPh>
    <rPh sb="45" eb="47">
      <t>リカイ</t>
    </rPh>
    <rPh sb="51" eb="53">
      <t>ゴカイ</t>
    </rPh>
    <phoneticPr fontId="1"/>
  </si>
  <si>
    <t>punish</t>
    <phoneticPr fontId="1"/>
  </si>
  <si>
    <t>poena（罰, 刑罰：penaltyの語源）
&lt;span class="spacer"&gt;&lt;/span&gt;動詞になって
poenire
punire（罰する）</t>
    <rPh sb="6" eb="7">
      <t>バツ</t>
    </rPh>
    <rPh sb="9" eb="11">
      <t>ケイバツ</t>
    </rPh>
    <rPh sb="20" eb="22">
      <t>ゴゲン</t>
    </rPh>
    <rPh sb="52" eb="54">
      <t>ドウシ</t>
    </rPh>
    <rPh sb="74" eb="75">
      <t>バッ</t>
    </rPh>
    <phoneticPr fontId="1"/>
  </si>
  <si>
    <t>punir（罰する）
&lt;span class="spacer"&gt;&lt;/span&gt;現在分詞の一部puniss-</t>
    <rPh sb="6" eb="7">
      <t>バッ</t>
    </rPh>
    <rPh sb="39" eb="43">
      <t>ゲンザイブンシ</t>
    </rPh>
    <rPh sb="44" eb="46">
      <t>イチブ</t>
    </rPh>
    <phoneticPr fontId="1"/>
  </si>
  <si>
    <t>punishen
&lt;span class="spacer"&gt;&lt;/span&gt;1300年頃
罰する</t>
    <rPh sb="41" eb="42">
      <t>ネン</t>
    </rPh>
    <rPh sb="42" eb="43">
      <t>コロ</t>
    </rPh>
    <rPh sb="44" eb="45">
      <t>バッ</t>
    </rPh>
    <phoneticPr fontId="1"/>
  </si>
  <si>
    <t>ruin</t>
    <phoneticPr fontId="1"/>
  </si>
  <si>
    <t>ruere（崩れ落ちる）から派生したruina（崩壊, 破壊）</t>
    <rPh sb="6" eb="7">
      <t>クズ</t>
    </rPh>
    <rPh sb="8" eb="9">
      <t>オ</t>
    </rPh>
    <rPh sb="14" eb="16">
      <t>ハセイ</t>
    </rPh>
    <rPh sb="24" eb="26">
      <t>ホウカイ</t>
    </rPh>
    <rPh sb="28" eb="30">
      <t>ハカイ</t>
    </rPh>
    <phoneticPr fontId="1"/>
  </si>
  <si>
    <t>14世紀
ruiner（崩壊させる, 破壊する）</t>
    <rPh sb="2" eb="4">
      <t>セイキ</t>
    </rPh>
    <rPh sb="12" eb="14">
      <t>ホウカイ</t>
    </rPh>
    <rPh sb="19" eb="21">
      <t>ハカイ</t>
    </rPh>
    <phoneticPr fontId="1"/>
  </si>
  <si>
    <t>1580年代
ある場所を破滅させる
&lt;span class="spacer"&gt;&lt;/span&gt;1650年代
破滅させる
修復不可能な損害を与える</t>
    <rPh sb="4" eb="6">
      <t>ネンダイ</t>
    </rPh>
    <rPh sb="9" eb="11">
      <t>バショ</t>
    </rPh>
    <rPh sb="12" eb="14">
      <t>ハメツ</t>
    </rPh>
    <rPh sb="50" eb="52">
      <t>ネンダイ</t>
    </rPh>
    <rPh sb="53" eb="55">
      <t>ハメツ</t>
    </rPh>
    <rPh sb="59" eb="64">
      <t>シュウフクフカノウ</t>
    </rPh>
    <rPh sb="65" eb="67">
      <t>ソンガイ</t>
    </rPh>
    <rPh sb="68" eb="69">
      <t>アタ</t>
    </rPh>
    <phoneticPr fontId="1"/>
  </si>
  <si>
    <t>defend</t>
    <phoneticPr fontId="1"/>
  </si>
  <si>
    <t>de（離れて）＋~fendere（打つ, 当てる）
defendere（打ち返す, 退ける, 守る）</t>
    <rPh sb="3" eb="4">
      <t>ハナ</t>
    </rPh>
    <rPh sb="17" eb="18">
      <t>ウ</t>
    </rPh>
    <rPh sb="21" eb="22">
      <t>ア</t>
    </rPh>
    <rPh sb="36" eb="37">
      <t>ウ</t>
    </rPh>
    <rPh sb="38" eb="39">
      <t>カエ</t>
    </rPh>
    <rPh sb="42" eb="43">
      <t>シリゾ</t>
    </rPh>
    <rPh sb="47" eb="48">
      <t>マモ</t>
    </rPh>
    <phoneticPr fontId="1"/>
  </si>
  <si>
    <t>12世紀
defendre（防衛する, 抵抗する）</t>
    <rPh sb="2" eb="4">
      <t>セイキ</t>
    </rPh>
    <rPh sb="14" eb="16">
      <t>ボウエイ</t>
    </rPh>
    <rPh sb="20" eb="22">
      <t>テイコウ</t>
    </rPh>
    <phoneticPr fontId="1"/>
  </si>
  <si>
    <t>defenden
&lt;span class="spacer"&gt;&lt;/span&gt;13世紀半ば
攻撃から守る
&lt;span class="spacer"&gt;&lt;/span&gt;1300年頃
人や物のために戦って守る
&lt;span class="spacer"&gt;&lt;/span&gt;14世紀半ば
言葉で守る, 弁護する</t>
    <rPh sb="44" eb="46">
      <t>コウゲキ</t>
    </rPh>
    <rPh sb="48" eb="49">
      <t>マモ</t>
    </rPh>
    <rPh sb="83" eb="85">
      <t>ネンコロ</t>
    </rPh>
    <rPh sb="86" eb="87">
      <t>ヒト</t>
    </rPh>
    <rPh sb="88" eb="89">
      <t>モノ</t>
    </rPh>
    <rPh sb="93" eb="94">
      <t>タタカ</t>
    </rPh>
    <rPh sb="96" eb="97">
      <t>マモ</t>
    </rPh>
    <rPh sb="129" eb="131">
      <t>セイキ</t>
    </rPh>
    <rPh sb="131" eb="132">
      <t>ナカ</t>
    </rPh>
    <rPh sb="134" eb="136">
      <t>コトバ</t>
    </rPh>
    <rPh sb="137" eb="138">
      <t>マモ</t>
    </rPh>
    <rPh sb="141" eb="143">
      <t>ベンゴ</t>
    </rPh>
    <phoneticPr fontId="1"/>
  </si>
  <si>
    <t>embrace</t>
    <phoneticPr fontId="1"/>
  </si>
  <si>
    <t>brakhion（腕）</t>
    <rPh sb="9" eb="10">
      <t>ウデ</t>
    </rPh>
    <phoneticPr fontId="1"/>
  </si>
  <si>
    <t>bracchium（腕）</t>
    <rPh sb="10" eb="11">
      <t>ウデ</t>
    </rPh>
    <phoneticPr fontId="1"/>
  </si>
  <si>
    <t>12世紀
em（中に）+brace（腕）
embracier（腕の中に抱きしめる, 囲い込む）</t>
    <rPh sb="2" eb="4">
      <t>セイキ</t>
    </rPh>
    <rPh sb="8" eb="9">
      <t>ナカ</t>
    </rPh>
    <rPh sb="31" eb="32">
      <t>ウデ</t>
    </rPh>
    <rPh sb="33" eb="34">
      <t>ナカ</t>
    </rPh>
    <rPh sb="35" eb="36">
      <t>ダ</t>
    </rPh>
    <rPh sb="42" eb="43">
      <t>カコ</t>
    </rPh>
    <rPh sb="44" eb="45">
      <t>コ</t>
    </rPh>
    <phoneticPr fontId="1"/>
  </si>
  <si>
    <t>14世紀半ば
腕の中に抱きしめる</t>
    <rPh sb="2" eb="5">
      <t>セイキナカ</t>
    </rPh>
    <rPh sb="7" eb="8">
      <t>ウデ</t>
    </rPh>
    <rPh sb="9" eb="10">
      <t>ナカ</t>
    </rPh>
    <rPh sb="11" eb="12">
      <t>ダ</t>
    </rPh>
    <phoneticPr fontId="1"/>
  </si>
  <si>
    <t>modify</t>
    <phoneticPr fontId="1"/>
  </si>
  <si>
    <t>modus（尺度, 方法）＋facere（行う, 作る）
modificare（測って作る, 制限する, 調整する）</t>
    <rPh sb="6" eb="8">
      <t>シャクド</t>
    </rPh>
    <rPh sb="10" eb="12">
      <t>ホウホウ</t>
    </rPh>
    <rPh sb="21" eb="22">
      <t>オコナ</t>
    </rPh>
    <rPh sb="25" eb="26">
      <t>ツク</t>
    </rPh>
    <rPh sb="40" eb="41">
      <t>ハカ</t>
    </rPh>
    <rPh sb="43" eb="44">
      <t>ツク</t>
    </rPh>
    <rPh sb="47" eb="49">
      <t>セイゲン</t>
    </rPh>
    <rPh sb="53" eb="55">
      <t>チョウセイ</t>
    </rPh>
    <phoneticPr fontId="1"/>
  </si>
  <si>
    <t>14世紀
modifier</t>
    <rPh sb="2" eb="4">
      <t>セイキ</t>
    </rPh>
    <phoneticPr fontId="1"/>
  </si>
  <si>
    <t>modifien
&lt;span class="spacer"&gt;&lt;/span&gt;14世紀後期
修正する, 調整する, 制限を設ける</t>
    <rPh sb="39" eb="43">
      <t>セイキコウキ</t>
    </rPh>
    <rPh sb="44" eb="46">
      <t>シュウセイ</t>
    </rPh>
    <rPh sb="50" eb="52">
      <t>チョウセイ</t>
    </rPh>
    <rPh sb="56" eb="58">
      <t>セイゲン</t>
    </rPh>
    <rPh sb="59" eb="60">
      <t>モウ</t>
    </rPh>
    <phoneticPr fontId="1"/>
  </si>
  <si>
    <t>qualify</t>
    <phoneticPr fontId="1"/>
  </si>
  <si>
    <t>qualis（どのような性質の）＋facere（行う, 作る）</t>
    <rPh sb="12" eb="14">
      <t>セイシツ</t>
    </rPh>
    <rPh sb="24" eb="25">
      <t>オコナ</t>
    </rPh>
    <rPh sb="28" eb="29">
      <t>ツク</t>
    </rPh>
    <phoneticPr fontId="1"/>
  </si>
  <si>
    <t>15世紀
qualifier</t>
    <rPh sb="2" eb="4">
      <t>セイキ</t>
    </rPh>
    <phoneticPr fontId="1"/>
  </si>
  <si>
    <t>15世紀半ば
特定の性質を与える</t>
    <rPh sb="2" eb="5">
      <t>セイキナカ</t>
    </rPh>
    <rPh sb="7" eb="9">
      <t>トクテイ</t>
    </rPh>
    <rPh sb="10" eb="12">
      <t>セイシツ</t>
    </rPh>
    <rPh sb="13" eb="14">
      <t>アタ</t>
    </rPh>
    <phoneticPr fontId="1"/>
  </si>
  <si>
    <t>pathos（苦しみ, 感情, 情動）</t>
  </si>
  <si>
    <t>pati（耐える, 受ける, 経験する）</t>
  </si>
  <si>
    <t>patiの過去分詞passus
&lt;span class="spacer"&gt;&lt;/span&gt;名詞を作る-ioが付いて
passio（耐えること, 苦しみ, 感情, 情動）
&lt;span class="spacer"&gt;&lt;/span&gt;passioはギリシャ語のpathos（苦しみ, 感情, 情動）の翻訳語として使われたため、passioも「感情, 情動」という意味を獲得</t>
  </si>
  <si>
    <t>10世紀
passion（キリストの受難, 肉体的苦痛）
&lt;span class="spacer"&gt;&lt;/span&gt;&lt;span class="obsolete"&gt;キリストの受難とは、キリストがローマ帝国に捕まり、十字架にかけられて亡くなるまでに受けた苦痛のこと&lt;/span&gt;</t>
  </si>
  <si>
    <t>1200年頃
十字架上におけるキリストの苦難
キリストの死
&lt;span class="spacer"&gt;&lt;/span&gt;13世紀初頭までに
キリスト教から一般的な意味での苦痛, 痛み
&lt;span class="spacer"&gt;&lt;/span&gt;14世紀後期
感情, 強烈な感情</t>
  </si>
  <si>
    <t>enthusiasmus</t>
  </si>
  <si>
    <t>16世紀
enthousiasme</t>
  </si>
  <si>
    <t>1650年代
自分たちは神からの啓示があるという自負による過度な宗教的感情
&lt;span class="spacer"&gt;&lt;/span&gt;1716年までに
熱意, 熱狂</t>
  </si>
  <si>
    <t>phases</t>
  </si>
  <si>
    <t>1705年
月の位相
特定の時期に月が見せる周期的に繰り返される特定の見え方
&lt;span class="spacer"&gt;&lt;/span&gt;1841年までに
一般的な意味で、段階, 局面, 様相</t>
  </si>
  <si>
    <t>modus（尺度, 方法）</t>
  </si>
  <si>
    <t>14世紀後期
方法</t>
  </si>
  <si>
    <t>1660年代
行為や実行の仕方
物事が行われる方式</t>
  </si>
  <si>
    <t>span（広げた親指と、中指もしくは小指との間の距離）</t>
  </si>
  <si>
    <t>spanne（長さの単位, 2つの物体間の距離）</t>
  </si>
  <si>
    <t>1590年代
あらゆる短い空間
2つの時点の間の期間
&lt;span class="spacer"&gt;&lt;/span&gt;1630年代
何かが引き伸ばされた全範囲</t>
  </si>
  <si>
    <t>13世紀
gravité（真面目さ）</t>
  </si>
  <si>
    <t>1500年頃
重み, 真面目さ, 重要性
&lt;span class="spacer"&gt;&lt;/span&gt;1620年代
地球の引力による地上の物体のした方向への加速度
引力, 重力</t>
  </si>
  <si>
    <t>orbita（車輪の跡, 踏み固められた道, 進路, 惑星の円形の進路）</t>
  </si>
  <si>
    <t>orbita
眼窩（眼球が入る頭蓋骨の空洞部分）</t>
  </si>
  <si>
    <t>orbite</t>
  </si>
  <si>
    <t>14世紀後期
眼窩</t>
  </si>
  <si>
    <t>1690年代
惑星や彗星の軌道
（後に人工衛星の軌道という意味も追加）</t>
  </si>
  <si>
    <t>oid</t>
  </si>
  <si>
    <t>aster（星）＋eidos（形をした, 〜のような）
asteroeides（星のような, 星状の）</t>
  </si>
  <si>
    <t>1802年
火星と木星の間に多く存在する小惑星
（イギリス人天文学者ウィリアム・ハーシェルによってasteroeidesから造語された）</t>
  </si>
  <si>
    <t>cor（心, 心臓）</t>
  </si>
  <si>
    <t>cor（心臓, 果実や野菜の芯）</t>
  </si>
  <si>
    <t>14世紀初頭
何らかのものの中心
最も内側にある部分</t>
  </si>
  <si>
    <t>sawol（人の精神や感情, 命, 亡くなった人の霊魂）
&lt;span class="spacer"&gt;&lt;/span&gt;&lt;span class="obsolete"&gt;sawolは、「海から来た, 海に属するもの」という意味だったのではないかと推測される。海は生前や死後の魂が存在する場所と考えられていたため。&lt;/span&gt;</t>
  </si>
  <si>
    <t>nervus（腱, 弓の弦）</t>
  </si>
  <si>
    <t>nervus（神経）</t>
  </si>
  <si>
    <t>nerf</t>
  </si>
  <si>
    <t xml:space="preserve">nerve
&lt;span class="spacer"&gt;&lt;/span&gt;14世紀後期
&lt;span class="obsolete"&gt;腱, 体のすじ（現在は廃用）&lt;/span&gt;
感覚や運動を伝える線維束, 神経 </t>
  </si>
  <si>
    <t>1600年頃
腱という意味から発展して
力, エネルギー, 精神的な強さ
&lt;span class="spacer"&gt;&lt;/span&gt;1809年までに
危険や困難に直面したときの冷静さ, 度胸
&lt;span class="spacer"&gt;&lt;/span&gt;1890年までに
神経過敏
&lt;span class="spacer"&gt;&lt;/span&gt;1895年から
get on someone's nerves（人の神経にさわる）</t>
  </si>
  <si>
    <t>in（中に）＋facere（行う, 作る）
inficere（汚す, 染める, 汚染する）
&lt;span class="spacer"&gt;&lt;/span&gt;過去分詞infectus</t>
  </si>
  <si>
    <t>infectusに名詞を作る-ioが付いて
infectio（感染, 伝染）</t>
  </si>
  <si>
    <t>13世紀
infeccion（汚染, 感染）</t>
  </si>
  <si>
    <t>14世紀後期
伝染病, 汚染された状態</t>
  </si>
  <si>
    <t>1540年代
空気や水を媒介した感染</t>
  </si>
  <si>
    <t>日本語でも使われるショッピングモール関連させて覚える。</t>
  </si>
  <si>
    <t>palla（球）＋maglio（木槌, ハンマー）
pallamaglio（木槌で球を打つゴルフのような競技）</t>
  </si>
  <si>
    <t>pallemaille（ペルメル）</t>
  </si>
  <si>
    <t>1951年から
歩行者用に整備された都市の通り
&lt;span class="spacer"&gt;&lt;/span&gt;1962年から
囲いのある屋内型商業施設</t>
  </si>
  <si>
    <t>grossus（厚い, 粗い）</t>
  </si>
  <si>
    <t>grossier（卸売商人）
grosserie</t>
  </si>
  <si>
    <t>15世紀半ば
食料雑貨商によって販売される商品</t>
  </si>
  <si>
    <t>1803年までに
食料雑貨店
&lt;span class="spacer"&gt;&lt;/span&gt;19世紀半ば
groceryが食料雑貨店という意味になったので、複数形groceriesが食料雑貨店で販売される商品に限定される</t>
  </si>
  <si>
    <t>855</t>
    <phoneticPr fontId="1"/>
  </si>
  <si>
    <t>umor（体液）</t>
  </si>
  <si>
    <t>humour（医学的体液）</t>
  </si>
  <si>
    <t>14世紀半ば
動物または植物の体液</t>
  </si>
  <si>
    <t>instinct</t>
    <phoneticPr fontId="1"/>
  </si>
  <si>
    <t>stinct</t>
  </si>
  <si>
    <t>in（中に）＋stinguere（刺す, 駆り立てる）
instinguere（刺激する, 駆り立てる）
&lt;span class="spacer"&gt;&lt;/span&gt;過去分詞instinctus（衝動）</t>
    <rPh sb="17" eb="18">
      <t>サ</t>
    </rPh>
    <rPh sb="21" eb="22">
      <t>カ</t>
    </rPh>
    <rPh sb="23" eb="24">
      <t>タ</t>
    </rPh>
    <rPh sb="40" eb="42">
      <t>シゲキ</t>
    </rPh>
    <rPh sb="46" eb="47">
      <t>カ</t>
    </rPh>
    <rPh sb="48" eb="49">
      <t>タ</t>
    </rPh>
    <rPh sb="96" eb="98">
      <t>ショウドウ</t>
    </rPh>
    <phoneticPr fontId="1"/>
  </si>
  <si>
    <t>14世紀
instinct</t>
    <rPh sb="2" eb="4">
      <t>セイキ</t>
    </rPh>
    <phoneticPr fontId="1"/>
  </si>
  <si>
    <t>15世紀初頭
&lt;span class="obsolete"&gt;
促すこと（現在は廃用）&lt;/span&gt;
&lt;span class="spacer"&gt;&lt;/span&gt;15世紀半ば
自然な促し＝動物の直感的な知的能力</t>
    <rPh sb="2" eb="6">
      <t>セイキショトウ</t>
    </rPh>
    <rPh sb="31" eb="32">
      <t>ウナガ</t>
    </rPh>
    <rPh sb="80" eb="82">
      <t>セイキ</t>
    </rPh>
    <rPh sb="82" eb="83">
      <t>ナカ</t>
    </rPh>
    <rPh sb="85" eb="87">
      <t>シゼン</t>
    </rPh>
    <rPh sb="88" eb="89">
      <t>ウナガ</t>
    </rPh>
    <rPh sb="91" eb="93">
      <t>ドウブツ</t>
    </rPh>
    <rPh sb="94" eb="96">
      <t>チョッカン</t>
    </rPh>
    <rPh sb="96" eb="97">
      <t>テキ</t>
    </rPh>
    <rPh sb="98" eb="102">
      <t>チテキノウリョク</t>
    </rPh>
    <phoneticPr fontId="1"/>
  </si>
  <si>
    <t>1560年代
自然な傾向, 衝動</t>
    <rPh sb="4" eb="6">
      <t>ネンダイ</t>
    </rPh>
    <rPh sb="7" eb="9">
      <t>シゼン</t>
    </rPh>
    <rPh sb="10" eb="12">
      <t>ケイコウ</t>
    </rPh>
    <rPh sb="14" eb="16">
      <t>ショウドウ</t>
    </rPh>
    <phoneticPr fontId="1"/>
  </si>
  <si>
    <t>faith</t>
    <phoneticPr fontId="1"/>
  </si>
  <si>
    <t>fidere（信頼する）
&lt;span class="spacer"&gt;&lt;/span&gt;fides（信頼, 信仰）</t>
    <rPh sb="7" eb="9">
      <t>シンライ</t>
    </rPh>
    <rPh sb="47" eb="49">
      <t>シンライ</t>
    </rPh>
    <rPh sb="51" eb="53">
      <t>シンコウ</t>
    </rPh>
    <phoneticPr fontId="1"/>
  </si>
  <si>
    <t>11世紀
feid（信仰, 信頼）</t>
    <rPh sb="2" eb="4">
      <t>セイキ</t>
    </rPh>
    <rPh sb="10" eb="12">
      <t>シンコウ</t>
    </rPh>
    <rPh sb="14" eb="16">
      <t>シンライ</t>
    </rPh>
    <phoneticPr fontId="1"/>
  </si>
  <si>
    <t>faith
&lt;span class="spacer"&gt;&lt;/span&gt;13世紀半ば
真実味
約束への忠実さ
人物への忠誠
&lt;span class="spacer"&gt;&lt;/span&gt;14世紀初頭
確たる証拠がない記述を真実であると信頼すること
特に宗教的事柄に対する信念
&lt;span class="spacer"&gt;&lt;/span&gt;14世紀半ば
キリスト教への信仰
&lt;span class="spacer"&gt;&lt;/span&gt;14世紀後期
あらゆる宗教における信仰</t>
    <rPh sb="36" eb="38">
      <t>セイキ</t>
    </rPh>
    <rPh sb="38" eb="39">
      <t>ナカ</t>
    </rPh>
    <rPh sb="41" eb="44">
      <t>シンジツミ</t>
    </rPh>
    <rPh sb="45" eb="47">
      <t>ヤクソク</t>
    </rPh>
    <rPh sb="49" eb="51">
      <t>チュウジツ</t>
    </rPh>
    <rPh sb="53" eb="55">
      <t>ジンブツ</t>
    </rPh>
    <rPh sb="57" eb="59">
      <t>チュウセイ</t>
    </rPh>
    <rPh sb="92" eb="94">
      <t>ショトウ</t>
    </rPh>
    <rPh sb="95" eb="96">
      <t>カク</t>
    </rPh>
    <rPh sb="98" eb="100">
      <t>ショウコ</t>
    </rPh>
    <rPh sb="103" eb="105">
      <t>キジュツ</t>
    </rPh>
    <rPh sb="106" eb="108">
      <t>シンジツ</t>
    </rPh>
    <rPh sb="112" eb="114">
      <t>シンライ</t>
    </rPh>
    <rPh sb="119" eb="120">
      <t>トク</t>
    </rPh>
    <rPh sb="121" eb="124">
      <t>シュウキョウテキ</t>
    </rPh>
    <rPh sb="124" eb="126">
      <t>コトガラ</t>
    </rPh>
    <rPh sb="127" eb="128">
      <t>タイ</t>
    </rPh>
    <rPh sb="130" eb="132">
      <t>シンネン</t>
    </rPh>
    <rPh sb="172" eb="173">
      <t>キョウ</t>
    </rPh>
    <rPh sb="175" eb="177">
      <t>シンコウ</t>
    </rPh>
    <rPh sb="210" eb="212">
      <t>コウキ</t>
    </rPh>
    <rPh sb="217" eb="219">
      <t>シュウキョウ</t>
    </rPh>
    <rPh sb="223" eb="225">
      <t>シンコウ</t>
    </rPh>
    <phoneticPr fontId="1"/>
  </si>
  <si>
    <t>俗ラテン語の-āticum部分が名詞を作る-ageに変化
corage（心, 勇気）</t>
    <rPh sb="0" eb="1">
      <t>ゾク</t>
    </rPh>
    <rPh sb="4" eb="5">
      <t>ゴ</t>
    </rPh>
    <rPh sb="13" eb="15">
      <t>ブブン</t>
    </rPh>
    <rPh sb="16" eb="18">
      <t>メイシ</t>
    </rPh>
    <rPh sb="19" eb="20">
      <t>ツク</t>
    </rPh>
    <rPh sb="26" eb="28">
      <t>ヘンカ</t>
    </rPh>
    <rPh sb="36" eb="37">
      <t>ココロ</t>
    </rPh>
    <rPh sb="39" eb="41">
      <t>ユウキ</t>
    </rPh>
    <phoneticPr fontId="1"/>
  </si>
  <si>
    <t>1300年頃
感情の在り処としての心
精神, 気質, 心の状態
&lt;span class="spacer"&gt;&lt;/span&gt;14世紀後期
恐れず危険や困難に立ち向かう精神の資質
勇気
&lt;span class="spacer"&gt;&lt;/span&gt;&lt;span class="obsolete"&gt;中英語期は感情一般や思考一般を意味したが、後に勇気へと限定されていった&lt;/span&gt;</t>
    <rPh sb="4" eb="6">
      <t>ネンコロ</t>
    </rPh>
    <rPh sb="7" eb="9">
      <t>カンジョウ</t>
    </rPh>
    <rPh sb="10" eb="11">
      <t>ア</t>
    </rPh>
    <rPh sb="12" eb="13">
      <t>カ</t>
    </rPh>
    <rPh sb="17" eb="18">
      <t>ココロ</t>
    </rPh>
    <rPh sb="19" eb="21">
      <t>セイシン</t>
    </rPh>
    <rPh sb="23" eb="25">
      <t>キシツ</t>
    </rPh>
    <rPh sb="27" eb="28">
      <t>ココロ</t>
    </rPh>
    <rPh sb="29" eb="31">
      <t>ジョウタイ</t>
    </rPh>
    <rPh sb="62" eb="64">
      <t>セイキ</t>
    </rPh>
    <rPh sb="64" eb="66">
      <t>コウキ</t>
    </rPh>
    <rPh sb="67" eb="68">
      <t>オソ</t>
    </rPh>
    <rPh sb="70" eb="72">
      <t>キケン</t>
    </rPh>
    <rPh sb="73" eb="75">
      <t>コンナン</t>
    </rPh>
    <rPh sb="76" eb="77">
      <t>タ</t>
    </rPh>
    <rPh sb="78" eb="79">
      <t>ム</t>
    </rPh>
    <rPh sb="81" eb="83">
      <t>セイシン</t>
    </rPh>
    <rPh sb="84" eb="86">
      <t>シシツ</t>
    </rPh>
    <rPh sb="87" eb="89">
      <t>ユウキ</t>
    </rPh>
    <rPh sb="146" eb="148">
      <t>カンジョウ</t>
    </rPh>
    <rPh sb="148" eb="150">
      <t>イッパン</t>
    </rPh>
    <rPh sb="151" eb="153">
      <t>シコウ</t>
    </rPh>
    <rPh sb="153" eb="155">
      <t>イッパン</t>
    </rPh>
    <rPh sb="156" eb="158">
      <t>イミ</t>
    </rPh>
    <rPh sb="162" eb="163">
      <t>ノチ</t>
    </rPh>
    <rPh sb="164" eb="166">
      <t>ユウキ</t>
    </rPh>
    <rPh sb="168" eb="170">
      <t>ゲンテイ</t>
    </rPh>
    <phoneticPr fontId="1"/>
  </si>
  <si>
    <t>incentive</t>
    <phoneticPr fontId="1"/>
  </si>
  <si>
    <t>1948年から
より懸命な労働を促すための報酬
報奨金</t>
    <rPh sb="4" eb="5">
      <t>ネン</t>
    </rPh>
    <rPh sb="10" eb="12">
      <t>ケンメイ</t>
    </rPh>
    <rPh sb="13" eb="15">
      <t>ロウドウ</t>
    </rPh>
    <rPh sb="16" eb="17">
      <t>ウナガ</t>
    </rPh>
    <rPh sb="21" eb="23">
      <t>ホウシュウ</t>
    </rPh>
    <rPh sb="24" eb="27">
      <t>ホウショウキン</t>
    </rPh>
    <phoneticPr fontId="1"/>
  </si>
  <si>
    <t>prospect</t>
    <phoneticPr fontId="1"/>
  </si>
  <si>
    <t>spect</t>
  </si>
  <si>
    <t>pro（前へ）＋specere（見る）
prospicere（前方を見る, 見渡す, 見通す）
&lt;span class="spacer"&gt;&lt;/span&gt;過去分詞prospectus（遠くの景色, 視界）</t>
    <rPh sb="4" eb="5">
      <t>マエ</t>
    </rPh>
    <rPh sb="16" eb="17">
      <t>ミ</t>
    </rPh>
    <rPh sb="91" eb="92">
      <t>トオ</t>
    </rPh>
    <rPh sb="94" eb="96">
      <t>ケシキ</t>
    </rPh>
    <rPh sb="98" eb="100">
      <t>シカイ</t>
    </rPh>
    <phoneticPr fontId="1"/>
  </si>
  <si>
    <t>15世紀初頭
遠くを見渡すこと
ある方向を向いている状態</t>
    <rPh sb="7" eb="8">
      <t>トオ</t>
    </rPh>
    <rPh sb="10" eb="12">
      <t>ミワタ</t>
    </rPh>
    <rPh sb="18" eb="20">
      <t>ホウコウ</t>
    </rPh>
    <rPh sb="21" eb="22">
      <t>ム</t>
    </rPh>
    <rPh sb="26" eb="28">
      <t>ジョウタイ</t>
    </rPh>
    <phoneticPr fontId="1"/>
  </si>
  <si>
    <t>1530年代
風景の広がった眺め, 視界に入る景色
&lt;span class="spacer"&gt;&lt;/span&gt;1620年代
思考上の展望
&lt;span class="spacer"&gt;&lt;/span&gt;1630年代
目に映る光景
&lt;span class="spacer"&gt;&lt;/span&gt;1660年代
未来への期待</t>
    <rPh sb="4" eb="6">
      <t>ネンダイ</t>
    </rPh>
    <rPh sb="7" eb="9">
      <t>フウケイ</t>
    </rPh>
    <rPh sb="10" eb="11">
      <t>ヒロ</t>
    </rPh>
    <rPh sb="14" eb="15">
      <t>ナガ</t>
    </rPh>
    <rPh sb="18" eb="20">
      <t>シカイ</t>
    </rPh>
    <rPh sb="21" eb="22">
      <t>ハイ</t>
    </rPh>
    <rPh sb="23" eb="25">
      <t>ケシキ</t>
    </rPh>
    <rPh sb="58" eb="60">
      <t>ネンダイ</t>
    </rPh>
    <rPh sb="61" eb="64">
      <t>シコウジョウ</t>
    </rPh>
    <rPh sb="65" eb="67">
      <t>テンボウ</t>
    </rPh>
    <rPh sb="100" eb="102">
      <t>ネンダイ</t>
    </rPh>
    <rPh sb="103" eb="104">
      <t>メ</t>
    </rPh>
    <rPh sb="105" eb="106">
      <t>ウツ</t>
    </rPh>
    <rPh sb="107" eb="109">
      <t>コウケイ</t>
    </rPh>
    <rPh sb="142" eb="144">
      <t>ネンダイ</t>
    </rPh>
    <rPh sb="145" eb="147">
      <t>ミライ</t>
    </rPh>
    <rPh sb="149" eb="151">
      <t>キタイ</t>
    </rPh>
    <phoneticPr fontId="1"/>
  </si>
  <si>
    <t>1922年、前を見る・期待という意味から発展して
将来有望な人</t>
    <rPh sb="4" eb="5">
      <t>ネン</t>
    </rPh>
    <rPh sb="6" eb="7">
      <t>マエ</t>
    </rPh>
    <rPh sb="8" eb="9">
      <t>ミ</t>
    </rPh>
    <rPh sb="11" eb="13">
      <t>キタイ</t>
    </rPh>
    <rPh sb="16" eb="18">
      <t>イミ</t>
    </rPh>
    <rPh sb="20" eb="22">
      <t>ハッテン</t>
    </rPh>
    <rPh sb="25" eb="27">
      <t>ショウライ</t>
    </rPh>
    <rPh sb="27" eb="29">
      <t>ユウボウ</t>
    </rPh>
    <rPh sb="30" eb="31">
      <t>ヒト</t>
    </rPh>
    <phoneticPr fontId="1"/>
  </si>
  <si>
    <t>obstacle</t>
    <phoneticPr fontId="1"/>
  </si>
  <si>
    <t>13世紀
obstacle（反対, 妨害, 障害）</t>
    <rPh sb="2" eb="4">
      <t>セイキ</t>
    </rPh>
    <rPh sb="14" eb="16">
      <t>ハンタイ</t>
    </rPh>
    <rPh sb="18" eb="20">
      <t>ボウガイ</t>
    </rPh>
    <rPh sb="22" eb="24">
      <t>ショウガイ</t>
    </rPh>
    <phoneticPr fontId="1"/>
  </si>
  <si>
    <t>14世紀半ば
妨げ, 障害, 立ちはだかるもの</t>
    <rPh sb="2" eb="4">
      <t>セイキ</t>
    </rPh>
    <rPh sb="4" eb="5">
      <t>ナカ</t>
    </rPh>
    <rPh sb="7" eb="8">
      <t>サマタ</t>
    </rPh>
    <rPh sb="11" eb="13">
      <t>ショウガイ</t>
    </rPh>
    <rPh sb="15" eb="16">
      <t>タ</t>
    </rPh>
    <phoneticPr fontId="1"/>
  </si>
  <si>
    <t>architecture</t>
    <phoneticPr fontId="1"/>
  </si>
  <si>
    <t>archi</t>
  </si>
  <si>
    <t>arkhi（首位の）+tekton（大工）
arkhitekton（主任の建築者, 大工の棟梁）</t>
    <rPh sb="6" eb="8">
      <t>シュイ</t>
    </rPh>
    <rPh sb="18" eb="20">
      <t>ダイク</t>
    </rPh>
    <rPh sb="34" eb="36">
      <t>シュニン</t>
    </rPh>
    <rPh sb="37" eb="40">
      <t>ケンチクシャ</t>
    </rPh>
    <rPh sb="42" eb="44">
      <t>ダイク</t>
    </rPh>
    <rPh sb="45" eb="47">
      <t>トウリョウ</t>
    </rPh>
    <phoneticPr fontId="1"/>
  </si>
  <si>
    <t>architectus（建築家, 棟梁）
architectus（建築の技術）</t>
    <rPh sb="12" eb="15">
      <t>ケンチクカ</t>
    </rPh>
    <rPh sb="17" eb="19">
      <t>トウリョウ</t>
    </rPh>
    <rPh sb="33" eb="35">
      <t>ケンチク</t>
    </rPh>
    <rPh sb="36" eb="38">
      <t>ギジュツ</t>
    </rPh>
    <phoneticPr fontId="1"/>
  </si>
  <si>
    <t>1560年代
建築の技術
建築の様式
&lt;span class="spacer"&gt;&lt;/span&gt;1610年代
建築された建築物</t>
    <rPh sb="4" eb="6">
      <t>ネンダイ</t>
    </rPh>
    <rPh sb="7" eb="9">
      <t>ケンチク</t>
    </rPh>
    <rPh sb="10" eb="12">
      <t>ギジュツ</t>
    </rPh>
    <rPh sb="13" eb="15">
      <t>ケンチク</t>
    </rPh>
    <rPh sb="16" eb="18">
      <t>ヨウシキ</t>
    </rPh>
    <rPh sb="51" eb="53">
      <t>ネンダイ</t>
    </rPh>
    <rPh sb="54" eb="56">
      <t>ケンチク</t>
    </rPh>
    <rPh sb="59" eb="62">
      <t>ケンチクブツ</t>
    </rPh>
    <phoneticPr fontId="1"/>
  </si>
  <si>
    <t>stem</t>
    <phoneticPr fontId="1"/>
  </si>
  <si>
    <t>*sta-（立つ）</t>
    <rPh sb="6" eb="7">
      <t>タ</t>
    </rPh>
    <phoneticPr fontId="1"/>
  </si>
  <si>
    <t>stemme（樹木の主要部分, 木の幹）</t>
    <rPh sb="7" eb="9">
      <t>ジュモク</t>
    </rPh>
    <rPh sb="10" eb="14">
      <t>シュヨウブブン</t>
    </rPh>
    <rPh sb="16" eb="17">
      <t>キ</t>
    </rPh>
    <rPh sb="18" eb="19">
      <t>ミキ</t>
    </rPh>
    <phoneticPr fontId="1"/>
  </si>
  <si>
    <t>1550年代までに
船首
&lt;span class="spacer"&gt;&lt;/span&gt;1590年代までに
植物の花を支える茎
&lt;span class="spacer"&gt;&lt;/span&gt;1830年から
言語学において、語形変化で変わらない部分の語幹
&lt;span class="spacer"&gt;&lt;/span&gt;1835年までに
ワイングラスの脚</t>
    <rPh sb="4" eb="6">
      <t>ネンダイ</t>
    </rPh>
    <rPh sb="10" eb="12">
      <t>センシュ</t>
    </rPh>
    <rPh sb="45" eb="47">
      <t>ネンダイ</t>
    </rPh>
    <rPh sb="51" eb="53">
      <t>ショクブツ</t>
    </rPh>
    <rPh sb="54" eb="55">
      <t>ハナ</t>
    </rPh>
    <rPh sb="56" eb="57">
      <t>ササ</t>
    </rPh>
    <rPh sb="59" eb="60">
      <t>クキ</t>
    </rPh>
    <rPh sb="93" eb="94">
      <t>ネン</t>
    </rPh>
    <rPh sb="97" eb="100">
      <t>ゲンゴガク</t>
    </rPh>
    <rPh sb="105" eb="109">
      <t>ゴケイヘンカ</t>
    </rPh>
    <rPh sb="110" eb="111">
      <t>カ</t>
    </rPh>
    <rPh sb="115" eb="117">
      <t>ブブン</t>
    </rPh>
    <rPh sb="118" eb="120">
      <t>ゴカン</t>
    </rPh>
    <rPh sb="153" eb="154">
      <t>ネン</t>
    </rPh>
    <rPh sb="165" eb="166">
      <t>アシ</t>
    </rPh>
    <phoneticPr fontId="1"/>
  </si>
  <si>
    <t>illusion</t>
    <phoneticPr fontId="1"/>
  </si>
  <si>
    <t>in（～に対して）＋ludere（遊ぶ）
illudere（からかう, 弄ぶ）
&lt;span class="spacer"&gt;&lt;/span&gt;名詞を作る-ioが付いて
illusio（あざけり, 冗談, 冷やかし）</t>
    <rPh sb="5" eb="6">
      <t>タイ</t>
    </rPh>
    <rPh sb="17" eb="18">
      <t>アソ</t>
    </rPh>
    <rPh sb="36" eb="37">
      <t>モテアソ</t>
    </rPh>
    <rPh sb="68" eb="70">
      <t>メイシ</t>
    </rPh>
    <rPh sb="71" eb="72">
      <t>ツク</t>
    </rPh>
    <rPh sb="77" eb="78">
      <t>ツ</t>
    </rPh>
    <rPh sb="95" eb="97">
      <t>ジョウダン</t>
    </rPh>
    <rPh sb="99" eb="100">
      <t>ヒ</t>
    </rPh>
    <phoneticPr fontId="1"/>
  </si>
  <si>
    <t>教会ラテン語</t>
    <rPh sb="0" eb="2">
      <t>キョウカイ</t>
    </rPh>
    <rPh sb="5" eb="6">
      <t>ゴ</t>
    </rPh>
    <phoneticPr fontId="1"/>
  </si>
  <si>
    <t>人の心を欺く
紛らわしい外観, 虚偽の見かけ</t>
    <rPh sb="0" eb="1">
      <t>ヒト</t>
    </rPh>
    <rPh sb="2" eb="3">
      <t>ココロ</t>
    </rPh>
    <rPh sb="4" eb="5">
      <t>アザム</t>
    </rPh>
    <rPh sb="7" eb="8">
      <t>マギ</t>
    </rPh>
    <rPh sb="12" eb="14">
      <t>ガイカン</t>
    </rPh>
    <rPh sb="16" eb="18">
      <t>キョギ</t>
    </rPh>
    <rPh sb="19" eb="20">
      <t>ミ</t>
    </rPh>
    <phoneticPr fontId="1"/>
  </si>
  <si>
    <t>12世紀
illusion（あざけり, 詐欺）</t>
    <rPh sb="2" eb="4">
      <t>セイキ</t>
    </rPh>
    <rPh sb="20" eb="22">
      <t>サギ</t>
    </rPh>
    <phoneticPr fontId="1"/>
  </si>
  <si>
    <t>14世紀半ば
あざけり, 嘲笑
&lt;span class="spacer"&gt;&lt;/span&gt;14世紀後期
紛らわしい外観, 幻影, 心の妄想</t>
    <rPh sb="2" eb="5">
      <t>セイキナカ</t>
    </rPh>
    <rPh sb="13" eb="15">
      <t>チョウショウ</t>
    </rPh>
    <rPh sb="46" eb="50">
      <t>セイキコウキ</t>
    </rPh>
    <rPh sb="51" eb="52">
      <t>マギ</t>
    </rPh>
    <rPh sb="56" eb="58">
      <t>ガイカン</t>
    </rPh>
    <rPh sb="60" eb="62">
      <t>ゲンエイ</t>
    </rPh>
    <rPh sb="64" eb="65">
      <t>ココロ</t>
    </rPh>
    <rPh sb="66" eb="68">
      <t>モウソウ</t>
    </rPh>
    <phoneticPr fontId="1"/>
  </si>
  <si>
    <t>discrimination</t>
    <phoneticPr fontId="1"/>
  </si>
  <si>
    <t>dis（離れて）＋cernere（ふるいにかける）
discernere（ふるいにかけて離す, 分けて離す, 区別する）</t>
    <rPh sb="4" eb="5">
      <t>ハナ</t>
    </rPh>
    <rPh sb="44" eb="45">
      <t>ハナ</t>
    </rPh>
    <rPh sb="48" eb="49">
      <t>ワ</t>
    </rPh>
    <rPh sb="51" eb="52">
      <t>ハナ</t>
    </rPh>
    <rPh sb="55" eb="57">
      <t>クベツ</t>
    </rPh>
    <phoneticPr fontId="1"/>
  </si>
  <si>
    <t>discernereの過去分詞discriminatus
&lt;span class="spacer"&gt;&lt;/span&gt;名詞を作る-ioが付いて
discriminatio（区別, 分別）</t>
    <rPh sb="11" eb="15">
      <t>カコブンシ</t>
    </rPh>
    <rPh sb="84" eb="86">
      <t>クベツ</t>
    </rPh>
    <rPh sb="88" eb="90">
      <t>ブンベツ</t>
    </rPh>
    <phoneticPr fontId="1"/>
  </si>
  <si>
    <t>1640年代
区別をすること, 違いを認識して示すこと
&lt;span class="spacer"&gt;&lt;/span&gt;1866年から
アメリカ英語で、特定の集団に対する不当な差別</t>
    <rPh sb="4" eb="6">
      <t>ネンダイ</t>
    </rPh>
    <rPh sb="7" eb="9">
      <t>クベツ</t>
    </rPh>
    <rPh sb="16" eb="17">
      <t>チガ</t>
    </rPh>
    <rPh sb="19" eb="21">
      <t>ニンシキ</t>
    </rPh>
    <rPh sb="23" eb="24">
      <t>シメ</t>
    </rPh>
    <rPh sb="60" eb="61">
      <t>ネン</t>
    </rPh>
    <rPh sb="68" eb="70">
      <t>エイゴ</t>
    </rPh>
    <rPh sb="72" eb="74">
      <t>トクテイ</t>
    </rPh>
    <rPh sb="75" eb="77">
      <t>シュウダン</t>
    </rPh>
    <rPh sb="78" eb="79">
      <t>タイ</t>
    </rPh>
    <rPh sb="81" eb="83">
      <t>フトウ</t>
    </rPh>
    <rPh sb="84" eb="86">
      <t>サベツ</t>
    </rPh>
    <phoneticPr fontId="1"/>
  </si>
  <si>
    <t>Shame on you!（恥を知れ！）やIt's a shame to do / It's a shame that（〜するのは残念だ）などの表現で覚える。</t>
  </si>
  <si>
    <t>scamu（恥によって引き起こされる困惑, 恥ずべき状況, 不名誉な状態, 侮辱）</t>
  </si>
  <si>
    <t>1300年頃
慎み, 内気, 礼儀や端正さへの配慮</t>
  </si>
  <si>
    <t>1580年代
恥ずべき物や人</t>
  </si>
  <si>
    <t>droug</t>
  </si>
  <si>
    <t>ht</t>
  </si>
  <si>
    <t>*dreug-（乾いた）＋itho（名詞化）
*drugothaz
&lt;span class="spacer"&gt;&lt;/span&gt;これは現代英語ではdry（乾いた）＋th（名詞化）</t>
  </si>
  <si>
    <t>drugaþ（乾燥, 乾燥した天候）</t>
  </si>
  <si>
    <t>flare（吹く）</t>
  </si>
  <si>
    <t>名詞を作る-or（〜する人, 〜するもの）が付いて
flator（吹くもの）</t>
  </si>
  <si>
    <t>flaor（匂い, 香り, 嗅ぐ行為）</t>
  </si>
  <si>
    <t>1300年頃
匂い, 香り</t>
  </si>
  <si>
    <t xml:space="preserve">1690年代（おそらく1670年代から）
味覚のうち嗅覚に依存する要素
味, 風味 </t>
  </si>
  <si>
    <t>portion</t>
  </si>
  <si>
    <t>portio（部分, 分け前）</t>
  </si>
  <si>
    <t>porcion（部分, 分け前）</t>
  </si>
  <si>
    <t>porcioun
&lt;span class="spacer"&gt;&lt;/span&gt;14世紀初頭
割り当てられた部分, 分け前
&lt;span class="spacer"&gt;&lt;/span&gt;14世紀半ば
全体の一部
&lt;span class="spacer"&gt;&lt;/span&gt;14世紀後期
何かが分割された区画</t>
  </si>
  <si>
    <t>cipe</t>
  </si>
  <si>
    <t>15世紀
récipe</t>
  </si>
  <si>
    <t>1580年代
処方箋, 医師によって書かれた治療薬を調合するための処方
&lt;span class="spacer"&gt;&lt;/span&gt;1716年までに
特定の料理を準備するための手順</t>
  </si>
  <si>
    <t>放蕩, 不品行</t>
  </si>
  <si>
    <t>1630年代
高価なものや上質なものにふける習慣
&lt;span class="spacer"&gt;&lt;/span&gt;1704年から
生活必需品を超えた上質なもの</t>
  </si>
  <si>
    <t>cipp（道具による打撃によって本体から切り離された小さなかけら）</t>
  </si>
  <si>
    <t>1859年までに
ジャガイモの細長い切り身（米語：French fries）</t>
  </si>
  <si>
    <t>1962年から
半導体材料の薄くて小さな四角い破片, 集積回路</t>
  </si>
  <si>
    <t>ritu</t>
  </si>
  <si>
    <t>ritus（宗教的な儀式や慣習）
&lt;span class="spacer"&gt;&lt;/span&gt;形容詞を作る-alisが付いて
ritualis（宗教的な儀式に関する）</t>
  </si>
  <si>
    <t>1560年代
儀式に関する
&lt;span class="spacer"&gt;&lt;/span&gt;1640年代、名詞になって
宗教的礼拝を行うための儀式</t>
  </si>
  <si>
    <t>sacu（訴訟の原因, 犯罪, 争い）</t>
  </si>
  <si>
    <t>sake（争い, 論争, 罪, 非難）
&lt;span class="spacer"&gt;&lt;/span&gt;1200年頃
for God's sake（神のために）</t>
  </si>
  <si>
    <t>fect</t>
  </si>
  <si>
    <t>prae（前に, 先に）＋facere（行う, 作る）
praeficere（前方に置く, 上位に置く, 権限を与えて任命する）
&lt;span class="spacer"&gt;&lt;/span&gt;過去分詞praefectus（公的な監督者, 責任者）
&lt;span class="spacer"&gt;&lt;/span&gt;名詞を作る-uraが付いて
praefectura</t>
  </si>
  <si>
    <t>prefect
&lt;span class="spacer"&gt;&lt;/span&gt;13世紀、名詞を作る-ureが付いて
préfecture</t>
  </si>
  <si>
    <t>15世紀半ば
責任者, 監督者, 知事の行政区や管轄区域</t>
  </si>
  <si>
    <t>1885年
中国の府＝いくつかの県から成る行政区分</t>
  </si>
  <si>
    <t>concilie（集会, 会議）</t>
  </si>
  <si>
    <t>cuncile</t>
  </si>
  <si>
    <t>12世紀初頭
協議, 助言のための人々の集会</t>
  </si>
  <si>
    <t>administracioun
&lt;span class="spacer"&gt;&lt;/span&gt;14世紀半ば
分配する行為
&lt;span class="spacer"&gt;&lt;/span&gt;14世紀後期
ビジネスや不動産などの管理, 運営
&lt;span class="spacer"&gt;&lt;/span&gt;15世紀初頭
権限に基づく故人の遺産管理</t>
  </si>
  <si>
    <t>1680年代
行政
&lt;span class="spacer"&gt;&lt;/span&gt;1731年
政府における行政権
&lt;span class="spacer"&gt;&lt;/span&gt;1796年までに
米国大統領の在任期間, 〜政権</t>
  </si>
  <si>
    <t>curri</t>
  </si>
  <si>
    <t>culum</t>
  </si>
  <si>
    <t>curriculum（学業や教育における履修過程）</t>
  </si>
  <si>
    <t>1824年
教育課程, 学校における固定された学習過程</t>
  </si>
  <si>
    <t>preci</t>
  </si>
  <si>
    <t>pretium（価値, 価格：priceの語源）
&lt;span class="spacer"&gt;&lt;/span&gt;形容詞を作る-osusが付いて
pretiosus（高価な, 価値のある）</t>
  </si>
  <si>
    <t>11世紀
precios（貴重な, 高価な）</t>
  </si>
  <si>
    <t>13世紀半ば
価値のある, 高価な</t>
  </si>
  <si>
    <t>gener</t>
  </si>
  <si>
    <t>*gene-（生む）</t>
  </si>
  <si>
    <t>genus（生まれ, 家系, 血統）
&lt;span class="spacer"&gt;&lt;/span&gt;形容詞を作る-osusが付いて
generosus（高貴な生まれの, 寛大な, 気前のよい）</t>
  </si>
  <si>
    <t>14世紀
généreux</t>
  </si>
  <si>
    <t>1580年代
高貴な生まれの
&lt;span class="spacer"&gt;&lt;/span&gt;1690年代
気前のよい</t>
  </si>
  <si>
    <t>casu</t>
  </si>
  <si>
    <t>cadere（落ちる, 降りかかる）
&lt;span class="spacer"&gt;&lt;/span&gt;名詞になって
casus（落ちること, 偶然, 機会, 事故, 出来事）</t>
  </si>
  <si>
    <t>casusに形容詞を作る-alisが付いて
casualis（偶然の）</t>
  </si>
  <si>
    <t>15世紀
casuel</t>
  </si>
  <si>
    <t>casuel
&lt;span class="spacer"&gt;&lt;/span&gt;14世紀後期
偶然による</t>
  </si>
  <si>
    <t>1883年
人について、当てにならない, 無計画な
&lt;span class="spacer"&gt;&lt;/span&gt;1891年
衣服について、形式ばらない, くだけた</t>
  </si>
  <si>
    <t>1916年
無関心な, 何気ない</t>
  </si>
  <si>
    <t>optim</t>
  </si>
  <si>
    <t>bonus（良い）
&lt;span class="spacer"&gt;&lt;/span&gt;最上級optimus（最善の）</t>
  </si>
  <si>
    <t>1737年
optimisme（楽観主義）
&lt;span class="spacer"&gt;&lt;/span&gt;&lt;span class="obsolete"&gt;哲学者ライプニッツが「最大の善」を意味するために使用した言葉。現実の世界は「あらゆる可能な世界の中で最善のもの」であり、そこでは創造主は最小の悪という代償を払って最大の善を成し遂げている、という考え。&lt;/span&gt;
&lt;span class="spacer"&gt;&lt;/span&gt;1752年
optimisme＋iste（〜する人）
optimiste（楽観主義者）</t>
  </si>
  <si>
    <t>1759年
optimist
哲学において、楽観主義（至善説）を信じる者
&lt;span class="spacer"&gt;&lt;/span&gt;1766年までに意味が一般化して
希望に満ちた見方をする人
&lt;span class="spacer"&gt;&lt;/span&gt;1845年、形容詞を作る-icが付いて
楽観主義の, 楽観的な</t>
  </si>
  <si>
    <t>ruh（触り心地が滑らかでない, 布のきめが粗い, 耕作されていない）</t>
  </si>
  <si>
    <t>rough
&lt;span class="spacer"&gt;&lt;/span&gt;1300年頃
行動が荒々しい
&lt;span class="spacer"&gt;&lt;/span&gt;14世紀半ば
天候が荒れている
言葉が乱暴な
粗雑に作られた
&lt;span class="spacer"&gt;&lt;/span&gt;15世紀後期
土地が険しい</t>
  </si>
  <si>
    <t>1530年代
文体において、洗練さを欠いた, 粗削りな
&lt;span class="spacer"&gt;&lt;/span&gt;1600年代
おおまかな</t>
  </si>
  <si>
    <t>unpleasant</t>
    <phoneticPr fontId="1"/>
  </si>
  <si>
    <t>placere（受け入れられる, 好かれる：pleaseの語源）</t>
    <rPh sb="8" eb="9">
      <t>ウ</t>
    </rPh>
    <rPh sb="10" eb="11">
      <t>イ</t>
    </rPh>
    <rPh sb="17" eb="18">
      <t>ス</t>
    </rPh>
    <rPh sb="29" eb="31">
      <t>ゴゲン</t>
    </rPh>
    <phoneticPr fontId="1"/>
  </si>
  <si>
    <t>plaisir（喜ばせる）
&lt;span class="spacer"&gt;&lt;/span&gt;現在分詞plaisant（心地よい, 喜ばしい）</t>
    <rPh sb="8" eb="9">
      <t>ヨロコ</t>
    </rPh>
    <rPh sb="42" eb="46">
      <t>ゲンザイブンシ</t>
    </rPh>
    <rPh sb="55" eb="57">
      <t>ココチ</t>
    </rPh>
    <rPh sb="61" eb="62">
      <t>ヨロコ</t>
    </rPh>
    <phoneticPr fontId="1"/>
  </si>
  <si>
    <t>plesaunte
&lt;span class="spacer"&gt;&lt;/span&gt;14世紀後期
神に喜ばれる, 神に受け入れられる
好ましい, 愉快な
&lt;span class="spacer"&gt;&lt;/span&gt;15世紀初頭
un（否定）+plesaunt
unplesaunt（神にとって受け入れがたい）</t>
    <rPh sb="40" eb="42">
      <t>セイキ</t>
    </rPh>
    <rPh sb="42" eb="44">
      <t>コウキ</t>
    </rPh>
    <rPh sb="45" eb="46">
      <t>カミ</t>
    </rPh>
    <rPh sb="47" eb="48">
      <t>ヨロコ</t>
    </rPh>
    <rPh sb="53" eb="54">
      <t>カミ</t>
    </rPh>
    <rPh sb="55" eb="56">
      <t>ウ</t>
    </rPh>
    <rPh sb="57" eb="58">
      <t>イ</t>
    </rPh>
    <rPh sb="63" eb="64">
      <t>コノ</t>
    </rPh>
    <rPh sb="69" eb="71">
      <t>ユカイ</t>
    </rPh>
    <rPh sb="105" eb="107">
      <t>ショトウ</t>
    </rPh>
    <rPh sb="111" eb="113">
      <t>ヒテイ</t>
    </rPh>
    <rPh sb="135" eb="136">
      <t>カミ</t>
    </rPh>
    <rPh sb="140" eb="141">
      <t>ウ</t>
    </rPh>
    <rPh sb="142" eb="143">
      <t>イ</t>
    </rPh>
    <phoneticPr fontId="1"/>
  </si>
  <si>
    <t>1530年代
喜びを与えない, 不愉快な</t>
    <rPh sb="4" eb="6">
      <t>ネンダイ</t>
    </rPh>
    <rPh sb="7" eb="8">
      <t>ヨロコ</t>
    </rPh>
    <rPh sb="10" eb="11">
      <t>アタ</t>
    </rPh>
    <rPh sb="16" eb="19">
      <t>フユカイ</t>
    </rPh>
    <phoneticPr fontId="1"/>
  </si>
  <si>
    <t>Arctic</t>
    <phoneticPr fontId="1"/>
  </si>
  <si>
    <t>arktos（熊, おおぐま座）
&lt;span class="spacer"&gt;&lt;/span&gt;※おおぐま座の一部が北斗七星
&lt;span class="spacer"&gt;&lt;/span&gt;形容詞を作る-ikosが付いて
arktikos（おおぐま座の, 北の, 北方の）</t>
    <rPh sb="7" eb="8">
      <t>クマ</t>
    </rPh>
    <rPh sb="14" eb="15">
      <t>ザ</t>
    </rPh>
    <rPh sb="50" eb="51">
      <t>ザ</t>
    </rPh>
    <rPh sb="52" eb="54">
      <t>イチブ</t>
    </rPh>
    <rPh sb="55" eb="59">
      <t>ホクトシチセイ</t>
    </rPh>
    <rPh sb="88" eb="91">
      <t>ケイヨウシ</t>
    </rPh>
    <rPh sb="92" eb="93">
      <t>ツク</t>
    </rPh>
    <rPh sb="100" eb="101">
      <t>ツ</t>
    </rPh>
    <rPh sb="117" eb="118">
      <t>ザ</t>
    </rPh>
    <rPh sb="121" eb="122">
      <t>キタ</t>
    </rPh>
    <rPh sb="125" eb="127">
      <t>ホッポウ</t>
    </rPh>
    <phoneticPr fontId="1"/>
  </si>
  <si>
    <t>arcticus（北の, 北極の）</t>
    <rPh sb="9" eb="10">
      <t>キタ</t>
    </rPh>
    <rPh sb="13" eb="15">
      <t>ホッキョク</t>
    </rPh>
    <phoneticPr fontId="1"/>
  </si>
  <si>
    <t>articus</t>
    <phoneticPr fontId="1"/>
  </si>
  <si>
    <t>artique</t>
    <phoneticPr fontId="1"/>
  </si>
  <si>
    <t>artik
&lt;span class="spacer"&gt;&lt;/span&gt;14世紀後期
天の北極に関する, 北極の
&lt;span class="spacer"&gt;&lt;/span&gt;15世紀初頭
地球の地理において、北の</t>
    <rPh sb="41" eb="42">
      <t>テン</t>
    </rPh>
    <rPh sb="43" eb="45">
      <t>ホッキョク</t>
    </rPh>
    <rPh sb="46" eb="47">
      <t>カン</t>
    </rPh>
    <rPh sb="51" eb="53">
      <t>ホッキョク</t>
    </rPh>
    <rPh sb="85" eb="89">
      <t>セイキショトウ</t>
    </rPh>
    <rPh sb="90" eb="92">
      <t>チキュウ</t>
    </rPh>
    <phoneticPr fontId="1"/>
  </si>
  <si>
    <t>1550年代
中世ラテン語で消えたスペルarの後のcが復活
&lt;span class="spacer"&gt;&lt;/span&gt;1660年代
冷たい, 極寒の</t>
    <rPh sb="4" eb="6">
      <t>ネンダイ</t>
    </rPh>
    <rPh sb="7" eb="9">
      <t>チュウセイ</t>
    </rPh>
    <rPh sb="12" eb="13">
      <t>ゴ</t>
    </rPh>
    <rPh sb="14" eb="15">
      <t>キ</t>
    </rPh>
    <rPh sb="23" eb="24">
      <t>アト</t>
    </rPh>
    <rPh sb="27" eb="29">
      <t>フッカツ</t>
    </rPh>
    <rPh sb="62" eb="64">
      <t>ネンダイ</t>
    </rPh>
    <rPh sb="65" eb="66">
      <t>ツメ</t>
    </rPh>
    <rPh sb="70" eb="72">
      <t>ゴッカン</t>
    </rPh>
    <phoneticPr fontId="1"/>
  </si>
  <si>
    <t>*al-（向こうへ, 越えて）</t>
  </si>
  <si>
    <t>*ulter（向こう側の）
&lt;span class="spacer"&gt;&lt;/span&gt;最上級ultimus（最も向こうの, 最後の, 最終の）</t>
  </si>
  <si>
    <t>ultimusが動詞になって
ultimare（最終的なものにする）
&lt;span class="spacer"&gt;&lt;/span&gt;過去分詞ultimatus</t>
  </si>
  <si>
    <t xml:space="preserve">1650年代
神学において、最終的な目標をつくる, それ以上の分析や発見が不可能な
</t>
  </si>
  <si>
    <t>耳の聞こえない人の競技大会であるデフリンピックと関連させて覚える。</t>
  </si>
  <si>
    <t>deaf（聴覚を欠いている）</t>
  </si>
  <si>
    <t>genu</t>
  </si>
  <si>
    <t>gignere（生む, 産出する）
&lt;span class="spacer"&gt;&lt;/span&gt;形容詞を作る-inusが付いて
genuinus（自生の, 自然な）</t>
  </si>
  <si>
    <t>1590年代
自然な, 後天的に獲得されたものではない</t>
  </si>
  <si>
    <t>manu</t>
  </si>
  <si>
    <t>manus（手）
&lt;span class="spacer"&gt;&lt;/span&gt;形容詞を作る-alisが付いて
manualis（手の）</t>
  </si>
  <si>
    <t xml:space="preserve">1400年頃
手の, 手によって行われる </t>
  </si>
  <si>
    <t>mechan</t>
  </si>
  <si>
    <t>machine（機械, マシン）や日本語でも使われるメカ（機械）と関連させて覚える。</t>
  </si>
  <si>
    <t>mēkhanē（装置, 仕掛け：machineの語源）
&lt;span class="spacer"&gt;&lt;/span&gt;形容詞を作る-ikosが付いて
mēkhanikos（独創的な, 機械的な, 機械の）</t>
  </si>
  <si>
    <t>mechanicus（機械の, 機械に関する）</t>
  </si>
  <si>
    <t>14世紀後期
機械的な労働に関する
&lt;span class="spacer"&gt;&lt;/span&gt;mechanic＋al（形容詞化）
&lt;span class="spacer"&gt;&lt;/span&gt;15世紀初頭
道具やその使い方に関する</t>
  </si>
  <si>
    <t>1570年代
機械や機械の使い方に関する
人の行動が機械的な</t>
  </si>
  <si>
    <t>14世紀
instant（差し迫った, 即座の）</t>
  </si>
  <si>
    <t>15世紀半ば
いま現在の, その瞬間の</t>
  </si>
  <si>
    <t>1590年代
即座の, 直ちに行われる</t>
  </si>
  <si>
    <t>1912年までに
instang coffee（インスタントコーヒー）</t>
  </si>
  <si>
    <t>spær（控えめな, 節約する）</t>
  </si>
  <si>
    <t>14世紀後期
予備として保管された, 余分な必要のために備えられた
&lt;span class="spacer"&gt;&lt;/span&gt;15世紀半ば
時間について、余分な, 空いている</t>
  </si>
  <si>
    <t>mune</t>
  </si>
  <si>
    <t>in（否定）＋munis（奉仕を行っている, 義務の）
immunis（公共の奉仕を免除された）</t>
  </si>
  <si>
    <t>15世紀半ば
税や罪から自由な, 免除された</t>
  </si>
  <si>
    <t>1881年
免疫を持つ</t>
  </si>
  <si>
    <t>harske
&lt;span class="spacer"&gt;&lt;/span&gt;1300年頃
ざらざらした, 粗い, 酸っぱい</t>
  </si>
  <si>
    <t>1530年代
質感について、毛羽だった
&lt;span class="spacer"&gt;&lt;/span&gt;1570年代
感情を害する, 不快な
&lt;span class="spacer"&gt;&lt;/span&gt;1610年代
不愉快な, 無礼な, きつい</t>
  </si>
  <si>
    <t>com（共に）＋legere（集める）
colligere（ひとつに集める）
&lt;span class="spacer"&gt;&lt;/span&gt;過去分詞collectus
&lt;span class="spacer"&gt;&lt;/span&gt;形容詞を作る-ivusが付いて
collectivus（集まった, 集合的な）</t>
  </si>
  <si>
    <t>collectif</t>
  </si>
  <si>
    <t>15世紀初頭
包括的な, 全体を含む</t>
  </si>
  <si>
    <t>1600年頃
多くの個体によって共同で行われる
共同の, 集団の</t>
  </si>
  <si>
    <t>ex（外に）＋vitare（遠ざける, 避ける）
evitare（道から外れる, 避ける）
&lt;span class="spacer"&gt;&lt;/span&gt;-bilis（〜できる）が付いて
evitabilis（避けることができる）
&lt;span class="spacer"&gt;&lt;/span&gt;in（否定）＋evitabilis（避けることができる）
inevitabilis（避けられない）</t>
  </si>
  <si>
    <t>15世紀半ば
避けられない</t>
  </si>
  <si>
    <t>pro（前へ）＋fundus（底）
profundus（深い, 底なしの, 広大な）</t>
  </si>
  <si>
    <t>12世紀
profund</t>
  </si>
  <si>
    <t>知的な深さを特徴とする
非常に博学な
&lt;span class="spacer"&gt;&lt;/span&gt;1400年頃
深く感じられる</t>
  </si>
  <si>
    <t>stead</t>
  </si>
  <si>
    <t>stede（立っていること, 堅固さ, 安定性, 固定性）</t>
  </si>
  <si>
    <t>stede</t>
  </si>
  <si>
    <t>1520年代、形容詞を作る-yが付いて
場所や地位がしっかりと固定された
&lt;span class="spacer"&gt;&lt;/span&gt;1540年代
一定のペースの
不規則さ揺れがない</t>
  </si>
  <si>
    <t>mātūrus（熟した）</t>
  </si>
  <si>
    <t>15世紀半ば
果実について、熟した
考えや審議などについて、慎重な, よく考え抜かれた</t>
  </si>
  <si>
    <t>1600年頃
人について、身体や精神の能力が完全に発達した</t>
  </si>
  <si>
    <t>like</t>
  </si>
  <si>
    <t>wise</t>
  </si>
  <si>
    <t>gelic（似ている, 同様の）
wise（方法, やり方）</t>
  </si>
  <si>
    <t>15世紀半ば
like（似た, 同じ）＋wise（方法）
likewise（同じ方法で, 同様に）</t>
  </si>
  <si>
    <t>chaseとcatchの関係で覚える。</t>
  </si>
  <si>
    <t>capere（取る）
&lt;span class="spacer"&gt;&lt;/span&gt;反復形captare（繰り返し取ろうとする）</t>
  </si>
  <si>
    <t>*captiare（捕えようとする, 追跡する）</t>
  </si>
  <si>
    <t>12世紀
chacier（狩る, 追跡する）
&lt;span class="spacer"&gt;&lt;/span&gt;古フランス語chacierは、cachierの異なる形。chacierは英語のchaseに、cachierは英語のcatchになった。つまり追いかけて捕まえるという行為が、追いかけるchaseと捕まえるcatchに分かれた。</t>
  </si>
  <si>
    <t>chacen
&lt;span class="spacer"&gt;&lt;/span&gt;1300年頃
狩る, 追い払う, 逃走させる
&lt;span class="spacer"&gt;&lt;/span&gt;14世紀半ば
目的を問わず追いかける</t>
  </si>
  <si>
    <t>sequi（従う, 後を追う）</t>
  </si>
  <si>
    <t>*sequere（従う, 後を追う）</t>
  </si>
  <si>
    <t>suir（後を追う, 法廷に訴える）</t>
  </si>
  <si>
    <t>suer（後に続く）</t>
  </si>
  <si>
    <t>seuen
&lt;span class="spacer"&gt;&lt;/span&gt;13世紀後期
&lt;span class="obsolete"&gt;後に続く（現在は廃用）&lt;/span&gt;
&lt;span class="spacer"&gt;&lt;/span&gt;1300年頃
継続する
追いかける, 法廷で相手を追い続ける, 訴訟を起こす</t>
  </si>
  <si>
    <t>gazen
&lt;span class="spacer"&gt;&lt;/span&gt;14世紀後期
じっと見つめる</t>
  </si>
  <si>
    <t>*(s)lei-（ぬるぬるした, 粘つく, 滑りやすい）
&lt;span class="spacer"&gt;&lt;/span&gt;&lt;span class="obsolete"&gt;slime（スライム）の語源でもある。&lt;/span&gt;</t>
  </si>
  <si>
    <t>slippen
&lt;span class="spacer"&gt;&lt;/span&gt;14世紀初頭
逃げる, そっと素早く動く
&lt;span class="spacer"&gt;&lt;/span&gt;14世紀半ば
足を踏み外す, 滑り落ちる</t>
  </si>
  <si>
    <t>1510年代
&lt;span class="spacer"&gt;&lt;/span&gt;滑るような動作で動かす
1520年代
滑る, 滑走する</t>
  </si>
  <si>
    <t>日本語でも使われるダウンロードやアップロード（データという荷物を下ろす / 上げる）と関連させて覚える。</t>
  </si>
  <si>
    <t>lad（進路, 運ぶこと, 運搬）</t>
  </si>
  <si>
    <t>lode
&lt;span class="spacer"&gt;&lt;/span&gt;1200年頃
人や動物の上に載せるもの, 荷物
&lt;span class="spacer"&gt;&lt;/span&gt;15世紀後期、動詞になって
（乗り物に）載せる</t>
  </si>
  <si>
    <t>whelm</t>
  </si>
  <si>
    <t>over＋whelmen（ひっくり返す）
overwhelmen（完全にひっくり返す, 打ち倒す）</t>
  </si>
  <si>
    <t>1520年代
圧倒的に打ち負かす</t>
  </si>
  <si>
    <t>wandrian（あてもなく動き回る, 放浪する）</t>
  </si>
  <si>
    <t>wandren（目的なく歩き回る）</t>
  </si>
  <si>
    <t>1500年頃
道に迷う, 進路から外れる</t>
  </si>
  <si>
    <t>フロート（アイスが浮かべてある飲み物）と関連させて覚える。</t>
  </si>
  <si>
    <t>flotian（水面に浮かぶ）</t>
  </si>
  <si>
    <t>1300年頃
あちこち漂う</t>
  </si>
  <si>
    <t>1600年頃
浮かび上がらせる（他動詞）</t>
  </si>
  <si>
    <t>purus（純粋な）
&lt;span class="spacer"&gt;&lt;/span&gt;動詞になって
purare（浄化する）</t>
  </si>
  <si>
    <t>purer（穀物をふるいにかける, 水を注ぎ出す）</t>
  </si>
  <si>
    <t>1300年頃
液体や粒状の物質を注ぎ出す, 注ぎ入れる</t>
  </si>
  <si>
    <t>stitute</t>
  </si>
  <si>
    <t>sub（下に）＋statuere（立てる, 設置する）
substituere（下に置く, 別のものの代わりに置く）
&lt;span class="spacer"&gt;&lt;/span&gt;過去分詞substitutus</t>
  </si>
  <si>
    <t>substituten
&lt;span class="spacer"&gt;&lt;/span&gt;15世紀初頭
&lt;span class="obsolete"&gt;誰かを別の人の代わりに任命する&lt;/span&gt;</t>
  </si>
  <si>
    <t>1580年代
別のものの代わりに置く
&lt;span class="spacer"&gt;&lt;/span&gt;1888年までに
代わりを務める</t>
  </si>
  <si>
    <t>nuntius（使者）
&lt;span class="spacer"&gt;&lt;/span&gt;動詞になって
nuntiare（告知する）
&lt;span class="spacer"&gt;&lt;/span&gt;pro（前へ）＋nuntiare（告知する）
pronuntiare（公に告知する, 発声する）</t>
  </si>
  <si>
    <t>pronunciare</t>
  </si>
  <si>
    <t>13世紀後期
prononcier（宣言する, 発音する）</t>
  </si>
  <si>
    <t>pronouncen
&lt;span class="spacer"&gt;&lt;/span&gt;14世紀半ば
公式に宣言する
&lt;span class="spacer"&gt;&lt;/span&gt;14世紀後期
言葉を発する, 発音する</t>
  </si>
  <si>
    <t>食品などを包む薄いプラスチックフィルム＝シュリンクと関連させて覚える。</t>
  </si>
  <si>
    <t>scrincan（手足を縮める, 自然に収縮する）</t>
  </si>
  <si>
    <t>shrinken
&lt;span class="spacer"&gt;&lt;/span&gt;13世紀後期
サイズが縮小する
&lt;span class="spacer"&gt;&lt;/span&gt;14世紀半ば
恐怖でひるむ</t>
  </si>
  <si>
    <t>1959年〜1961年
密着する薄いプラスチックフィルム</t>
  </si>
  <si>
    <t>re（再び）＋~staurare（立てる系の意味）
restaurare（修理する, 再建する）</t>
  </si>
  <si>
    <t>restorer</t>
  </si>
  <si>
    <t>restoren
&lt;span class="spacer"&gt;&lt;/span&gt;1300年頃
返す, 再建する, 修理する, より良い状態に戻す</t>
  </si>
  <si>
    <t>日本語でも使われるトリガー（引き金）と関連させて覚える。</t>
  </si>
  <si>
    <t>オランダ語</t>
  </si>
  <si>
    <t>trekker（引き金）</t>
  </si>
  <si>
    <t>1650年代
掛け金バネを解放して装置を作動させる可動装置</t>
  </si>
  <si>
    <t>1930年代
トリガーを引いて火器を発射させるように、何かを引き起こす</t>
  </si>
  <si>
    <t>中世オランダ語 / 中低地ドイツ語</t>
  </si>
  <si>
    <t>grabben（つかむ）</t>
  </si>
  <si>
    <t>1580年代
乱暴につかむ, 力ずくでつかむ</t>
  </si>
  <si>
    <t>re（後ろに）＋tenere（つかむ）
retinere（引き止める, とどめておく）</t>
  </si>
  <si>
    <t>12世紀
retenir（引き止める, 保持する, 覚えている）</t>
  </si>
  <si>
    <t xml:space="preserve">14世紀後期
持ち続ける
&lt;span class="spacer"&gt;&lt;/span&gt;15世紀初頭
&lt;span class="obsolete"&gt;引き止める（現在は廃用）&lt;/span&gt;
</t>
  </si>
  <si>
    <t>1500年頃
心にとめる, 知識や考えを保持する</t>
  </si>
  <si>
    <t>produce</t>
  </si>
  <si>
    <t>1610年代
re（再び）＋produce
再び存在させる, 再生させる
&lt;span class="spacer"&gt;&lt;/span&gt;1850年までに
複製する
&lt;span class="spacer"&gt;&lt;/span&gt;1894年までに
繁殖させる</t>
  </si>
  <si>
    <t>bobという単語の発音からイメージをつかむ。</t>
  </si>
  <si>
    <t>bobben
&lt;span class="spacer"&gt;&lt;/span&gt;14世紀後期
短くぐいっという感じの動作で上下に動く
ぴょこぴょこ動く</t>
  </si>
  <si>
    <t>enter</t>
  </si>
  <si>
    <t>entertainment（エンターテイメント, 楽しませるもの, 娯楽）と関連させて覚える。</t>
  </si>
  <si>
    <t>inter（間に）
tenere（保つ）</t>
  </si>
  <si>
    <t>entre（間に）＋tenir（保つ）
entretenir（自分と相手の間の関係や状態を保つ, 維持する）</t>
  </si>
  <si>
    <t>15世紀後期
維持する, 持続させる, 人を特定の精神状態に保つ
客をもてなす</t>
  </si>
  <si>
    <t>1620年代
楽しませる, 喜ばせる</t>
  </si>
  <si>
    <t>fere</t>
  </si>
  <si>
    <t>ferire（叩く, 打つ）</t>
  </si>
  <si>
    <t>entre（〜の間）＋ferir（叩く, 打つ）
enterferer（互いに打ち合う, 打撃をかわす）</t>
  </si>
  <si>
    <t>enterferen
&lt;span class="spacer"&gt;&lt;/span&gt;15世紀半ば
混ぜ合わせる, 介在させる
干渉する</t>
  </si>
  <si>
    <t>1630年代
不当に口出しする, 邪魔をする</t>
  </si>
  <si>
    <t>cultureと関連させて覚える。</t>
  </si>
  <si>
    <t>colere（耕作する, 住む）
&lt;span class="spacer"&gt;&lt;/span&gt;過去分詞cultus（世話, 耕作）</t>
  </si>
  <si>
    <t>cultivare（耕作する）
&lt;span class="spacer"&gt;&lt;/span&gt;過去分詞cultivatus</t>
  </si>
  <si>
    <t>1650年代
土地を耕す
&lt;span class="spacer"&gt;&lt;/span&gt;1680年代
労働や学習によって向上させる
&lt;span class="spacer"&gt;&lt;/span&gt;1690年代
耕作によって作物を育てる</t>
  </si>
  <si>
    <t>under</t>
  </si>
  <si>
    <t>lie</t>
  </si>
  <si>
    <t>under＋lie（横たわる, 横にある）からイメージをつかむ。</t>
  </si>
  <si>
    <t>under licgan（〜に従属する）</t>
  </si>
  <si>
    <t>underlien</t>
  </si>
  <si>
    <t>1600年頃
〜の下に位置する, 底にある</t>
  </si>
  <si>
    <t>anti</t>
  </si>
  <si>
    <t>cipate</t>
  </si>
  <si>
    <t>anti（前に）＋capere（取る）
anticipare（前もって取る, 先取りする）
&lt;span class="spacer"&gt;&lt;/span&gt;過去分詞anticipatus</t>
  </si>
  <si>
    <t>1530年代
物事が起こる時期を早める
&lt;span class="spacer"&gt;&lt;/span&gt;1600年頃
先手を打って防ぐ, 未然に防ぐ
&lt;span class="spacer"&gt;&lt;/span&gt;1640年代
将来起こることを前もって意識する
&lt;span class="spacer"&gt;&lt;/span&gt;1749年から
予期する, 楽しみに待つ</t>
  </si>
  <si>
    <t>justi</t>
  </si>
  <si>
    <t>iustus（正しい, 公正な）＋facere（作る, 行う）
iustificus（公正に扱う）</t>
  </si>
  <si>
    <t>iustificare（〜に対して公正に振る舞う, 正しいものにする）</t>
  </si>
  <si>
    <t>12世紀
justifiier（法廷手続きに従う）</t>
  </si>
  <si>
    <t>1300年頃
司法を執行する
&lt;span class="spacer"&gt;&lt;/span&gt;14世紀後期
正当であると示す</t>
  </si>
  <si>
    <t>1520年代
無実であると宣言する
&lt;span class="spacer"&gt;&lt;/span&gt;1630年代
状況について、正当性を与える</t>
  </si>
  <si>
    <t>regula（規則, まっすぐな木片）</t>
  </si>
  <si>
    <t>regulare（規則によって導く）
&lt;span class="spacer"&gt;&lt;/span&gt;過去分詞regulatus</t>
  </si>
  <si>
    <t>regulaten
&lt;span class="spacer"&gt;&lt;/span&gt;15世紀初頭
規則によって調整する, 統制する</t>
  </si>
  <si>
    <t>1620年代
制限によって統治する
&lt;span class="spacer"&gt;&lt;/span&gt;1660年代
時計などを基準に合わせて調整する</t>
  </si>
  <si>
    <t>scandere（詩を韻律分析する）</t>
  </si>
  <si>
    <t>scannen
&lt;span class="spacer"&gt;&lt;/span&gt;14世紀後期
詩を韻脚ごとに区切って分析する</t>
  </si>
  <si>
    <t>1540年代
詩を分析するように、一つひとつ見る, 詳細に調べる</t>
  </si>
  <si>
    <t>1926年までに
ざっと目を通す, 読み飛ばす
&lt;span class="spacer"&gt;&lt;/span&gt;1928年
スキャナーで表面をなぞる</t>
  </si>
  <si>
    <t>classi</t>
  </si>
  <si>
    <t>class（階級, 区分）
facere（作る, 行う）</t>
  </si>
  <si>
    <t>class（クラス, 階級）＋fier（動詞化）
classifier（クラスに分ける, 分類する）</t>
  </si>
  <si>
    <t>1782年
共通の特徴に従って分類する
クラスに分ける</t>
  </si>
  <si>
    <t>アメリカにて
classify（機密扱いにする）
過去分詞classified（機密扱いにされた）</t>
  </si>
  <si>
    <t>sub（〜の下に）＋mittere（送る, 放つ）
submittere（下に置く, 降ろす, 屈する）</t>
  </si>
  <si>
    <t>submitten
&lt;span class="spacer"&gt;&lt;/span&gt;14世紀後期
自分自身を他者の支配下に置く, 服従する
&lt;span class="spacer"&gt;&lt;/span&gt;15世紀初頭
他者の裁量や判断に委ねる</t>
  </si>
  <si>
    <t>1550年代
批評や意見をもらうために提出する
&lt;span class="spacer"&gt;&lt;/span&gt;1818年
自分の意見として提示する, 提案する</t>
  </si>
  <si>
    <t>pauein（止める, 中止させる）
&lt;span class="spacer"&gt;&lt;/span&gt;名詞になって
pausis（停止, 中止）</t>
  </si>
  <si>
    <t>pausa（停止, 中断）</t>
  </si>
  <si>
    <t>pausare（一時停止する, 中断する）</t>
  </si>
  <si>
    <t>pauser</t>
  </si>
  <si>
    <t>1520年代
一時停止する, 中断する</t>
  </si>
  <si>
    <t>関連語</t>
  </si>
  <si>
    <t>hlinian（横になる, 傾ける）</t>
  </si>
  <si>
    <t>13世紀半ば
支えをえるために何かに寄りかかる
&lt;span class="spacer"&gt;&lt;/span&gt;14世紀
寄りかからせる, 休ませる
&lt;span class="spacer"&gt;&lt;/span&gt;14世紀後期
精神的に傾く
好意や支持を寄せる</t>
  </si>
  <si>
    <t>1560年代
膨らむ, 突き出る
&lt;span class="spacer"&gt;&lt;/span&gt;1610年代
激しく打つ, 激しく衝突させる
&lt;span class="spacer"&gt;&lt;/span&gt;1886年から
bump into ~（偶然である）</t>
  </si>
  <si>
    <t>faldan, fealdan
折り返す, 畳む
&lt;span class="spacer"&gt;&lt;/span&gt;後期古英語
腕を組む（折りたたむ）</t>
  </si>
  <si>
    <t>folden
曲げる
&lt;span class="spacer"&gt;&lt;/span&gt;1300年頃
折り重なる</t>
  </si>
  <si>
    <t>1620年代
ためらう</t>
  </si>
  <si>
    <t>pompe（パイプ, 導水管）</t>
  </si>
  <si>
    <t>中低ドイツ語</t>
  </si>
  <si>
    <t>pumpe（ポンプ）</t>
  </si>
  <si>
    <t>pumpe
&lt;span class="spacer"&gt;&lt;/span&gt;15世紀初頭
液体や空気を押し出すための装置</t>
  </si>
  <si>
    <t>1500年頃、動詞になって
ポンプで作業する
ポンプで水や液体を汲み上げる
&lt;span class="spacer"&gt;&lt;/span&gt;1640年代
ポンプで水や液体を排出する</t>
  </si>
  <si>
    <t>mountain（山）と関連させて覚える。</t>
  </si>
  <si>
    <t>mons（山）</t>
  </si>
  <si>
    <t>*montare</t>
  </si>
  <si>
    <t>monter（上がる, 登る, 据えつける）</t>
  </si>
  <si>
    <t>mounten
&lt;span class="spacer"&gt;&lt;/span&gt;1300年頃
馬に乗る
&lt;span class="spacer"&gt;&lt;/span&gt;14世紀半ば
上昇する, 増える</t>
  </si>
  <si>
    <t>1530年代
所定の位置に据える, 配置する</t>
  </si>
  <si>
    <t>936</t>
  </si>
  <si>
    <t>ceed</t>
  </si>
  <si>
    <t>ex（外に）＋cedere（行く）
excedere（外へ出る, 超過する）</t>
  </si>
  <si>
    <t>14世紀
exceder（超える, 勝る）</t>
  </si>
  <si>
    <t>exceden
&lt;span class="spacer"&gt;&lt;/span&gt;14世紀後期
超える, 超過する</t>
  </si>
  <si>
    <t>go</t>
  </si>
  <si>
    <t>underとgoからイメージをつかむ。</t>
  </si>
  <si>
    <t>under＋gan（goの語源）
undergan（引き受ける）</t>
  </si>
  <si>
    <t>undergon
&lt;span class="spacer"&gt;&lt;/span&gt;1300年頃
耐える</t>
  </si>
  <si>
    <t>1630年代
経験する</t>
  </si>
  <si>
    <t>front</t>
  </si>
  <si>
    <t>com（共に）＋frontem（前面, 額）</t>
  </si>
  <si>
    <t>15世紀
confronter（境界を接する, 向き合う）</t>
  </si>
  <si>
    <t>1560年代
正面に立つ, 直面している
&lt;span class="spacer"&gt;&lt;/span&gt;1580年代
敵対的に立ち向かう</t>
  </si>
  <si>
    <t>sult</t>
  </si>
  <si>
    <t>原始イタリック語</t>
  </si>
  <si>
    <t>*kom-（共に）＋*sel-e-（集める）</t>
  </si>
  <si>
    <t>consulere（呼び集める, 協議する）
&lt;span class="spacer"&gt;&lt;/span&gt;反復形consultare（相談する）</t>
  </si>
  <si>
    <t>16世紀
consulter</t>
  </si>
  <si>
    <t>1520年代
助言を求める, 相談する</t>
  </si>
  <si>
    <t>fill</t>
  </si>
  <si>
    <t>full（満ちた, 完全な）＋fyllan（満たす）
fullfyllan（満たす, 一杯にする）</t>
  </si>
  <si>
    <t>13世紀半ば
実行する, 完遂する
&lt;span class="spacer"&gt;&lt;/span&gt;1300年頃
完了する, 満たす</t>
  </si>
  <si>
    <t>一説では
re（強意）+ligare（結ぶ）
religare（しっかり結びつける）
&lt;span class="spacer"&gt;&lt;/span&gt;名詞を作る-ioが付いて
religio（神聖なものへの敬意, 神への畏敬, 宗教, 信仰）</t>
    <rPh sb="74" eb="75">
      <t>ツク</t>
    </rPh>
    <rPh sb="80" eb="81">
      <t>ツ</t>
    </rPh>
    <phoneticPr fontId="1"/>
  </si>
  <si>
    <t>名詞を作る-ioが付いて
innovatio（入れられた新しいもの, 刷新）</t>
    <rPh sb="3" eb="4">
      <t>ツク</t>
    </rPh>
    <rPh sb="9" eb="10">
      <t>ツ</t>
    </rPh>
    <phoneticPr fontId="1"/>
  </si>
  <si>
    <t>immigration</t>
    <phoneticPr fontId="1"/>
  </si>
  <si>
    <t>com（共に）+venire（来る）
convenire（一緒に来る, 集まる, 一致する）
&lt;span class="spacer"&gt;&lt;/span&gt;名詞を作る-ioが付いて
conventio（集会, 一致, 合意）</t>
    <rPh sb="78" eb="79">
      <t>ツク</t>
    </rPh>
    <rPh sb="84" eb="85">
      <t>ツ</t>
    </rPh>
    <phoneticPr fontId="1"/>
  </si>
  <si>
    <t>reri（計算する, 考える）
&lt;span class="spacer"&gt;&lt;/span&gt;名詞を作る-ioが付いて
ratio（計算, 理性）
&lt;span class="spacer"&gt;&lt;/span&gt;形容詞を作る-alisが付いて
rationalis（理性に関する, 理性的な, 合理的な）</t>
    <rPh sb="47" eb="48">
      <t>ツク</t>
    </rPh>
    <rPh sb="53" eb="54">
      <t>ツ</t>
    </rPh>
    <phoneticPr fontId="1"/>
  </si>
  <si>
    <t>sedere（座る）
&lt;span class="spacer"&gt;&lt;/span&gt;名詞を作る-ioが付いて
sessio（座ること, 座席, 会期）</t>
    <rPh sb="42" eb="43">
      <t>ツク</t>
    </rPh>
    <rPh sb="48" eb="49">
      <t>ツ</t>
    </rPh>
    <phoneticPr fontId="1"/>
  </si>
  <si>
    <t>privus（個人の）＋lex（法律）
privilegium（特定の個人に適用される法律, 特定の個人に有利/不利な法律）</t>
    <rPh sb="7" eb="9">
      <t>コジン</t>
    </rPh>
    <rPh sb="16" eb="18">
      <t>ホウリツ</t>
    </rPh>
    <rPh sb="32" eb="34">
      <t>トクテイ</t>
    </rPh>
    <rPh sb="35" eb="37">
      <t>コジン</t>
    </rPh>
    <rPh sb="38" eb="40">
      <t>テキヨウ</t>
    </rPh>
    <rPh sb="43" eb="45">
      <t>ホウリツ</t>
    </rPh>
    <rPh sb="47" eb="49">
      <t>トクテイ</t>
    </rPh>
    <rPh sb="50" eb="52">
      <t>コジン</t>
    </rPh>
    <rPh sb="53" eb="55">
      <t>ユウリ</t>
    </rPh>
    <rPh sb="56" eb="58">
      <t>フリ</t>
    </rPh>
    <rPh sb="59" eb="61">
      <t>ホウリツ</t>
    </rPh>
    <phoneticPr fontId="1"/>
  </si>
  <si>
    <t>privilegium
特定の個人に有利な法律
特定の個人に対して法の適用の免除
特権</t>
    <rPh sb="12" eb="14">
      <t>トクテイ</t>
    </rPh>
    <rPh sb="15" eb="17">
      <t>コジン</t>
    </rPh>
    <rPh sb="18" eb="20">
      <t>ユウリ</t>
    </rPh>
    <rPh sb="21" eb="23">
      <t>ホウリツ</t>
    </rPh>
    <rPh sb="24" eb="26">
      <t>トクテイ</t>
    </rPh>
    <rPh sb="27" eb="29">
      <t>コジン</t>
    </rPh>
    <rPh sb="30" eb="31">
      <t>タイ</t>
    </rPh>
    <rPh sb="33" eb="34">
      <t>ホウ</t>
    </rPh>
    <rPh sb="35" eb="37">
      <t>テキヨウ</t>
    </rPh>
    <rPh sb="38" eb="40">
      <t>メンジョ</t>
    </rPh>
    <rPh sb="41" eb="43">
      <t>トッケン</t>
    </rPh>
    <phoneticPr fontId="1"/>
  </si>
  <si>
    <t>privilege（特権）</t>
    <rPh sb="10" eb="12">
      <t>トッケン</t>
    </rPh>
    <phoneticPr fontId="1"/>
  </si>
  <si>
    <t>12世紀半ば
許可, 委任
&lt;span class="spacer"&gt;&lt;/span&gt;1200年頃
特定の社会的または宗教的地位に基づく特権
&lt;span class="spacer"&gt;&lt;/span&gt;14世紀半ば
個人または集団に与えられた特別な権利
&lt;span class="spacer"&gt;&lt;/span&gt;14世紀後期
法の免除</t>
    <rPh sb="2" eb="5">
      <t>セイキナカ</t>
    </rPh>
    <rPh sb="7" eb="9">
      <t>キョカ</t>
    </rPh>
    <rPh sb="11" eb="13">
      <t>イニン</t>
    </rPh>
    <rPh sb="46" eb="48">
      <t>ネンコロ</t>
    </rPh>
    <rPh sb="49" eb="51">
      <t>トクテイ</t>
    </rPh>
    <rPh sb="52" eb="55">
      <t>シャカイテキ</t>
    </rPh>
    <rPh sb="58" eb="61">
      <t>シュウキョウテキ</t>
    </rPh>
    <rPh sb="61" eb="63">
      <t>チイ</t>
    </rPh>
    <rPh sb="64" eb="65">
      <t>モト</t>
    </rPh>
    <rPh sb="67" eb="69">
      <t>トッケン</t>
    </rPh>
    <rPh sb="100" eb="103">
      <t>セイキナカ</t>
    </rPh>
    <rPh sb="105" eb="107">
      <t>コジン</t>
    </rPh>
    <rPh sb="110" eb="112">
      <t>シュウダン</t>
    </rPh>
    <rPh sb="113" eb="114">
      <t>アタ</t>
    </rPh>
    <rPh sb="118" eb="120">
      <t>トクベツ</t>
    </rPh>
    <rPh sb="121" eb="123">
      <t>ケンリ</t>
    </rPh>
    <rPh sb="154" eb="158">
      <t>セイキコウキ</t>
    </rPh>
    <phoneticPr fontId="1"/>
  </si>
  <si>
    <t>formation</t>
    <phoneticPr fontId="1"/>
  </si>
  <si>
    <t>forma（形, 姿）
&lt;span class="spacer"&gt;&lt;/span&gt;動詞になって
formare（形作る）
&lt;span class="spacer"&gt;&lt;/span&gt;名詞を作る-ioが付いて
formatio（形成, 形作ること）</t>
    <rPh sb="6" eb="7">
      <t>カタチ</t>
    </rPh>
    <rPh sb="9" eb="10">
      <t>スガタ</t>
    </rPh>
    <rPh sb="40" eb="42">
      <t>ドウシ</t>
    </rPh>
    <rPh sb="55" eb="57">
      <t>カタチツク</t>
    </rPh>
    <rPh sb="88" eb="90">
      <t>メイシ</t>
    </rPh>
    <rPh sb="91" eb="92">
      <t>ツク</t>
    </rPh>
    <rPh sb="97" eb="98">
      <t>ツ</t>
    </rPh>
    <rPh sb="110" eb="112">
      <t>ケイセイ</t>
    </rPh>
    <rPh sb="114" eb="116">
      <t>カタチツク</t>
    </rPh>
    <phoneticPr fontId="1"/>
  </si>
  <si>
    <t>formacion（形成, 形作ること）</t>
    <rPh sb="10" eb="12">
      <t>ケイセイ</t>
    </rPh>
    <rPh sb="14" eb="16">
      <t>カタチツク</t>
    </rPh>
    <phoneticPr fontId="1"/>
  </si>
  <si>
    <t>14世紀後期
植物や動物の生命量
&lt;span class="spacer"&gt;&lt;/span&gt;15世紀初頭
作り出すこと</t>
    <rPh sb="2" eb="6">
      <t>セイキコウキ</t>
    </rPh>
    <rPh sb="7" eb="9">
      <t>ショクブツ</t>
    </rPh>
    <rPh sb="10" eb="12">
      <t>ドウブツ</t>
    </rPh>
    <rPh sb="13" eb="16">
      <t>セイメイリョウ</t>
    </rPh>
    <rPh sb="47" eb="51">
      <t>セイキショトウ</t>
    </rPh>
    <rPh sb="52" eb="53">
      <t>ツク</t>
    </rPh>
    <rPh sb="54" eb="55">
      <t>ダ</t>
    </rPh>
    <phoneticPr fontId="1"/>
  </si>
  <si>
    <t>1640年代
形成されたもの</t>
    <rPh sb="4" eb="6">
      <t>ネンダイ</t>
    </rPh>
    <rPh sb="7" eb="9">
      <t>ケイセイ</t>
    </rPh>
    <phoneticPr fontId="1"/>
  </si>
  <si>
    <t>dimension</t>
    <phoneticPr fontId="1"/>
  </si>
  <si>
    <t>dimensioun
&lt;span class="spacer"&gt;&lt;/span&gt;14世紀後期
測定可能な広がり
直径に沿って測られた大きさ</t>
    <rPh sb="41" eb="45">
      <t>セイキコウキ</t>
    </rPh>
    <rPh sb="46" eb="50">
      <t>ソクテイカノウ</t>
    </rPh>
    <rPh sb="51" eb="52">
      <t>ヒロ</t>
    </rPh>
    <rPh sb="55" eb="57">
      <t>チョッケイ</t>
    </rPh>
    <rPh sb="58" eb="59">
      <t>ソ</t>
    </rPh>
    <rPh sb="61" eb="62">
      <t>ハカ</t>
    </rPh>
    <rPh sb="65" eb="66">
      <t>オオ</t>
    </rPh>
    <phoneticPr fontId="1"/>
  </si>
  <si>
    <t>1520年代
大きさ, 範囲, 容積</t>
    <rPh sb="4" eb="6">
      <t>ネンダイ</t>
    </rPh>
    <rPh sb="7" eb="8">
      <t>オオ</t>
    </rPh>
    <rPh sb="12" eb="14">
      <t>ハンイ</t>
    </rPh>
    <rPh sb="16" eb="18">
      <t>ヨウセキ</t>
    </rPh>
    <phoneticPr fontId="1"/>
  </si>
  <si>
    <t>1912年までに
宇宙, 何らかの領域
&lt;span class="spacer"&gt;&lt;/span&gt;1929年から
状況を構成する要素</t>
    <rPh sb="4" eb="5">
      <t>ネン</t>
    </rPh>
    <rPh sb="9" eb="11">
      <t>ウチュウ</t>
    </rPh>
    <rPh sb="13" eb="14">
      <t>ナニ</t>
    </rPh>
    <rPh sb="17" eb="19">
      <t>リョウイキ</t>
    </rPh>
    <rPh sb="52" eb="53">
      <t>ネン</t>
    </rPh>
    <rPh sb="56" eb="58">
      <t>ジョウキョウ</t>
    </rPh>
    <rPh sb="59" eb="61">
      <t>コウセイ</t>
    </rPh>
    <rPh sb="63" eb="65">
      <t>ヨウソ</t>
    </rPh>
    <phoneticPr fontId="1"/>
  </si>
  <si>
    <t>neuron（引き伸ばされたもの, 腱, 筋, 神経）</t>
  </si>
  <si>
    <t>Neuron</t>
  </si>
  <si>
    <t>1891年
付属突起を伴う神経細胞</t>
  </si>
  <si>
    <t>sentire（知覚する, 感じる, 知る）
&lt;span class="spacer"&gt;&lt;/span&gt;名詞になって
sensus（知覚, 感情, 意味）</t>
  </si>
  <si>
    <t>sensatus（感覚を備えた, 分別のある）</t>
  </si>
  <si>
    <t>sensatio（知覚）</t>
  </si>
  <si>
    <t>14世紀
sensation</t>
  </si>
  <si>
    <t>1610年代
感覚器官への外部刺激に対する反応
&lt;span class="spacer"&gt;&lt;/span&gt;1640年代
身体への何らかの作用によって生じる精神的印象を受け取る働き
&lt;span class="spacer"&gt;&lt;/span&gt;1779年までに
社会における衝撃や驚き
&lt;span class="spacer"&gt;&lt;/span&gt;1864年までに
社会において強い関心や興奮を引き起こすもの</t>
  </si>
  <si>
    <t>khartēs（パピルス, 紙）</t>
  </si>
  <si>
    <t>charta（紙）</t>
  </si>
  <si>
    <t>charta（紙, カード, 地図）</t>
  </si>
  <si>
    <t>charte（カード, 地図）</t>
  </si>
  <si>
    <t>1570年代
航海者が使用する地図
&lt;span class="spacer"&gt;&lt;/span&gt;1840年代
情報を体系的もしくは表で示した紙</t>
  </si>
  <si>
    <t>1957年から
楽譜</t>
  </si>
  <si>
    <t>geo</t>
  </si>
  <si>
    <t>graphy</t>
  </si>
  <si>
    <t>geo（大地）＋graphia（記述）
geographia（地球表面の記述）</t>
  </si>
  <si>
    <t>geographia</t>
  </si>
  <si>
    <t>15世紀
géographie</t>
  </si>
  <si>
    <t>1540年代
地球表面の現状を記述する科学</t>
  </si>
  <si>
    <t>pannus（布の切れ端）</t>
  </si>
  <si>
    <t>小さいことを表す-ellusが付いて
*pannellus（小さい布切れ）</t>
  </si>
  <si>
    <t>panel（布の切れ端, 断片）</t>
  </si>
  <si>
    <t>陪審員として呼ばれた人々の名前を記載した羊皮紙（布）の断片</t>
  </si>
  <si>
    <t>14世紀初頭
布の切れ端
&lt;span class="spacer"&gt;&lt;/span&gt;14世紀後期
裁判のために選出された陪審員団</t>
  </si>
  <si>
    <t>1570年代
助言や討論のために招集された人々
&lt;span class="spacer"&gt;&lt;/span&gt;1600年頃から
壁やドアなどの表面の他と区別される部分, パネル</t>
  </si>
  <si>
    <t>me</t>
  </si>
  <si>
    <t>ster</t>
  </si>
  <si>
    <t>six＋moonとして覚える。</t>
  </si>
  <si>
    <t>Semester（大学における半年間の課程）</t>
  </si>
  <si>
    <t>1827年
6ヶ月間の学期</t>
  </si>
  <si>
    <t>work</t>
  </si>
  <si>
    <t>work＋forceとして覚える。</t>
  </si>
  <si>
    <t>1947年までに
work（労働）＋force（力, 集団）
workforce（労働者や従業員の集合、全体）</t>
  </si>
  <si>
    <t>mola（石臼, 粉ひき機）
&lt;span class="spacer"&gt;&lt;/span&gt;形容詞になって
molinus（粉ひき機の）</t>
  </si>
  <si>
    <t>molina（粉ひき機）</t>
  </si>
  <si>
    <t>mylen（粉ひき機, ミル）</t>
  </si>
  <si>
    <t>mille（穀物を挽くための設備を備えた建物）</t>
  </si>
  <si>
    <t>1500年頃から
製造のための機械を備えた大きな工場
&lt;span class="spacer"&gt;&lt;/span&gt;1550年代
食用の穀物を挽くための機械装置
&lt;span class="spacer"&gt;&lt;/span&gt;1670年代
あらゆる固形物質を粉砕または粉末にするための機械</t>
  </si>
  <si>
    <t>use</t>
  </si>
  <si>
    <t>ab（〜から離れて）＋uti（使う：useの語源）
abuti（使い果たす, 虐待する, 不適切に使用する）
&lt;span class="spacer"&gt;&lt;/span&gt;過去分詞abusus（虐待すること, 乱用すること）</t>
  </si>
  <si>
    <t>14世紀
abus</t>
  </si>
  <si>
    <t>15世紀半ば
不適切な慣行</t>
  </si>
  <si>
    <t>1961年までに
薬物の乱用</t>
  </si>
  <si>
    <t>12世紀
vice（欠点, 欠陥, 不規則性）</t>
  </si>
  <si>
    <t>1300年頃
道徳的な欠陥や邪悪さ
&lt;span class="spacer"&gt;&lt;/span&gt;14世紀半ば
特定の個々の罪
&lt;span class="spacer"&gt;&lt;/span&gt;14世紀後期
悪い習慣, 好ましくない行動</t>
  </si>
  <si>
    <t>fari（話す）
&lt;span class="spacer"&gt;&lt;/span&gt;過去分詞から名詞になって
fatum（神々によって語られたもの, 神々によって予言されたこと, 定められたもの, 運命）
&lt;span class="spacer"&gt;&lt;/span&gt;fata</t>
  </si>
  <si>
    <t>14世紀後期
人の運命, 生まれつき定められた人生の道筋
&lt;span class="spacer"&gt;&lt;/span&gt;15世紀初頭
運命を支配する力, 出来事をあらかじめ決める主体</t>
  </si>
  <si>
    <t>1660年代
必然的に起こるもの
&lt;span class="spacer"&gt;&lt;/span&gt;1768年から
最終的な出来事, 結末</t>
  </si>
  <si>
    <t>trag</t>
  </si>
  <si>
    <t>edy</t>
  </si>
  <si>
    <t>コメディ（喜劇）の反対として覚える。</t>
  </si>
  <si>
    <t>tragos（ヤギ）＋ōidē（歌）
tragodia（ヤギの歌, 不幸な結末をもつ劇）</t>
  </si>
  <si>
    <t>tragedia（悲劇）</t>
  </si>
  <si>
    <t>14世紀
tragedie</t>
  </si>
  <si>
    <t>tragedye
&lt;span class="spacer"&gt;&lt;/span&gt;14世紀後期
悲しい結末をもつ文学作品
&lt;span class="spacer"&gt;&lt;/span&gt;15世紀初頭
独自の様式を持つ演劇芸術の一分野</t>
  </si>
  <si>
    <t>1500年頃
致命的な出来事, 惨事, 災害
&lt;span class="spacer"&gt;&lt;/span&gt;1530年代
現代の舞台劇</t>
  </si>
  <si>
    <t>scen</t>
  </si>
  <si>
    <t>ario</t>
  </si>
  <si>
    <t>scena（場面, シーン）</t>
  </si>
  <si>
    <t>scenaに形容詞を作る-ariusが付いて
scenarius（舞台場面の）</t>
  </si>
  <si>
    <t>1868年
劇作品の筋書き, 脚本</t>
  </si>
  <si>
    <t>ergy</t>
  </si>
  <si>
    <t>allos（異なる, 奇妙な）＋ergon（仕事）</t>
  </si>
  <si>
    <t>1911年
通常は無害な物質に対する免疫系の過敏症によって引き起こされる状態
アレルギー</t>
  </si>
  <si>
    <t>動詞wound（傷つける）と一緒に覚える。</t>
  </si>
  <si>
    <t>wund（人または動物の身体における刺す・切ることを伴う損傷）</t>
  </si>
  <si>
    <t>biot</t>
  </si>
  <si>
    <t>bios（生命）
&lt;span class="spacer"&gt;&lt;/span&gt;形容詞を作る-ikosが付いて
biotikos（生命に関する）</t>
  </si>
  <si>
    <t>bioticus（生命の）</t>
  </si>
  <si>
    <t>1889年
anti（〜に反対して）＋biotique（生命の）</t>
  </si>
  <si>
    <t>1894年
微生物に対して破壊的な</t>
  </si>
  <si>
    <t>vacca（牛）
&lt;span class="spacer"&gt;&lt;/span&gt;形容詞になって
vaccina（牛に関する）</t>
  </si>
  <si>
    <t>vaccin</t>
  </si>
  <si>
    <t>vaccine</t>
    <phoneticPr fontId="1"/>
  </si>
  <si>
    <t>meta</t>
  </si>
  <si>
    <t>phor</t>
  </si>
  <si>
    <t>meta（越えて）＋pherein（運ぶ, 持つ）
metapherein（持ち越す, 語を本来とは異なる意味で用いる）
&lt;span class="spacer"&gt;&lt;/span&gt;名詞になって
metaphora（移動, 転移）</t>
  </si>
  <si>
    <t>metaphora（語義の転移, 比喩）</t>
  </si>
  <si>
    <t>13世紀
metafore</t>
  </si>
  <si>
    <t>metaphore</t>
  </si>
  <si>
    <t>15世紀後期
比喩</t>
  </si>
  <si>
    <t>Hi, folks（こんにちはみなさん）やfolklore（民間伝承）などと関連させて覚える。</t>
  </si>
  <si>
    <t>folc（人々, 一般民衆, 民族）</t>
  </si>
  <si>
    <t>集合名詞として使われたが、15世紀から複数形folksが使われ始める</t>
  </si>
  <si>
    <t>fær（旅, 道, 通行）</t>
  </si>
  <si>
    <t>1510年代
通行料, 運賃</t>
  </si>
  <si>
    <t>i</t>
  </si>
  <si>
    <t>trans（越えて, 向こう）＋ire（行く）
transire（越えて行く, 渡る, 通り過ぎる）
&lt;span class="spacer"&gt;&lt;/span&gt;名詞を作る-ioが付いて
transitio（渡ること, 横切ること）</t>
  </si>
  <si>
    <t>transicion
&lt;span class="spacer"&gt;&lt;/span&gt;15世紀半ば
文法用語で、動詞と目的語の関係</t>
  </si>
  <si>
    <t>1550年代
変化
ある状態や行動から別のものへの移行</t>
  </si>
  <si>
    <t>max</t>
  </si>
  <si>
    <t>imum</t>
  </si>
  <si>
    <t>日本語でも使われるMAX（最大）はmaximumの略。</t>
  </si>
  <si>
    <t>magnus（大きな, 多い, 偉大な）
&lt;span class="spacer"&gt;&lt;/span&gt;最上級を作る-imusが付いて
maximus（最大の）
&lt;span class="spacer"&gt;&lt;/span&gt;名詞を作る-umが付いて
maximum（最大）</t>
  </si>
  <si>
    <t>1740年
最大, 最高, 最上の量や程度</t>
  </si>
  <si>
    <t>galaxias（天の川）</t>
  </si>
  <si>
    <t>galaxie</t>
  </si>
  <si>
    <t>14世紀後期
銀河
&lt;span class="spacer"&gt;&lt;/span&gt;以下は中英語・現代英語訳・日本語訳
&lt;span class="spacer"&gt;&lt;/span&gt;See yonder, lo, &lt;b&gt;the Galaxyë&lt;/b&gt;
Which men clepeth the Milky Wey, 
For hit is whyt.
&lt;span class="spacer"&gt;&lt;/span&gt;See over there—look—&lt;b&gt;the Galaxy&lt;/b&gt;,
which people call the Milky Way,
because it is white.
&lt;span class="spacer"&gt;&lt;/span&gt;あそこを見よ、見よ、&lt;b&gt;銀河&lt;/b&gt;を。
人々が天の川と呼ぶものを。
それは白いゆえに。</t>
  </si>
  <si>
    <t>1848年までに
天文学において、銀河, 星雲
太陽やすべての目に見える星々を含む独立した恒星の集まり</t>
  </si>
  <si>
    <t>miner</t>
  </si>
  <si>
    <t>マインクラフトのmine（採掘する, 掘る, 鉱山）やミネラルウォーター（鉱物成分が溶けた水）と関連させて覚える。</t>
  </si>
  <si>
    <t>minera（鉱山）
&lt;span class="spacer"&gt;&lt;/span&gt;形容詞を作る-alisが付いて
mineralis（鉱山に関する）
&lt;span class="spacer"&gt;&lt;/span&gt;名詞になって
minerale（採掘されたもの）</t>
  </si>
  <si>
    <t>14世紀後期
採掘によって得られる物質
&lt;span class="spacer"&gt;&lt;/span&gt;15世紀初頭
動物でも植物でもない物質</t>
  </si>
  <si>
    <t>1813年までに
現代の科学的な意味である、自然界に存在する無機体であり、均質で一定の化学組成と特定の識別可能な物理的特性を持つもの</t>
  </si>
  <si>
    <t>skellein（乾燥させる, 干からびさせる）
&lt;span class="spacer"&gt;&lt;/span&gt;形容詞になって
skeletos（乾燥した）
&lt;span class="spacer"&gt;&lt;/span&gt;skeleton soma（干からびた体, ミイラ, 骸骨）</t>
  </si>
  <si>
    <t>sceleton（骨, 身体の骨格構造）</t>
  </si>
  <si>
    <t>1570年代
身体の乾いた骨の全体
&lt;span class="spacer"&gt;&lt;/span&gt;1650年代
あらゆるものの骨組み</t>
  </si>
  <si>
    <t>part</t>
  </si>
  <si>
    <t>pars（部分）
&lt;span class="spacer"&gt;&lt;/span&gt;動詞になって
partiri（分ける）</t>
  </si>
  <si>
    <t>partir（分ける）
&lt;span class="spacer"&gt;&lt;/span&gt;名詞になって
partie（分けられたもの, 部分, 写し）
&lt;span class="spacer"&gt;&lt;/span&gt;contra（対して）＋partie
contrepartie（対応する部分を写して分けたもの, 写し）</t>
  </si>
  <si>
    <t>countre part
&lt;span class="spacer"&gt;&lt;/span&gt;15世紀半ば
法的文書の写して分けたもの</t>
  </si>
  <si>
    <t>1630年代
対応する部分
&lt;span class="spacer"&gt;&lt;/span&gt;1670年代
他方と正確に類似している人や物</t>
  </si>
  <si>
    <t>1903年までに
異なる文脈において他方と同等の役割を果たす人や物</t>
  </si>
  <si>
    <t>*strac
記録にはないが、おそらくこの語があったと推測される</t>
  </si>
  <si>
    <t>1300年頃
武器や手足による一撃
&lt;span class="spacer"&gt;&lt;/span&gt;14世紀半ば
雷の衝撃
&lt;span class="spacer"&gt;&lt;/span&gt;15世紀初頭
心臓の鼓動
&lt;span class="spacer"&gt;&lt;/span&gt;15世紀半ば
時計の打刻（チクタク）</t>
  </si>
  <si>
    <t>1590年代
脳卒中
もとはstroke of God's hand（神の手による一撃）と表現され、突然生じる特別な影響を意味した
&lt;span class="spacer"&gt;&lt;/span&gt;1800年までに
水泳のひとかき
&lt;span class="spacer"&gt;&lt;/span&gt;1853年
stroke of luck（幸運の一撃, 思いがけない幸運）</t>
  </si>
  <si>
    <t>pedestr</t>
  </si>
  <si>
    <t>pes（足）
&lt;span class="spacer"&gt;&lt;/span&gt;pedes（歩行者）
&lt;span class="spacer"&gt;&lt;/span&gt;pedester（徒歩の, 平凡な）</t>
  </si>
  <si>
    <t>pedestr（徒歩の, 平易な）＋ian（〜の人. 〜に関する）
&lt;span class="spacer"&gt;&lt;/span&gt;1716年
文章について、平凡な, 散文的な
&lt;span class="spacer"&gt;&lt;/span&gt;1791年までに
徒歩で行く
&lt;span class="spacer"&gt;&lt;/span&gt;1793年
徒歩で行く人, 歩行者, 徒歩で旅をする者</t>
  </si>
  <si>
    <t>20世紀
自動車に対比される道路や歩道を歩いている人</t>
  </si>
  <si>
    <t>trailler（引く, 引きずる）</t>
  </si>
  <si>
    <t>14世紀初頭
引きずられているもの</t>
  </si>
  <si>
    <t>1580年代
人や動物が残した跡や臭い
&lt;span class="spacer"&gt;&lt;/span&gt;1807年までに
動物や人間の通行によって荒野に作られた道や跡</t>
  </si>
  <si>
    <t>oikos（家, 居住地）＋logia（学問, 研究）</t>
  </si>
  <si>
    <t>ドイツの動物学者エルンスト・ヘッケルが造語したÖkologie</t>
  </si>
  <si>
    <t>oecology
&lt;span class="spacer"&gt;&lt;/span&gt;1873年
生物とその環境との関係を扱う科学の一分野</t>
  </si>
  <si>
    <t>1960年代
環境保護運動</t>
  </si>
  <si>
    <t>sibb（親族関係, 血縁関係）
&lt;span class="spacer"&gt;&lt;/span&gt;sibling（男女問わず親類）</t>
  </si>
  <si>
    <t>sibling（男女問わず親類）</t>
  </si>
  <si>
    <t>1903年
男女問わずきょうだい</t>
  </si>
  <si>
    <t>ra</t>
  </si>
  <si>
    <t>1630年代
神学や哲学の文脈で、理性, 根拠, 説明
&lt;span class="spacer"&gt;&lt;/span&gt;1650年代
数学において、二つの量の間の関係, 比率</t>
  </si>
  <si>
    <t>mix</t>
  </si>
  <si>
    <t>ture</t>
  </si>
  <si>
    <t>日本語でも使われるミックス（混ぜる）の名詞として覚える。</t>
  </si>
  <si>
    <t>miscere（混ぜる）
&lt;span class="spacer"&gt;&lt;/span&gt;過去分詞mixtus
&lt;span class="spacer"&gt;&lt;/span&gt;名詞を作る-uraが付いて
mixtura（混ぜ合わせること）</t>
  </si>
  <si>
    <t>misture</t>
  </si>
  <si>
    <t>15世紀初頭
混ぜ合わせることで生じたもの, 混合物
&lt;span class="spacer"&gt;&lt;/span&gt;15世紀半ば
混ぜ合わせること, 混合</t>
  </si>
  <si>
    <t>canere（歌う）
&lt;span class="spacer"&gt;&lt;/span&gt;名詞になって
carmen（歌, 詩, 魔法, 呪文）</t>
  </si>
  <si>
    <t>12世紀
charme（魔法のまじない, 魔法の呪文, 歌）</t>
  </si>
  <si>
    <t>1300年頃
呪文, 魔法のまじない</t>
  </si>
  <si>
    <t>1590年代
魔除けとして身につけるもの
&lt;span class="spacer"&gt;&lt;/span&gt;17世紀
人を惹きつける力, 魅力</t>
  </si>
  <si>
    <t>amb</t>
  </si>
  <si>
    <t>amb（周囲に）＋ire（行く）
ambire（周囲を行く, あちこち行って回る）
&lt;span class="spacer"&gt;&lt;/span&gt;名詞を作る-ioが付いて
ambitio（歩き回ること, 選挙で票を得るために人々の間を回ること, 支持を得ようとする行為, 名誉や地位への願望や野望）</t>
  </si>
  <si>
    <t>13世紀
ambicion</t>
  </si>
  <si>
    <t>ambicioun
&lt;span class="spacer"&gt;&lt;/span&gt;14世紀半ば
名誉や昇進に対する熱望や過度の欲望</t>
  </si>
  <si>
    <t>prominent</t>
    <phoneticPr fontId="1"/>
  </si>
  <si>
    <t>mons（山）に関連するminere（突き出る）
&lt;span class="spacer"&gt;&lt;/span&gt;pro（前へ）＋minere（突き出る）
prominere（突き出る, 際立つ, 卓越する）
&lt;span class="spacer"&gt;&lt;/span&gt;現在分詞prominens（突出している, 際立った, 卓越した）</t>
    <rPh sb="5" eb="6">
      <t>ヤマ</t>
    </rPh>
    <rPh sb="8" eb="10">
      <t>カンレン</t>
    </rPh>
    <rPh sb="19" eb="20">
      <t>ツ</t>
    </rPh>
    <rPh sb="21" eb="22">
      <t>デ</t>
    </rPh>
    <rPh sb="57" eb="58">
      <t>マエ</t>
    </rPh>
    <rPh sb="68" eb="69">
      <t>ツ</t>
    </rPh>
    <rPh sb="70" eb="71">
      <t>デ</t>
    </rPh>
    <rPh sb="90" eb="92">
      <t>キワダ</t>
    </rPh>
    <rPh sb="95" eb="97">
      <t>タクエツ</t>
    </rPh>
    <rPh sb="129" eb="133">
      <t>ゲンザイブンシ</t>
    </rPh>
    <rPh sb="143" eb="145">
      <t>トッシュツ</t>
    </rPh>
    <rPh sb="151" eb="153">
      <t>キワダ</t>
    </rPh>
    <rPh sb="157" eb="159">
      <t>タクエツ</t>
    </rPh>
    <phoneticPr fontId="1"/>
  </si>
  <si>
    <t>15世紀半ば
突き出ている, 何らかの線や表面を出て際立っている</t>
    <rPh sb="2" eb="5">
      <t>セイキナカ</t>
    </rPh>
    <rPh sb="7" eb="8">
      <t>ツ</t>
    </rPh>
    <rPh sb="9" eb="10">
      <t>デ</t>
    </rPh>
    <rPh sb="15" eb="16">
      <t>ナン</t>
    </rPh>
    <rPh sb="19" eb="20">
      <t>セン</t>
    </rPh>
    <rPh sb="21" eb="23">
      <t>ヒョウメン</t>
    </rPh>
    <rPh sb="24" eb="25">
      <t>デ</t>
    </rPh>
    <rPh sb="26" eb="28">
      <t>キワダ</t>
    </rPh>
    <phoneticPr fontId="1"/>
  </si>
  <si>
    <t>1759年から
容姿について、目立つ, 心や目に留まる
&lt;span class="spacer"&gt;&lt;/span&gt;1849年から
人物について、著名な, 卓越した, 群衆の中で際立っている</t>
    <rPh sb="4" eb="5">
      <t>ネン</t>
    </rPh>
    <rPh sb="8" eb="10">
      <t>ヨウシ</t>
    </rPh>
    <rPh sb="15" eb="17">
      <t>メダ</t>
    </rPh>
    <rPh sb="20" eb="21">
      <t>ココロ</t>
    </rPh>
    <rPh sb="22" eb="23">
      <t>メ</t>
    </rPh>
    <rPh sb="24" eb="25">
      <t>ト</t>
    </rPh>
    <rPh sb="60" eb="61">
      <t>ネン</t>
    </rPh>
    <rPh sb="64" eb="66">
      <t>ジンブツ</t>
    </rPh>
    <rPh sb="71" eb="73">
      <t>チョメイ</t>
    </rPh>
    <rPh sb="76" eb="78">
      <t>タクエツ</t>
    </rPh>
    <rPh sb="82" eb="84">
      <t>グンシュウ</t>
    </rPh>
    <rPh sb="85" eb="86">
      <t>ナカ</t>
    </rPh>
    <rPh sb="87" eb="89">
      <t>キワダ</t>
    </rPh>
    <phoneticPr fontId="1"/>
  </si>
  <si>
    <t>radical</t>
    <phoneticPr fontId="1"/>
  </si>
  <si>
    <t>radix（根）
&lt;span class="spacer"&gt;&lt;/span&gt;形容詞を作る-alisが付いて
radicalis（根の, 根を持つ）</t>
    <rPh sb="6" eb="7">
      <t>ネ</t>
    </rPh>
    <rPh sb="37" eb="40">
      <t>ケイヨウシ</t>
    </rPh>
    <rPh sb="41" eb="42">
      <t>ツク</t>
    </rPh>
    <rPh sb="49" eb="50">
      <t>ツ</t>
    </rPh>
    <rPh sb="63" eb="64">
      <t>ネ</t>
    </rPh>
    <rPh sb="67" eb="68">
      <t>ネ</t>
    </rPh>
    <rPh sb="69" eb="70">
      <t>モ</t>
    </rPh>
    <phoneticPr fontId="1"/>
  </si>
  <si>
    <t>14世紀後期
根または地面に由来する</t>
    <rPh sb="7" eb="8">
      <t>ネ</t>
    </rPh>
    <rPh sb="11" eb="13">
      <t>ジメン</t>
    </rPh>
    <rPh sb="14" eb="16">
      <t>ユライ</t>
    </rPh>
    <phoneticPr fontId="1"/>
  </si>
  <si>
    <t>1650年代
起源にまで及ぶ, 根源に関わる, 本質的な
&lt;span class="spacer"&gt;&lt;/span&gt;1817年までに
改革を進めるイギリス自由党の急進派から「急進的な」</t>
    <rPh sb="4" eb="5">
      <t>ネン</t>
    </rPh>
    <rPh sb="5" eb="6">
      <t>ダイ</t>
    </rPh>
    <rPh sb="7" eb="9">
      <t>キゲン</t>
    </rPh>
    <rPh sb="12" eb="13">
      <t>オヨ</t>
    </rPh>
    <rPh sb="16" eb="18">
      <t>コンゲン</t>
    </rPh>
    <rPh sb="19" eb="20">
      <t>カカ</t>
    </rPh>
    <rPh sb="24" eb="27">
      <t>ホンシツテキ</t>
    </rPh>
    <rPh sb="61" eb="62">
      <t>ネン</t>
    </rPh>
    <rPh sb="66" eb="68">
      <t>カイカク</t>
    </rPh>
    <rPh sb="69" eb="70">
      <t>スス</t>
    </rPh>
    <rPh sb="76" eb="79">
      <t>ジユウトウ</t>
    </rPh>
    <rPh sb="80" eb="83">
      <t>キュウシンハ</t>
    </rPh>
    <rPh sb="86" eb="89">
      <t>キュウシンテキ</t>
    </rPh>
    <phoneticPr fontId="1"/>
  </si>
  <si>
    <t>mpt</t>
  </si>
  <si>
    <t>pro（前に）＋emere（取る）
promere（前へ出す, 持ち出す, 取り出す）
&lt;span class="spacer"&gt;&lt;/span&gt;過去分詞promptus（持ち出された, 手元にある）</t>
  </si>
  <si>
    <t>13世紀
prompt</t>
  </si>
  <si>
    <t>15世紀初頭
用意ができている, 状況に応じて素早く行動する</t>
  </si>
  <si>
    <t>1520年代
遅れなく与えられる, 行われる</t>
  </si>
  <si>
    <t>form / formal / informalを関連させて覚える。</t>
  </si>
  <si>
    <t>forma（形, 型）
&lt;span class="spacer"&gt;&lt;/span&gt;形容詞を作る-alisが付いて
formalis</t>
  </si>
  <si>
    <t>formal（形式的な）</t>
  </si>
  <si>
    <t>14世紀後期
形式に関する
&lt;span class="spacer"&gt;&lt;/span&gt;15世紀初頭
正式な, 適切な形式の
&lt;span class="spacer"&gt;&lt;/span&gt;15世紀半ば
in（否定）＋formal（正式な, 適切な形式の）
informal（形を欠いた）</t>
  </si>
  <si>
    <t>1600年頃
非公式な, 規則や習慣に従っていない
&lt;span class="spacer"&gt;&lt;/span&gt;1828年
儀礼なしに行われる</t>
  </si>
  <si>
    <t>mutu</t>
  </si>
  <si>
    <t>*mei-（変える, 行く, 慣習や法律で決められた社会内での財やサービスの交換）</t>
  </si>
  <si>
    <t>mutuus（相互の, 交換によって行われる）</t>
  </si>
  <si>
    <t>14世紀
mutuel</t>
  </si>
  <si>
    <t>15世紀後期
相互に与え、相互に受け取られる</t>
  </si>
  <si>
    <t>1630年代
共通の
&lt;span class="spacer"&gt;&lt;/span&gt;</t>
  </si>
  <si>
    <t>ne</t>
  </si>
  <si>
    <t>utr</t>
  </si>
  <si>
    <t>ne（否定）＋uter（どちらか一方）
neuter（2つのうちどちらでもない）
&lt;span class="spacer"&gt;&lt;/span&gt;形容詞を作る-alisが付いて
neutralis</t>
  </si>
  <si>
    <t>1540年代
錬金術において、対照的な要素から構成されていながら適切な比率で互いを中和し合っている
国家や統治者について、争いにおいてどちらの側にも加担しない
&lt;span class="spacer"&gt;&lt;/span&gt;1660年代
酸性でもアルカリ性でもない中性の</t>
  </si>
  <si>
    <t>l</t>
  </si>
  <si>
    <t>ert</t>
  </si>
  <si>
    <t>ex（外に, 上に）＋regere（導く）
erigere（高く上げる）
&lt;span class="spacer"&gt;&lt;/span&gt;過去分詞erto（高く持ち上げられた）</t>
  </si>
  <si>
    <t>a（〜へ）＋la（＝the）＋erta（高い塔, 見張り台）
all'erta（高い所へ, 見張りの位置に, 警戒して）</t>
  </si>
  <si>
    <t>alerte（油断のない, 警戒した）</t>
  </si>
  <si>
    <t>1610年代
警戒して
&lt;span class="spacer"&gt;&lt;/span&gt;1796年から
警戒態勢</t>
  </si>
  <si>
    <t>magnet</t>
  </si>
  <si>
    <t>日本語でも使われるマグネット（磁石）と関連させて覚える。</t>
  </si>
  <si>
    <t>ho Magnes lithos（マグネシアの石）
&lt;span class="spacer"&gt;&lt;/span&gt;マグネシアは、磁化された鉱石が得られたギリシャのテッサリア地方にある地名</t>
  </si>
  <si>
    <t>magnes（磁石：magnetの語源）</t>
  </si>
  <si>
    <t>形容詞を作る-ikosが付いて
magneticus（磁石の性質をもつ, 磁気の）</t>
  </si>
  <si>
    <t>1610年代
磁石の性質を持つ
&lt;span class="spacer"&gt;&lt;/span&gt;1630年代
引きつける力を持つ</t>
  </si>
  <si>
    <t>pol</t>
  </si>
  <si>
    <t>polus（軸の端, 杭, 棒）</t>
  </si>
  <si>
    <t>形容詞を作る-arisが付いて
polaris（極の, 極に関する）</t>
  </si>
  <si>
    <t>16世紀
polaire</t>
  </si>
  <si>
    <t>1550年代
地球の極付近の, 極地方からの
&lt;span class="spacer"&gt;&lt;/span&gt;1781年
polar bear（ホッキョクグマ）
&lt;span class="spacer"&gt;&lt;/span&gt;1816年までに
球体の極に関する</t>
  </si>
  <si>
    <t>fluere（流れる, 流れ出る）
&lt;span class="spacer"&gt;&lt;/span&gt;現在分詞fluens</t>
  </si>
  <si>
    <t>1580年代
水が自由に流れる
話し手について、言葉の使い方が巧みで軽やか</t>
  </si>
  <si>
    <t>extern</t>
  </si>
  <si>
    <t>ex（外へ）
&lt;span class="spacer"&gt;&lt;/span&gt;exterus（内側に対して外側の）
内/外という位置関係を示す
&lt;span class="spacer"&gt;&lt;/span&gt;形容詞を作る-nusが付いて
externus（外部の, 外側に属する）</t>
  </si>
  <si>
    <t>形容詞を作る-alが付いて
external
&lt;span class="spacer"&gt;&lt;/span&gt;15世紀初頭
公然の</t>
  </si>
  <si>
    <t>1590年代
外側に位置する</t>
  </si>
  <si>
    <t>pass</t>
  </si>
  <si>
    <t>passif（苦しんでいる, 困難を経験している）</t>
  </si>
  <si>
    <t>passif
&lt;span class="spacer"&gt;&lt;/span&gt;14世紀後期
物質について、作用を受けることができる
人物について、受容的な
文法において、受動的な（activeの反対）
&lt;span class="spacer"&gt;&lt;/span&gt;15世紀後期
消極的な, 行動していない</t>
  </si>
  <si>
    <t>1620年代
抵抗しない, 反対しない</t>
  </si>
  <si>
    <t>aw</t>
  </si>
  <si>
    <t>ege（恐れ, 畏怖）＋full（満ちた）
egefull（恐れや畏怖に満ちた）</t>
  </si>
  <si>
    <t>agheful / aueful
&lt;span class="spacer"&gt;&lt;/span&gt;1300年頃
恐怖や尊敬に値する, 畏敬の念を抱かせる</t>
  </si>
  <si>
    <t>1809年までに
非常に悪い
（very bad）
&lt;span class="spacer"&gt;&lt;/span&gt;1818年までに
非常に大きい, ものすごい
（very great）</t>
  </si>
  <si>
    <t>unrelated</t>
  </si>
  <si>
    <t>relateと関連させて覚える。</t>
  </si>
  <si>
    <t>1660年代
relate（関係する）の過去分詞related
un（否定）＋related（関係のある）
unrelated（無関係な）</t>
  </si>
  <si>
    <t>cru</t>
  </si>
  <si>
    <t>el</t>
  </si>
  <si>
    <t>crude（粗野な）と関連させて覚える。</t>
  </si>
  <si>
    <t>crudus（生の, 血生臭い, 未加工の）
&lt;span class="spacer"&gt;&lt;/span&gt;形容詞を作る-elisが付いて
crudelis（無情な, 冷酷な, 心のない）</t>
  </si>
  <si>
    <t>12世紀
cruel</t>
  </si>
  <si>
    <t>1200年頃
厳しい
&lt;span class="spacer"&gt;&lt;/span&gt;13世紀初頭
苦しみや死などについて、大きな苦痛を伴う
&lt;span class="spacer"&gt;&lt;/span&gt;1300年頃から
他者に苦しみを与えることをいとわない
感情的にも身体的にも苦痛を与えることを好む</t>
  </si>
  <si>
    <t>1775年
形容詞で、偽造の
（ロンドンの犯罪者仲間の隠語）</t>
  </si>
  <si>
    <t>vulnus（傷）
&lt;span class="spacer"&gt;&lt;/span&gt;動詞になって
vulnerare（傷つける）</t>
  </si>
  <si>
    <t>vulnerare（傷つける）に可能や受動を表す-bilisが付いて
vulnerabilis（傷つけうる, 傷を負いうる）</t>
  </si>
  <si>
    <t>1600年頃
傷を負わされうる
&lt;span class="spacer"&gt;&lt;/span&gt;1790年頃
攻撃に対して無防備な, 攻撃にさらされやすい</t>
  </si>
  <si>
    <t>urg</t>
  </si>
  <si>
    <t>urgere（強く押す, 促す）
&lt;span class="spacer"&gt;&lt;/span&gt;現在分詞urgens（押し迫っている）</t>
  </si>
  <si>
    <t>14世紀
urgent（差し迫った, 駆り立てる）</t>
  </si>
  <si>
    <t>15世紀半ば
フレーズurgent causes（差し迫った事案）で使われる</t>
  </si>
  <si>
    <t>spirit</t>
  </si>
  <si>
    <t>ual</t>
  </si>
  <si>
    <t>spiritus（息, 呼吸, 神の息吹, 生命の息吹, 生命）
&lt;span class="spacer"&gt;&lt;/span&gt;形容詞を作る-alisが付いて
spiritualis（息や呼吸に関する, 精神に関する）</t>
  </si>
  <si>
    <t>12世紀
spirituel</t>
  </si>
  <si>
    <t>1300年頃
精神に関する
&lt;span class="spacer"&gt;&lt;/span&gt;14世紀後期
神に由来する, 霊的な</t>
  </si>
  <si>
    <t>modes</t>
  </si>
  <si>
    <t>t</t>
  </si>
  <si>
    <t>modus（尺度, 方法）
&lt;span class="spacer"&gt;&lt;/span&gt;形容詞を作る-tusが付いて
modestus（適切な尺度を保つ, 適度な, 控えめな）</t>
  </si>
  <si>
    <t>14世紀
modeste</t>
  </si>
  <si>
    <t>1560年代
適度な自尊心を持つ
礼儀や謙虚さによって抑制された</t>
  </si>
  <si>
    <t>cane（大胆な, 勇敢な）
&lt;span class="spacer"&gt;&lt;/span&gt;後期cane（賢い, 有能な）
&lt;span class="spacer"&gt;&lt;/span&gt;&lt;span class="obsolete"&gt;おそらくcan（できる）と関連する語&lt;/span&gt;</t>
  </si>
  <si>
    <t>kene
&lt;span class="spacer"&gt;&lt;/span&gt;1200年頃
物理的に尖っている, 鋭い
&lt;span class="spacer"&gt;&lt;/span&gt;1300年頃
何かをすることに熱心な, 熱烈な</t>
  </si>
  <si>
    <t>none</t>
  </si>
  <si>
    <t>1839年
none the less</t>
  </si>
  <si>
    <t>1930年頃までに
1語になってnonetheless（そのせいで多くなることも少なくなることもない）</t>
  </si>
  <si>
    <t>otiate</t>
  </si>
  <si>
    <t>neg（否定）＋otium（余暇）
negotium（余暇がないこと, 仕事, 事業, 職業, 雇用）
&lt;span class="spacer"&gt;&lt;/span&gt;動詞になって
negotiari（商売する, 事業を行う）
&lt;span class="spacer"&gt;&lt;/span&gt;過去分詞negotiatus</t>
  </si>
  <si>
    <t>1590年代
相手との合意を求めて交渉する
&lt;span class="spacer"&gt;&lt;/span&gt;1610年代
交渉によって手配する
交渉によって取り計らう</t>
  </si>
  <si>
    <t>*ghrebh-（つかむ）
&lt;span class="spacer"&gt;&lt;/span&gt;&lt;span class="obsolete"&gt;grab（つかむ, 横取りする）の語源でもある。&lt;/span&gt;</t>
  </si>
  <si>
    <t>*græpsan（触れる, 感じる）</t>
  </si>
  <si>
    <t>grapsenからpとsの位置が逆転
&lt;span class="spacer"&gt;&lt;/span&gt;14世紀半ば
手を伸ばす, 手探りする</t>
  </si>
  <si>
    <t>16世紀半ば
つかむ
&lt;span class="spacer"&gt;&lt;/span&gt;17世紀
把握する, 理解する</t>
  </si>
  <si>
    <t>dona</t>
  </si>
  <si>
    <t>te</t>
  </si>
  <si>
    <t>donum（贈り物）
&lt;span class="spacer"&gt;&lt;/span&gt;動詞になって
donare（贈り物をする）
&lt;span class="spacer"&gt;&lt;/span&gt;過去分詞に名詞を作る-ioが付いて
donatio（与えること）</t>
  </si>
  <si>
    <t>13世紀
donacion</t>
  </si>
  <si>
    <t>donacioun
&lt;span class="spacer"&gt;&lt;/span&gt;15世紀半ば
与えること
無償で与えられるもの, 寄付金, 贈り物</t>
  </si>
  <si>
    <t>1819年
donationから動詞になって
贈る, 寄付する</t>
  </si>
  <si>
    <t>re（後ろへ）＋stare（立つ）
restare（後ろにとどまる, 止まる）</t>
  </si>
  <si>
    <t>ad（〜へ）＋restare（後ろにとどまる, 止まる）
*arrestare（止める, 抑制する）</t>
  </si>
  <si>
    <t>12世紀
arester（とどまる, 止まる）</t>
  </si>
  <si>
    <t>14世紀後期
停止させる, 法的に拘禁する, 逮捕する</t>
  </si>
  <si>
    <t>1814年から
注意などを引き付けて離さない</t>
  </si>
  <si>
    <t>cracian（鋭い音を立てる）</t>
  </si>
  <si>
    <t>craken
&lt;span class="spacer"&gt;&lt;/span&gt;1300年頃から
裂けて開く, 破裂する
隙間ができるように壊す
&lt;span class="spacer"&gt;&lt;/span&gt;14世紀初頭
口にする, 話す
&lt;span class="spacer"&gt;&lt;/span&gt;14世紀初頭
大声で話す</t>
  </si>
  <si>
    <t>日本語でも使われる①画面をタップする、②電源タップなどと関連させて覚える。</t>
  </si>
  <si>
    <t>①tappen
&lt;span class="spacer"&gt;&lt;/span&gt;1200年頃
軽く叩く, 軽く叩いて音を立てる
&lt;span class="spacer"&gt;&lt;/span&gt;15世紀半ば
音楽などに合わせて自分の足を何かに軽く打ち付ける
&lt;span class="spacer"&gt;&lt;/span&gt;②tappe
&lt;span class="spacer"&gt;&lt;/span&gt;液体を出すための蛇口
おそらくもとは樽につけた蛇口
&lt;span class="spacer"&gt;&lt;/span&gt;1400年頃
tappen（樽から酒を出す）
→近代英語へ</t>
  </si>
  <si>
    <t>1570年代
利用するために開く
（蛇口をつけるイメージ）
&lt;span class="spacer"&gt;&lt;/span&gt;1869年
秘密裏に聞き取る
（電信線に開通させて情報を抜き取る）</t>
  </si>
  <si>
    <t>split the bill（割り勘をする）といった表現と関連させてえ覚える。</t>
  </si>
  <si>
    <t>1580年代
縦に裂く, 引き裂く
&lt;span class="spacer"&gt;&lt;/span&gt;1706年
複数の部分に分割する</t>
  </si>
  <si>
    <t>fore</t>
  </si>
  <si>
    <t>fore（前に）＋casten（投げる, 計算する, 考える）
&lt;span class="spacer"&gt;&lt;/span&gt;14世紀後期
前へ投げる, 今後のことを考える
&lt;span class="spacer"&gt;&lt;/span&gt;15世紀後期
今後の出来事を予測する</t>
  </si>
  <si>
    <t>ex（外に）＋claudere（閉じる）
exclaudere（締め出す）</t>
  </si>
  <si>
    <t>14世紀中頃
締め出す, 参加を拒否する, 入ることを妨げる</t>
  </si>
  <si>
    <t>look</t>
  </si>
  <si>
    <t>overloken
&lt;span class="spacer"&gt;&lt;/span&gt;14世紀後期
注意深く調べる
&lt;span class="spacer"&gt;&lt;/span&gt;1400年頃
高いところから見渡す</t>
  </si>
  <si>
    <t>1520年代
対象の上や向こう側を見てしまい、その結果、見落とす
比喩的に寛大に見過ごす, 大目に見る
&lt;span class="spacer"&gt;&lt;/span&gt;1530年代
監視する</t>
  </si>
  <si>
    <t>burstは内部の圧力で破裂するイメージ。</t>
  </si>
  <si>
    <t>berstan（突然壊れる, 破裂する）</t>
  </si>
  <si>
    <t>bresten
&lt;span class="spacer"&gt;&lt;/span&gt;14世紀後期
突然ある活動や表現に突入する
&lt;span class="spacer"&gt;&lt;/span&gt;&lt;span class="obsolete"&gt;古ノルド語の影響で、古英語ber-からbre-へ変化&lt;/span&gt;</t>
  </si>
  <si>
    <t>16世紀後期
音位転換によりbur-に戻る</t>
  </si>
  <si>
    <t>whole（完全な, 全体の）やhealth（健康）と関連させて覚える。</t>
  </si>
  <si>
    <t>*kailo-（完全な）</t>
  </si>
  <si>
    <t>*hailjan（完全な状態にする, wholeにする）</t>
  </si>
  <si>
    <t>hælan（完全な状態にする, 健全で健康な状態にする, 治す）</t>
  </si>
  <si>
    <t>for</t>
  </si>
  <si>
    <t>bid</t>
  </si>
  <si>
    <t>for（〜に対する）＋beodan（命じる）
forbeodan（禁じる）</t>
  </si>
  <si>
    <t>stall</t>
  </si>
  <si>
    <t>in（中に）＋stallum（座席）
&lt;span class="spacer"&gt;&lt;/span&gt;動詞になって
installare</t>
  </si>
  <si>
    <t>14世紀
installer</t>
  </si>
  <si>
    <t>instal
&lt;span class="spacer"&gt;&lt;/span&gt;15世紀初頭
公式な座席（stall）に座らせることで地位に就かせる</t>
  </si>
  <si>
    <t>minish</t>
  </si>
  <si>
    <t>de（完全に）＋minuere（小さくする）
diminuere（小さくする, 減らす）</t>
  </si>
  <si>
    <t>ラテン語minuereから生まれたmenuisier
&lt;span class="spacer"&gt;&lt;/span&gt;ラテン語diminuereから生まれたdiminuer</t>
  </si>
  <si>
    <t>14世紀半ば
古フランス語menuisierから生まれたminish
&lt;span class="spacer"&gt;&lt;/span&gt;14世紀後期
古フランス語diminuereから生まれたdiminue
&lt;span class="spacer"&gt;&lt;/span&gt;15世紀初頭
diminueとminishがひとつになってdiminishen（減らす, 小さくする）</t>
  </si>
  <si>
    <t>1510年代
減る, 小さくなる</t>
  </si>
  <si>
    <t>ciere（動かす, 呼ぶ, 招く）
反復形citare（頻繁に呼びかける, 呼び出す, 促す）</t>
  </si>
  <si>
    <t>14世紀
citer（召喚する）</t>
  </si>
  <si>
    <t>15世紀半ば
召喚する, 公式に呼び出す</t>
  </si>
  <si>
    <t>1530年代
著作の一節や他者の言葉を引用する</t>
  </si>
  <si>
    <t>quot（いくつ？）
quotus（順番で何番？）</t>
  </si>
  <si>
    <t>quotare（番号で区別する, 章や節で区切る）</t>
  </si>
  <si>
    <t>coter</t>
  </si>
  <si>
    <t>coten
&lt;span class="spacer"&gt;&lt;/span&gt;14世紀後期
&lt;span class="obsolete"&gt;本に章番号や、欄外の参照や注釈をつける&lt;/span&gt;</t>
  </si>
  <si>
    <t>1570年代
参考文献として挙げる
権威として引用する
&lt;span class="spacer"&gt;&lt;/span&gt;1670年代
正確な言葉を書き写す
正確な言葉を繰り返す
本において引用符で囲む</t>
  </si>
  <si>
    <t>pute</t>
  </si>
  <si>
    <t>dis（分けて）＋putare（考える, 計算する）
disputare（別々に扱う, 検討する, 議論する）</t>
  </si>
  <si>
    <t>12世紀
desputer（議論する, 争う, 論争する）</t>
  </si>
  <si>
    <t>1300年頃
論争や議論に参加する</t>
  </si>
  <si>
    <t>1510年代
反論する, 論破しようとする</t>
  </si>
  <si>
    <t>high</t>
  </si>
  <si>
    <t>1650年代
high（高い）＋light（光度）
highlight（絵画の中で最も明るい部分, 光度が高い部分）
&lt;span class="spacer"&gt;&lt;/span&gt;1855年までに
際立った特徴
&lt;span class="spacer"&gt;&lt;/span&gt;1861年
絵画や彫版にハイライト（最も明るい部分）を与える</t>
  </si>
  <si>
    <t>1944年までに
目立たせる, 強調する</t>
  </si>
  <si>
    <t>dis（離れて）＋trahere（引く）
distrahere（異なる方向へ引く）
&lt;span class="spacer"&gt;&lt;/span&gt;過去分詞distractus</t>
  </si>
  <si>
    <t>distracten
&lt;span class="spacer"&gt;&lt;/span&gt;14世紀後期
人や心をいかなる対象から遠くへそらす</t>
  </si>
  <si>
    <t>1580年代
どう行動すべきかわからない状態にする, 動揺させる</t>
  </si>
  <si>
    <t>ex（外に）＋cadere（落ちる）</t>
  </si>
  <si>
    <t>*excadere（落ちる, 外れる）</t>
  </si>
  <si>
    <t>15世紀半ば
国が財産を没収する</t>
  </si>
  <si>
    <t>没収した財産を管理していた王室の役人たちは、明らかに不当であるという評判があった
&lt;span class="spacer"&gt;&lt;/span&gt;1580年代
不当に奪う
&lt;span class="spacer"&gt;&lt;/span&gt;1630年代
だます
不誠実に振る舞う</t>
  </si>
  <si>
    <t>fostor（食物, 養育）
*fostrian（食物を与える, 養う）</t>
  </si>
  <si>
    <t>1200年頃から
子どもを親として養育する</t>
  </si>
  <si>
    <t>1560年代
感情や考えを育む</t>
  </si>
  <si>
    <t>ey</t>
  </si>
  <si>
    <t xml:space="preserve">12世紀
obeir（従う）
</t>
  </si>
  <si>
    <t>obeien
&lt;span class="spacer"&gt;&lt;/span&gt;1300年頃
従う, 〜に支配される</t>
  </si>
  <si>
    <t>14世紀初頭
湾曲させる, 曲げる
&lt;span class="spacer"&gt;&lt;/span&gt;14世紀後期
自動詞で、湾曲する, 曲がる
&lt;span class="spacer"&gt;&lt;/span&gt;1400年頃から
服従する</t>
  </si>
  <si>
    <t>prive</t>
  </si>
  <si>
    <t>privus（個人の）
&lt;span class="spacer"&gt;&lt;/span&gt;動詞になって
privare（何かから解放する, 何かから奪う）</t>
  </si>
  <si>
    <t>de（完全に）＋privare（何かから奪う）
deprivare</t>
  </si>
  <si>
    <t>depriver</t>
  </si>
  <si>
    <t>depriven
&lt;span class="spacer"&gt;&lt;/span&gt;14世紀半ば
奪う</t>
  </si>
  <si>
    <t>*kers-（走る）
&lt;span class="spacer"&gt;&lt;/span&gt;&lt;span class="obsolete"&gt;car（車）, career（キャリア）, carry（運ぶ）, charge（責任, 料金）, current（現在の, 流れ）などもこの印欧祖語に由さかのぼる。&lt;/span&gt;</t>
  </si>
  <si>
    <t>kybernan（船を操縦する, 舵を取る, 導く, 統治する）</t>
  </si>
  <si>
    <t>ギリシャ語のkybernanを借用して
gubernare（導く, 統治する, 支配する）</t>
  </si>
  <si>
    <t>governer（操縦する, 舵を取る, 統治する, 支配する）</t>
  </si>
  <si>
    <t>13世紀後期
権威を持って統治する</t>
  </si>
  <si>
    <t>1670年代
log-book（船の速度や進行などの日々の記録）
&lt;span class="spacer"&gt;&lt;/span&gt;1823年
航海日誌に記入する
&lt;span class="spacer"&gt;&lt;/span&gt;1842年
log-bookが短縮されてlogになる
log（観察や測定値などの記録）</t>
  </si>
  <si>
    <t>1963年までに
コンピュータにおいて安全なマシンやシステムへのアクセス権を得る</t>
  </si>
  <si>
    <t>trans（越えて, 向こうへ）＋mittere（送る, 放つ）</t>
  </si>
  <si>
    <t>1400年頃
送り届ける, 別の人や場所へ渡す</t>
  </si>
  <si>
    <t>日本語でも使われるタイムリープ（時間跳躍, 異なる時代へ跳ぶ）と関連させて覚える。</t>
  </si>
  <si>
    <t>15世紀初頭
跳んで飛び超える</t>
  </si>
  <si>
    <t>tonish</t>
  </si>
  <si>
    <t>ex（外へ）＋tonare（雷が鳴る）</t>
  </si>
  <si>
    <t>*extonare（人を雷に打たれたような状態にする）</t>
  </si>
  <si>
    <t>estoner（驚愕させる）</t>
  </si>
  <si>
    <t>astonien
&lt;span class="spacer"&gt;&lt;/span&gt;1300年頃
茫然自失にさせる
気絶させる</t>
  </si>
  <si>
    <t>1520年代
スペルが現代的な-ishという形になる
&lt;span class="spacer"&gt;&lt;/span&gt;1610年代
驚嘆させる
驚きで衝撃を与える</t>
  </si>
  <si>
    <t>þurh（通って：throughの語源）
þyrel（穴）
&lt;span class="spacer"&gt;&lt;/span&gt;動詞になって
þyrlian（穴を開ける, 突き刺す）</t>
  </si>
  <si>
    <t>thirlen
&lt;span class="spacer"&gt;&lt;/span&gt;14世紀初頭
突き刺す, 穴を開ける
&lt;span class="spacer"&gt;&lt;/span&gt;14世紀後期
感情が突然突き抜けるような影響を与える
深く感動させる</t>
  </si>
  <si>
    <t>1590年代
震えるようなわくわくする感覚を与える
ぞくっとさせる</t>
  </si>
  <si>
    <t>14世紀後期
素早く頭を下げる, 会釈する</t>
  </si>
  <si>
    <t>1560年代
うとうとする</t>
  </si>
  <si>
    <t>bugan（曲げる, 曲がる, お辞儀する, 屈服する）</t>
  </si>
  <si>
    <t>bouen（体を曲げる, お辞儀する, 屈服する）</t>
  </si>
  <si>
    <t>blandan（混ぜる）</t>
  </si>
  <si>
    <t>blenden
&lt;span class="spacer"&gt;&lt;/span&gt;1300年頃
区別がつかなくなるように混ぜ合わせる
液体をかき混ぜる</t>
  </si>
  <si>
    <t>plicate</t>
  </si>
  <si>
    <t>com（共に）＋plicare（折る）
complicare（共に折り込む）
&lt;span class="spacer"&gt;&lt;/span&gt;過去分詞complicatus（折り畳まれた, 複雑な）</t>
  </si>
  <si>
    <t>1620年代
絡み合わせる
&lt;span class="spacer"&gt;&lt;/span&gt;1832年から
より複雑にする
より入り組んだものにする</t>
  </si>
  <si>
    <t>記録にはない*piccean</t>
  </si>
  <si>
    <t>1200年頃
&lt;span class="obsolete"&gt;何かを押し込む, 杭を打ち込む, 固定する&lt;/span&gt;
&lt;span class="spacer"&gt;&lt;/span&gt;13世紀半ば
直立に据える
&lt;span class="spacer"&gt;&lt;/span&gt;13世紀後期
ペグを地面に打ち込む
pitch a tent（テントを張る）
&lt;span class="spacer"&gt;&lt;/span&gt;14世紀後期
何かを投げる</t>
  </si>
  <si>
    <t>1510年代
前へ傾ける
&lt;span class="spacer"&gt;&lt;/span&gt;1620年代
船について、波を越えるときに船が縦に揺れる
&lt;span class="spacer"&gt;&lt;/span&gt;1680年代
真っ逆さまに落ちる
&lt;span class="spacer"&gt;&lt;/span&gt;1868年までに
野球でボールを投げる</t>
  </si>
  <si>
    <t>per（完全に）＋sistere（立ち止まる）
persistere（断固として継続する, とどまる）</t>
  </si>
  <si>
    <t>14世紀
persister</t>
  </si>
  <si>
    <t>1530年代
ある状態や行動を確固として継続する</t>
  </si>
  <si>
    <t>de（離れて）＋dicare（宣言する）
dedicare（世俗から切り離して神に属するものだと宣言する, 奉献する）
&lt;span class="spacer"&gt;&lt;/span&gt;過去分詞dedicatus</t>
  </si>
  <si>
    <t>15世紀初頭
教会建築に関して、神や神聖な目的のために奉献する</t>
  </si>
  <si>
    <t>1540年代
文学や音楽作品を特定の人物や対象に捧げる
&lt;span class="spacer"&gt;&lt;/span&gt;1550年代
一般的な意味で、目的をもってささげる</t>
  </si>
  <si>
    <t>skip（船）
skipa（船を装備する, 整える, 秩序立てて配置する）</t>
  </si>
  <si>
    <t>12世紀
esquiper（船を装備する）</t>
  </si>
  <si>
    <t>équiper（備え付ける）</t>
  </si>
  <si>
    <t>1520年代
備え付ける</t>
  </si>
  <si>
    <t>mise</t>
  </si>
  <si>
    <t>prae（前に）＋mittere（送る）
praemittere（前へ送る, 前に置く）</t>
  </si>
  <si>
    <t>praemissa（前に置かれた命題や文）</t>
  </si>
  <si>
    <t>14世紀
premisse</t>
  </si>
  <si>
    <t>14世紀後期
論理学において、別の命題が導かれる前提となる命題
&lt;span class="spacer"&gt;&lt;/span&gt;15世紀初頭
法律文書において、以前に述べられた事柄</t>
  </si>
  <si>
    <t>1730年
中英語の法的意味が、不動産譲渡証書や遺言書において家屋や建物を指したことから、敷地を伴う家屋や建物</t>
  </si>
  <si>
    <t>put</t>
  </si>
  <si>
    <t>1753年
in（中に）＋put（置く）
input（投入された金額）</t>
  </si>
  <si>
    <t>1902年から
装置や機械に供給されるエネルギー
&lt;span class="spacer"&gt;&lt;/span&gt;1948年から
マシンに送り込まれるデータ</t>
  </si>
  <si>
    <t>mereri（値する, 稼ぐ, 得る）
&lt;span class="spacer"&gt;&lt;/span&gt;過去分詞meritus
&lt;span class="spacer"&gt;&lt;/span&gt;名詞を作る-umが付いて
meritum（価値, 利益, 功績, 報い, 罰）</t>
  </si>
  <si>
    <t>merite（道徳的価値, 報酬, 功績）</t>
  </si>
  <si>
    <t>1200年頃
霊的な功績
&lt;span class="spacer"&gt;&lt;/span&gt;1300年頃
霊的な報酬
&lt;span class="spacer"&gt;&lt;/span&gt;14世紀初頭
価値, 価値に値する性質
&lt;span class="spacer"&gt;&lt;/span&gt;14世紀後期
報いを受けるに値する状態や行為
報酬, 利益</t>
  </si>
  <si>
    <t>pathy</t>
  </si>
  <si>
    <t>syn-（共に）＋pathos（感情）
sympathēs（同じ感情を受ける, 共感する）
&lt;span class="spacer"&gt;&lt;/span&gt;名詞になって
sympatheia（共感, 感情の共有）</t>
  </si>
  <si>
    <t>sympathia（共感, 感情の共有）</t>
  </si>
  <si>
    <t>16世紀
sympathie</t>
  </si>
  <si>
    <t>1580年代
あるもの同士の共鳴関係（身体と魂、人と服の対応関係）
&lt;span class="spacer"&gt;&lt;/span&gt;1590年代
感情や傾向の一致
&lt;span class="spacer"&gt;&lt;/span&gt;1600年頃から
他者の苦しみに心を寄せる性質
&lt;span class="spacer"&gt;&lt;/span&gt;1660年代
他者と同一または類似の感情を抱くこと
同情, 感情</t>
  </si>
  <si>
    <t>com（強意）＋plere（満たす）
complere（完全に満たす）
&lt;span class="spacer"&gt;&lt;/span&gt;名詞を作る-mentumが付いて
complementum（満たすもの, 完成させるもの）</t>
  </si>
  <si>
    <t>1570年代
礼儀上の義務を満たす行為
礼儀や敬意の表現
お世辞
&lt;span class="spacer"&gt;&lt;/span&gt;1650年頃以降
スペルがcomplementからcomplimentへ変化（補足, 補完を意味するcomplementと区別）
&lt;span class="obsolete"&gt;これは俗ラテン語*complireから生まれたイタリア語を経由したフランス語complimentの影響&lt;/span&gt;
&lt;span class="spacer"&gt;&lt;/span&gt;19世紀初頭までに
賞賛や感嘆の表現</t>
  </si>
  <si>
    <t>infra</t>
  </si>
  <si>
    <t>structure</t>
  </si>
  <si>
    <t>infrastructure（インフラ）は、活動や運用を下から支える基盤、下支えというイメージ。</t>
  </si>
  <si>
    <t>1875年
infra（下の）＋structure（構造）
infrastructure</t>
  </si>
  <si>
    <t>1887年
あらゆる運用やシステムの基礎を形成する施設（もとは軍事的なものを指す）</t>
  </si>
  <si>
    <t>レントゲン（X線）のX-rayや、青紫色の光線で書き込むBlu-ray Discと関連させて覚える。</t>
  </si>
  <si>
    <t>radius（中心から放射状に伸びる直線状のもの, 棒, 光線, 円の半径）</t>
  </si>
  <si>
    <t>rai（太陽の光線）</t>
  </si>
  <si>
    <t>14世紀初頭
光の束, 発光体から特定の方向に放出される光</t>
  </si>
  <si>
    <t>dis（離れて）＋stringere（引き締める, 強く引く）
distringere（引き離す, 妨げる）
&lt;span class="spacer"&gt;&lt;/span&gt;過去分詞districtus（引き締められた, 拘束された）</t>
  </si>
  <si>
    <t>districtusに名詞を作る-iaが付いて
*districtia（拘束, 苦悩, 苦痛）</t>
  </si>
  <si>
    <t>destresse</t>
  </si>
  <si>
    <t>13世紀後期
不安や困苦を引き起こす状況
&lt;span class="spacer"&gt;&lt;/span&gt;1300年頃から
肉体または精神の痛みや苦しみ</t>
  </si>
  <si>
    <t>join（加わる, 一緒になる）の名詞＝くっつく部分として覚える。</t>
  </si>
  <si>
    <t>iungere（結合する：joinの語源）
&lt;span class="spacer"&gt;&lt;/span&gt;過去分詞iunctus（結合された, 接続された）</t>
  </si>
  <si>
    <t>12世紀
joint（体の関節）</t>
  </si>
  <si>
    <t>1300年頃
解剖学上の関節
2つの骨が接し合い互いに動く体の一部
&lt;span class="spacer"&gt;&lt;/span&gt;14世紀後期
一般的に、2つの構成要素をつなぐもの
out of joint（関節が外れた, 脱臼した）
&lt;span class="spacer"&gt;&lt;/span&gt;15世紀初頭
out of joint（無秩序な, 調子が狂って）</t>
  </si>
  <si>
    <t>13世紀
expedicion（遠征, 任務, 迅速に進めること）</t>
  </si>
  <si>
    <t>expedicioun
&lt;span class="spacer"&gt;&lt;/span&gt;15世紀初頭
軍事行動, 迅速に出発する行為</t>
  </si>
  <si>
    <t>1590年代
ある目的のための旅
&lt;span class="spacer"&gt;&lt;/span&gt;1690年代
そのような旅をしている団体</t>
  </si>
  <si>
    <t>olesc</t>
  </si>
  <si>
    <t>*al-（成長する, 養う）
&lt;span class="spacer"&gt;&lt;/span&gt;&lt;span class="obsolete"&gt;oldやelder（古い）もこの印欧祖語にさかのぼる。&lt;/span&gt;</t>
  </si>
  <si>
    <t>15世紀
adolescent</t>
  </si>
  <si>
    <t>15世紀半ば
若者, 成長過程にある者</t>
  </si>
  <si>
    <t>sceadu（陰, 日陰の場所, まぶしさからの保護）
scead（部分的な暗闇, 保護）</t>
  </si>
  <si>
    <t>shade（人や物のかげ, 光の遮断によって生じる暗いところ）</t>
  </si>
  <si>
    <t>1640年代
相対的な目立たなさ
&lt;span class="spacer"&gt;&lt;/span&gt;1680年代
色の色調, 色合い
&lt;span class="spacer"&gt;&lt;/span&gt;1749年から
わずかな程度
&lt;span class="spacer"&gt;&lt;/span&gt;1801年から
目を保護する覆い</t>
  </si>
  <si>
    <t>ius（法, 法的誓約）
iurare（宣誓する）</t>
  </si>
  <si>
    <t>iurata（誓約, 司法調査, 宣誓した男性集団）</t>
  </si>
  <si>
    <t>13世紀
juree</t>
  </si>
  <si>
    <t>14世紀初頭
法律に従って選出され、提出された事件や告発の事実と真実を判断し、評決を下すことを宣誓した、定められた人数の集団</t>
  </si>
  <si>
    <t>1851年
賞を授与するために選ばれた審査員団</t>
  </si>
  <si>
    <t>eth</t>
  </si>
  <si>
    <t>ēthos（習慣, 道徳的人格）
&lt;span class="spacer"&gt;&lt;/span&gt;形容詞を作る-ikosが付いて
倫理的な, 人格に関する</t>
  </si>
  <si>
    <t>ethica</t>
  </si>
  <si>
    <t>13世紀
etique（倫理, 道徳哲学）</t>
  </si>
  <si>
    <t>ethik
&lt;span class="spacer"&gt;&lt;/span&gt;14世紀後期
道徳の研究, 倫理学</t>
  </si>
  <si>
    <t>1650年代
個人または集団の倫理的規則, 行動規範</t>
  </si>
  <si>
    <t>poinē（罰, 罰金）</t>
  </si>
  <si>
    <t>poena（罰, 刑罰）
&lt;span class="spacer"&gt;&lt;/span&gt;形容詞を作る-alisが付いて
poenalis（罰に関する, 刑罰の）</t>
  </si>
  <si>
    <t>poenalisに名詞を作る-itasが付いて
penalitas（罰, 刑罰）</t>
  </si>
  <si>
    <t>penalite</t>
  </si>
  <si>
    <t>1500年頃
罰, 刑罰
&lt;span class="spacer"&gt;&lt;/span&gt;1510年代
法律違反に対して法によって定められた刑罰
（のちに義務や合意の不履行や違反対する罰）
&lt;span class="spacer"&gt;&lt;/span&gt;1885年までに
スポーツのルール違反に対するペナルティ</t>
  </si>
  <si>
    <t>ul</t>
  </si>
  <si>
    <t>facere（行う, 作る）＋ilis（〜できる, 〜しやすい）
facilis（行うことができる, 礼儀正しい）
&lt;span class="spacer"&gt;&lt;/span&gt;名詞を作る-tasが付いて
facultas（力, 能力, 可能性, 富）</t>
  </si>
  <si>
    <t>faculte（技能, 業績, 学問）</t>
  </si>
  <si>
    <t>14世紀後期
能力, 手段, 資源
&lt;span class="spacer"&gt;&lt;/span&gt;14世紀後期
知識における能力
特定の専門的な権限を与えられた人々の集団
学問分野</t>
  </si>
  <si>
    <t>1767年から
大学全体の教職員全体（教授陣）</t>
  </si>
  <si>
    <t>skhēma（ある状態に保たれている形, 外観, 物の性質）</t>
  </si>
  <si>
    <t>schema（形, 外観）</t>
  </si>
  <si>
    <t>1610年代
システムの構成部分や要素の相対的な位置を示す線的な表現で、特に占星術で使われた意味
&lt;span class="spacer"&gt;&lt;/span&gt;1640年代
行動計画
&lt;span class="spacer"&gt;&lt;/span&gt;1718年までに
ある目的を達成するために考案された行動計画
&lt;span class="spacer"&gt;&lt;/span&gt;1736年から
複数の構成要素が協調した複合的統一体
秩序ある配置
体系</t>
  </si>
  <si>
    <t>nutrire（養う, 乳を与える, 食べさせる）
&lt;span class="spacer"&gt;&lt;/span&gt;名詞を作る-ioが付いて
nutritio（養うこと, 食べ物を与えること）</t>
  </si>
  <si>
    <t>14世紀
nutrition</t>
  </si>
  <si>
    <t>1550年代
生物が適切な食物を吸収し、それを生体組織へと構築する行為または過程
栄養の摂取
&lt;span class="spacer"&gt;&lt;/span&gt;1600年頃から
栄養となるもの, 食物</t>
  </si>
  <si>
    <t>parti</t>
  </si>
  <si>
    <t>pars（部分）
&lt;span class="spacer"&gt;&lt;/span&gt;小さいことを表す-culaが付いて
particula（小さな部分, 粒, わずか）</t>
  </si>
  <si>
    <t>14世紀後期
欠片や断片
全体のうちの小さな部分
分割されたもの
物質のかなり小さな一部分</t>
  </si>
  <si>
    <t>1530年代
文法用語で、文の構造において補助的な役割を果たすとされる品詞（助詞や不変化詞）</t>
  </si>
  <si>
    <t>1969年から
Particle physics（素粒子物理学）</t>
  </si>
  <si>
    <t>mole</t>
  </si>
  <si>
    <t>cule</t>
  </si>
  <si>
    <t>moles（塊, 大きな塊, 防波堤）</t>
  </si>
  <si>
    <t>moles（塊, 大きな塊, 防波堤）に小さいことを表す-culaが付いて
molecula（小さな塊）</t>
  </si>
  <si>
    <t>1794年
極微小な粒子
&lt;span class="spacer"&gt;&lt;/span&gt;1811年
アヴォガドロによる定義：物質の化学的な性質を損なうことなく物質を分割できる最小の単位＝分子
&lt;span class="obsolete"&gt;H₂OがH₂とOになれば、水という物質ではなくなってしまう。&lt;/span&gt;</t>
  </si>
  <si>
    <t>nation</t>
  </si>
  <si>
    <t>nation（国家）やnational（国家の, 国民の）と関連させて覚える。</t>
  </si>
  <si>
    <t>*gen-（生む）</t>
  </si>
  <si>
    <t>nasci（生まれる）
&lt;span class="spacer"&gt;&lt;/span&gt;過去分詞natus
&lt;span class="spacer"&gt;&lt;/span&gt;名詞を作る-ioが付いて
natio（生まれたもの, 出生, 民族：nationの語源）</t>
  </si>
  <si>
    <t>nation（国家, 民族）に形容詞を作る-alが付いて
national（国家の, 国民の）
&lt;span class="spacer"&gt;&lt;/span&gt;1690年代、名詞を作る-ityが付いて
nationality（独立した国家, 国民の統一性）
&lt;span class="spacer"&gt;&lt;/span&gt;1828年から
特定の国家に属する事実, 国籍
&lt;span class="spacer"&gt;&lt;/span&gt;1832年までに
民族的な集団
民族性, 国民性</t>
  </si>
  <si>
    <t>中低地ドイツ語・中世オランダ語</t>
  </si>
  <si>
    <t>pol（頭, 頂部）</t>
  </si>
  <si>
    <t>polle
&lt;span class="spacer"&gt;&lt;/span&gt;1300年頃
頭髪, 動物の頭部の毛皮
&lt;span class="spacer"&gt;&lt;/span&gt;14世紀初頭
人間や動物の頭
&lt;span class="spacer"&gt;&lt;/span&gt;14世紀半ば
人や個人自体を指す</t>
  </si>
  <si>
    <t>1620年代までに
頭数を数えるという概念から、投票の集計または計数
&lt;span class="spacer"&gt;&lt;/span&gt;1832年までに
選挙における投票</t>
  </si>
  <si>
    <t>1902年までに
世論調査</t>
  </si>
  <si>
    <t>clin</t>
  </si>
  <si>
    <t>clinicus（病床を訪れて診療する医師）</t>
  </si>
  <si>
    <t>17世紀
clinique</t>
  </si>
  <si>
    <t>1620年代
病気でベッドから離れられない人
&lt;span class="spacer"&gt;&lt;/span&gt;1884年から
私立病院, 診療所</t>
  </si>
  <si>
    <t>ia</t>
  </si>
  <si>
    <t>de（〜から離れて）＋mens（心）
demens（心があるべきところから離れている, 狂った, うわ言を言う）
&lt;span class="spacer"&gt;&lt;/span&gt;名詞を作る-iaが付いて
dementia（狂気, 狂乱）</t>
  </si>
  <si>
    <t>1806年
精神機能の極めて低い状態, 精神的能力の欠如
&lt;span class="spacer"&gt;&lt;/span&gt;1822年
senile dementia（老年期に起こる精神の衰え, 老年認知症）</t>
  </si>
  <si>
    <t>前ラテン語</t>
  </si>
  <si>
    <t>*fati-agos（崩壊するまで追い込む）</t>
  </si>
  <si>
    <t>fatigare（崩壊させる, へとへとにする, 疲れさせる）</t>
  </si>
  <si>
    <t>15世紀
fatiguer（疲れさせる）
&lt;span class="spacer"&gt;&lt;/span&gt;名詞になって
fatigue（疲れ）</t>
  </si>
  <si>
    <t>1660年代
疲労を引き起こすもの
&lt;span class="spacer"&gt;&lt;/span&gt;1719年から
努力や労働によって生じる疲労感
&lt;span class="spacer"&gt;&lt;/span&gt;1776年
軍人の労務
&lt;span class="spacer"&gt;&lt;/span&gt;1877年から
繰り返しの負荷による劣化
金属疲労, 材料の疲労</t>
  </si>
  <si>
    <t>lemma</t>
  </si>
  <si>
    <t>1580年代
2つの望ましくない選択肢の間に挟まれて選択すること</t>
  </si>
  <si>
    <t>1067</t>
  </si>
  <si>
    <t>coda（尾）</t>
  </si>
  <si>
    <t>12世紀
cue, coe, queue（尾）</t>
  </si>
  <si>
    <t>15世紀後期
封印が垂れ下がった手紙に付けられたひも</t>
  </si>
  <si>
    <t>1500年頃
踊り手の列
&lt;span class="spacer"&gt;&lt;/span&gt;16世紀
動物の尾
&lt;span class="spacer"&gt;&lt;/span&gt;1837年
人々の列</t>
  </si>
  <si>
    <t>curvare（曲げる）
curvus（曲がった, 湾曲した）</t>
  </si>
  <si>
    <t>15世紀初頭
曲線状になる, 曲がる</t>
  </si>
  <si>
    <t>1690年代、名詞になって
曲線
&lt;span class="spacer"&gt;&lt;/span&gt;1879年から
野球のカーブ</t>
  </si>
  <si>
    <t>narrat</t>
  </si>
  <si>
    <t>gnarus（知っている）
&lt;span class="spacer"&gt;&lt;/span&gt;narrare（知らしめる, 話す, 物語る）</t>
  </si>
  <si>
    <t>形容詞を作る-ivusが付いて
narrativus（語りに適した）</t>
  </si>
  <si>
    <t>narratif
&lt;span class="spacer"&gt;&lt;/span&gt;15世紀半ば
伝記的な, 歴史的な</t>
  </si>
  <si>
    <t>1560年、名詞になって
物語, お話</t>
  </si>
  <si>
    <t>finger</t>
  </si>
  <si>
    <t>print</t>
  </si>
  <si>
    <t>1834年
finger（指）＋print（プリント, 跡, 押し付けたもの）</t>
  </si>
  <si>
    <t>filum（糸, 紐）</t>
  </si>
  <si>
    <t>12世紀
fil（糸, 紐）
&lt;span class="spacer"&gt;&lt;/span&gt;動詞になって
filer（糸を紡ぐ, 文書を綴じる）</t>
  </si>
  <si>
    <t>15世紀
filerが名詞になって
file（列, 並び）</t>
  </si>
  <si>
    <t>1520年代
文書を閉じるための紐や針金
&lt;span class="spacer"&gt;&lt;/span&gt;1620年代
簡単に参照できるように整理された書類の集まり</t>
  </si>
  <si>
    <t>wild</t>
  </si>
  <si>
    <t>wild（野生の）＋deor（動物：deerの語源）
wild-deor（飼い慣らされていない動物, 野生の獣）
&lt;span class="spacer"&gt;&lt;/span&gt;形容詞になって
wildern（野生動物が住む, 無人の）</t>
  </si>
  <si>
    <t>名詞を作る-ness
もしくは形容詞を作る-en＋属格-s
&lt;span class="spacer"&gt;&lt;/span&gt;1200年頃
未開墾の地 
野生動物だけが住む広大な土地</t>
  </si>
  <si>
    <t>pest</t>
  </si>
  <si>
    <t>icide</t>
  </si>
  <si>
    <t>suicide（自分を殺すこと）と関連させて覚える。</t>
  </si>
  <si>
    <t>1939年
pest（害虫）＋cide（殺すもの）
pesticide（庭や家庭、農作物の害虫を駆除するための物質）</t>
  </si>
  <si>
    <t>pan</t>
  </si>
  <si>
    <t>panikon deima（パーンの恐怖）
&lt;span class="spacer"&gt;&lt;/span&gt;ここから省略されて
panikon（パーンに関する）
&lt;span class="spacer"&gt;&lt;/span&gt;&lt;span class="obsolete"&gt;パーンとはギリシャ神話に登場する神。正体不明の音により、家畜や人里離れたところにいる人々に根拠のない恐怖を引き起こす存在とされた。&lt;/span&gt;</t>
  </si>
  <si>
    <t>15世紀
panique</t>
  </si>
  <si>
    <t>1708年
突然の集団的恐怖
特に目に見える原因がない、あるいは些細な原因や危険に触発されて多数の人々に影響を及ぼす過度の恐怖</t>
  </si>
  <si>
    <t>faber（硬い素材を扱う職人）
&lt;span class="spacer"&gt;&lt;/span&gt;fabrica（作業場, 技術, 巧みな制作物, 構造, 織物）
&lt;span class="spacer"&gt;&lt;/span&gt;fabricare（作る, 建設する）</t>
  </si>
  <si>
    <t>13世紀
fabriquer
&lt;span class="spacer"&gt;&lt;/span&gt;名詞になって
fabrique</t>
  </si>
  <si>
    <t>15世紀後期
&lt;span class="obsolete"&gt;建物（現在は廃用）&lt;/span&gt;
&lt;span class="spacer"&gt;&lt;/span&gt;1630年代
作られたもの
あらゆる種類の構造物
&lt;span class="spacer"&gt;&lt;/span&gt;1753年
製造された材料
&lt;span class="spacer"&gt;&lt;/span&gt;1791年
織物, 織られた布</t>
  </si>
  <si>
    <t>phainesthai（現れる）
&lt;span class="spacer"&gt;&lt;/span&gt;phantos（目にみえる）
&lt;span class="spacer"&gt;&lt;/span&gt;phantazesthai（心に描く）
&lt;span class="spacer"&gt;&lt;/span&gt;名詞を作る-iaが付いて
phantasia（想像力, イメージ）</t>
  </si>
  <si>
    <t>phantasia</t>
  </si>
  <si>
    <t>14世紀
fantaisie（幻影, 想像）</t>
  </si>
  <si>
    <t>14世紀初頭
幻想的な外観
&lt;span class="spacer"&gt;&lt;/span&gt;1400年以前
気まぐれな考え, 幻想</t>
  </si>
  <si>
    <t>fantasy（空想, 幻想）と関連させて覚える。</t>
  </si>
  <si>
    <t>15世紀半ば
fantasyの短縮形fantsy
fantasyが持っていた「好み, 気まぐれ」という意味を引き継いだ</t>
  </si>
  <si>
    <t>1580年代
創造的な想像力
&lt;span class="spacer"&gt;&lt;/span&gt;1660年代
空想的なイメージ</t>
  </si>
  <si>
    <t>vir</t>
  </si>
  <si>
    <t>tus</t>
  </si>
  <si>
    <t>vir（男）
&lt;span class="spacer"&gt;&lt;/span&gt;名詞を作る-usが付いて
virtus（道徳的な強さ, 善良さ, 勇敢さ）</t>
  </si>
  <si>
    <t>10世紀
vertu（力, 道徳的強さ, 強さ）</t>
  </si>
  <si>
    <t>vertu
&lt;span class="spacer"&gt;&lt;/span&gt;1200年頃
道徳的な生活や行為, 正しい生き方, 美徳
力, 強さ
&lt;span class="spacer"&gt;&lt;/span&gt;13世紀初頭
by virtue of（〜の力によって, 〜のおかげで）</t>
  </si>
  <si>
    <t>grate</t>
  </si>
  <si>
    <t>gratus（好ましい, 喜ばしい, 感謝される）</t>
  </si>
  <si>
    <t>grate（好ましい, 喜ばしい）
※現在は廃語となり残っていない</t>
  </si>
  <si>
    <t>grate＋ful（満ちた）
&lt;span class="spacer"&gt;&lt;/span&gt;1550年代
心にかなう
受けた恩に応えようとする
感謝に満ちている</t>
  </si>
  <si>
    <t>valere（強い, 力がある）
&lt;span class="spacer"&gt;&lt;/span&gt;形容詞を作る-idusが付いて
validus（強い, 効果的な）</t>
  </si>
  <si>
    <t>16世紀
valide</t>
  </si>
  <si>
    <t>1570年代
法律上の効力を有する
&lt;span class="spacer"&gt;&lt;/span&gt;1640年代
事実や権威によって十分に裏付けられた
根拠の確かな</t>
  </si>
  <si>
    <t>labor</t>
  </si>
  <si>
    <t>labor（労力：laborの語源）
&lt;span class="spacer"&gt;&lt;/span&gt;動詞になって
laborare（働く）
&lt;span class="spacer"&gt;&lt;/span&gt;ex（外に）＋laborare（働く）
elaborare（努力して作り上げる）
&lt;span class="spacer"&gt;&lt;/span&gt;過去分詞elaboratus</t>
  </si>
  <si>
    <t>1590年代
労力によって作り上げられた
&lt;span class="spacer"&gt;&lt;/span&gt;1620年代
多大な労力や注意を注ぎ込んで作られた
精巧な</t>
  </si>
  <si>
    <t>moder</t>
  </si>
  <si>
    <t>moderari（尺度を定める, 尺度内にとどめる）
&lt;span class="spacer"&gt;&lt;/span&gt;過去分詞moderatus（制限内にある, 節度を守っている）</t>
  </si>
  <si>
    <t>14世紀後期
量や質が過度ではない
&lt;span class="spacer"&gt;&lt;/span&gt;15世紀初頭
人について、穏健な, 節度ある</t>
  </si>
  <si>
    <t>1670年代
価格について、適正な</t>
  </si>
  <si>
    <t>dynam</t>
  </si>
  <si>
    <t>dynasthai（力を持つ）
&lt;span class="spacer"&gt;&lt;/span&gt;dynamis（力）
&lt;span class="spacer"&gt;&lt;/span&gt;形容詞を作る-ikosが付いて
dynamikos（強力な）</t>
  </si>
  <si>
    <t>dynamique</t>
  </si>
  <si>
    <t>1812年までに
力学において、運動を生じさせる力に関する
&lt;span class="spacer"&gt;&lt;/span&gt;1856年から
比喩的に、活動的な, 精力的な</t>
  </si>
  <si>
    <t>bravo（野蛮な, 荒々しい, 勇敢な, 大胆な）</t>
  </si>
  <si>
    <t>brave（勇敢な）</t>
  </si>
  <si>
    <t>15世紀後期
勇気のある</t>
  </si>
  <si>
    <t>brilli</t>
  </si>
  <si>
    <t>brilliantは、宝石のように輝き、才能があってすばらしいというイメージ。</t>
  </si>
  <si>
    <t>beryllus（ベリル, 緑柱石, 宝石）</t>
  </si>
  <si>
    <t>動詞になって
*berillare（ベリルのように輝く）</t>
  </si>
  <si>
    <t>brillare（輝く）</t>
  </si>
  <si>
    <t>16世紀
briller（輝く）
&lt;span class="spacer"&gt;&lt;/span&gt;現在分詞brilliant（輝いている）</t>
  </si>
  <si>
    <t>1680年代
光で輝く
&lt;span class="spacer"&gt;&lt;/span&gt;1848年から
比喩的に、賞賛すべき資質によって際立った</t>
  </si>
  <si>
    <t>trem</t>
  </si>
  <si>
    <t>endous</t>
  </si>
  <si>
    <t>tremere（震える）
&lt;span class="spacer"&gt;&lt;/span&gt;形容詞を作る-endusが付いて
tremendus（震え上がるべき, 恐ろしい, 凄まじい）</t>
  </si>
  <si>
    <t>1630年代
恐ろしい, 凄まじい
畏怖によって震えを引き起こすような
&lt;span class="spacer"&gt;&lt;/span&gt;1812年から
並外れて大きい, 莫大な</t>
  </si>
  <si>
    <t>oris（口）</t>
  </si>
  <si>
    <t>orisに形容詞を作る-alisが付いて
oralis（口の, 口に関する）</t>
  </si>
  <si>
    <t>1620年代
口によって
言葉で発せられた
&lt;span class="spacer"&gt;&lt;/span&gt;1650年代
口の, 口に関する</t>
  </si>
  <si>
    <t>noc</t>
  </si>
  <si>
    <t>nocere（害する）
&lt;span class="spacer"&gt;&lt;/span&gt;現在分詞nocens
&lt;span class="spacer"&gt;&lt;/span&gt;in（否定）＋nocens
innocens（無害な, 潔白な）</t>
  </si>
  <si>
    <t>12世紀
inocent（無害な, 潔白な, 純粋な）</t>
  </si>
  <si>
    <t>14世紀半ば
悪をなさない
罪や道徳的な誤りがない
&lt;span class="spacer"&gt;&lt;/span&gt;14世紀後期
特定の犯罪について無罪の
子どものような単純さや純真さを持つ, 無邪気な</t>
  </si>
  <si>
    <t>sequ</t>
  </si>
  <si>
    <t>14世紀
subsequent</t>
  </si>
  <si>
    <t>15世紀半ば
順序や時間的に次に続く, 後の</t>
  </si>
  <si>
    <t>deepの反対として覚える。</t>
  </si>
  <si>
    <t>schalowe / shaloue
&lt;span class="spacer"&gt;&lt;/span&gt;1400年頃
水や川などについて、浅い
人間の体について、痩せた</t>
  </si>
  <si>
    <t>1580年代までに
思考や感情が浅い
&lt;span class="spacer"&gt;&lt;/span&gt;1875年から
呼吸が浅い</t>
  </si>
  <si>
    <t>differ</t>
  </si>
  <si>
    <t>dis（離れて）＋ferre（運ぶ）
differre（離れたところに運ぶ, 異なる）
&lt;span class="spacer"&gt;&lt;/span&gt;現在分詞differens
&lt;span class="spacer"&gt;&lt;/span&gt;in（否定）＋differens
indifferens（違わない, 重要でない, 善でも悪でもない）</t>
  </si>
  <si>
    <t>indifferent（公平な, 偏らない）</t>
  </si>
  <si>
    <t>14世紀後期
偏見のない, 公平な
違いがない
&lt;span class="spacer"&gt;&lt;/span&gt;15世紀初頭
無関心な
ある物事に対して他の物事以上に注意を向けていない</t>
  </si>
  <si>
    <t>inferi</t>
  </si>
  <si>
    <t>infra（下に）
&lt;span class="spacer"&gt;&lt;/span&gt;形容詞を作る-usが付いて
inferus（下にある, 下方の）
&lt;span class="spacer"&gt;&lt;/span&gt;比較級を作る-orが付いて
inferior（より下の）</t>
  </si>
  <si>
    <t>15世紀初頭
土地について、より低い位置にある</t>
  </si>
  <si>
    <t>1530年代
程度・地位・階級・重要性がより低い</t>
  </si>
  <si>
    <t>awk</t>
  </si>
  <si>
    <t>awk（逆向きの）＋weard（副詞化）
&lt;span class="spacer"&gt;&lt;/span&gt;14世紀半ば
&lt;span class="obsolete"&gt;間違った方向に（現在は廃用）&lt;/span&gt;</t>
  </si>
  <si>
    <t>1510年代、形容詞として使われて
間違った方向に向けられた
&lt;span class="spacer"&gt;&lt;/span&gt;1520年代
不器用な, ぎこちない
&lt;span class="spacer"&gt;&lt;/span&gt;1713年から
気まずい, 居心地の悪い</t>
  </si>
  <si>
    <t>ob（周囲に）＋edere（食べる）
obedere（むさぼり食う, 食べ尽くす）
&lt;span class="spacer"&gt;&lt;/span&gt;過去分詞obesus（食べて太った, ふくよかな）</t>
  </si>
  <si>
    <t>1650年代
過度に太った</t>
  </si>
  <si>
    <t>gn</t>
  </si>
  <si>
    <t>prae（前に）＋gnasci（生まれる）
&lt;span class="spacer"&gt;&lt;/span&gt;形容詞になって
praegnas（生む前の, 子を宿した）</t>
  </si>
  <si>
    <t>15世紀初頭
子を宿した</t>
  </si>
  <si>
    <t>timte</t>
  </si>
  <si>
    <t>intimusが動詞になって
intimare（知らせる, 公表する, 印象づける）
&lt;span class="spacer"&gt;&lt;/span&gt;過去分詞intimatus（知らされた, 打ち明けられた）</t>
  </si>
  <si>
    <t>1630年代
非常に親密な, 密接な</t>
  </si>
  <si>
    <t>medi</t>
  </si>
  <si>
    <t>ev</t>
  </si>
  <si>
    <t>1825年、ラテン語のmedium（中間）とaevum（時代）を合わせて造った語
中世に関する, 中世を連想させる</t>
  </si>
  <si>
    <t>sacr</t>
  </si>
  <si>
    <t>sacer（神聖な）
&lt;span class="spacer"&gt;&lt;/span&gt;sacrare（神聖なものにする, 捧げる）</t>
  </si>
  <si>
    <t>1200年頃
sacren（聖なるものにする）の過去分詞
&lt;span class="spacer"&gt;&lt;/span&gt;14世紀後期
宗教的儀式によって神聖なものとされた</t>
  </si>
  <si>
    <t>1550年代
尊敬や崇敬に値する
&lt;span class="spacer"&gt;&lt;/span&gt;1600年代までに
神聖なものに関する</t>
  </si>
  <si>
    <t>simul</t>
  </si>
  <si>
    <t>taneous</t>
  </si>
  <si>
    <t>similarとspontaneousに関連させて覚える。</t>
  </si>
  <si>
    <t>simul（同時に）</t>
  </si>
  <si>
    <t>別の単語spontaneus</t>
  </si>
  <si>
    <t>simultaneus
&lt;span class="spacer"&gt;&lt;/span&gt;&lt;span class="obsolete"&gt;後期ラテン語spontaneusの-taneus部分が影響を与えたと考えられる&lt;/span&gt;</t>
  </si>
  <si>
    <t>1650年代
同時に存在する, 同時に起こる</t>
  </si>
  <si>
    <t>vertere（回す, 向ける）
&lt;span class="spacer"&gt;&lt;/span&gt;過去分詞versus（〜の方に向けられた, 〜に対して）</t>
  </si>
  <si>
    <t>15世紀中頃
法律用語で、ある当事者が他方の当事者に対して訴訟を起こす</t>
  </si>
  <si>
    <t>pro（前へ）+cedere（行く, 進む）
procedere（前に進む, 前進する）
&lt;span class="spacer"&gt;&lt;/span&gt;過去分詞processus</t>
    <rPh sb="4" eb="5">
      <t>マエ</t>
    </rPh>
    <rPh sb="15" eb="16">
      <t>イ</t>
    </rPh>
    <rPh sb="19" eb="20">
      <t>スス</t>
    </rPh>
    <rPh sb="33" eb="34">
      <t>マエ</t>
    </rPh>
    <rPh sb="35" eb="36">
      <t>スス</t>
    </rPh>
    <rPh sb="39" eb="41">
      <t>ゼンシン</t>
    </rPh>
    <rPh sb="73" eb="77">
      <t>カコブンシ</t>
    </rPh>
    <phoneticPr fontId="1"/>
  </si>
  <si>
    <t>13世紀
proceder</t>
    <rPh sb="2" eb="4">
      <t>セイキ</t>
    </rPh>
    <phoneticPr fontId="1"/>
  </si>
  <si>
    <t>proceden
&lt;span class="spacer"&gt;&lt;/span&gt;14世紀後期
行く, 進む</t>
    <rPh sb="39" eb="41">
      <t>セイキ</t>
    </rPh>
    <rPh sb="41" eb="43">
      <t>コウキ</t>
    </rPh>
    <rPh sb="44" eb="45">
      <t>イ</t>
    </rPh>
    <rPh sb="48" eb="49">
      <t>スス</t>
    </rPh>
    <phoneticPr fontId="1"/>
  </si>
  <si>
    <t>orient</t>
    <phoneticPr fontId="1"/>
  </si>
  <si>
    <t>oriri（昇る：originの語源）
&lt;span class="spacer"&gt;&lt;/span&gt;現在分詞oriens（昇る太陽, 東）</t>
    <rPh sb="6" eb="7">
      <t>ノボ</t>
    </rPh>
    <rPh sb="48" eb="52">
      <t>ゲンザイブンシ</t>
    </rPh>
    <rPh sb="59" eb="60">
      <t>ノボ</t>
    </rPh>
    <rPh sb="61" eb="63">
      <t>タイヨウ</t>
    </rPh>
    <rPh sb="65" eb="66">
      <t>ヒガシ</t>
    </rPh>
    <phoneticPr fontId="1"/>
  </si>
  <si>
    <t>11世紀
orient（東）</t>
    <rPh sb="2" eb="4">
      <t>セイキ</t>
    </rPh>
    <rPh sb="12" eb="13">
      <t>ヒガシ</t>
    </rPh>
    <phoneticPr fontId="1"/>
  </si>
  <si>
    <t>s'orienter（東を向く, 自分の位置や方向を把握する）</t>
    <rPh sb="11" eb="12">
      <t>ヒガシ</t>
    </rPh>
    <rPh sb="13" eb="14">
      <t>ム</t>
    </rPh>
    <rPh sb="17" eb="19">
      <t>ジブン</t>
    </rPh>
    <rPh sb="20" eb="22">
      <t>イチ</t>
    </rPh>
    <rPh sb="23" eb="25">
      <t>ホウコウ</t>
    </rPh>
    <rPh sb="26" eb="28">
      <t>ハアク</t>
    </rPh>
    <phoneticPr fontId="1"/>
  </si>
  <si>
    <t>1738年
東を向いている
東向きに配置する
&lt;span class="spacer"&gt;&lt;/span&gt;1842年までに
方位に基づいて配置する
&lt;span class="spacer"&gt;&lt;/span&gt;1850年までに
比喩的に、新しい状況や考え方に慣れさせる</t>
    <rPh sb="4" eb="5">
      <t>ネン</t>
    </rPh>
    <rPh sb="6" eb="7">
      <t>ヒガシ</t>
    </rPh>
    <rPh sb="8" eb="9">
      <t>ム</t>
    </rPh>
    <rPh sb="14" eb="16">
      <t>ヒガシム</t>
    </rPh>
    <rPh sb="18" eb="20">
      <t>ハイチ</t>
    </rPh>
    <rPh sb="55" eb="56">
      <t>ネン</t>
    </rPh>
    <rPh sb="60" eb="62">
      <t>ホウイ</t>
    </rPh>
    <rPh sb="63" eb="64">
      <t>モト</t>
    </rPh>
    <rPh sb="67" eb="69">
      <t>ハイチ</t>
    </rPh>
    <rPh sb="104" eb="105">
      <t>ネン</t>
    </rPh>
    <rPh sb="109" eb="112">
      <t>ヒユテキ</t>
    </rPh>
    <rPh sb="114" eb="115">
      <t>アタラ</t>
    </rPh>
    <rPh sb="117" eb="119">
      <t>ジョウキョウ</t>
    </rPh>
    <rPh sb="120" eb="121">
      <t>カンガ</t>
    </rPh>
    <rPh sb="122" eb="123">
      <t>カタ</t>
    </rPh>
    <rPh sb="124" eb="125">
      <t>ナ</t>
    </rPh>
    <phoneticPr fontId="1"/>
  </si>
  <si>
    <t>surf</t>
    <phoneticPr fontId="1"/>
  </si>
  <si>
    <t>日本語でも使われるサーフィン（surfing）と関連させて覚える。</t>
    <rPh sb="0" eb="3">
      <t>ニホンゴ</t>
    </rPh>
    <rPh sb="5" eb="6">
      <t>ツカ</t>
    </rPh>
    <rPh sb="24" eb="26">
      <t>カンレン</t>
    </rPh>
    <rPh sb="29" eb="30">
      <t>オボ</t>
    </rPh>
    <phoneticPr fontId="1"/>
  </si>
  <si>
    <t>1680年代
海岸に打ち寄せる波</t>
    <rPh sb="4" eb="6">
      <t>ネンダイ</t>
    </rPh>
    <rPh sb="7" eb="9">
      <t>カイガン</t>
    </rPh>
    <rPh sb="10" eb="11">
      <t>ウ</t>
    </rPh>
    <rPh sb="12" eb="13">
      <t>ヨ</t>
    </rPh>
    <rPh sb="15" eb="16">
      <t>ナミ</t>
    </rPh>
    <phoneticPr fontId="1"/>
  </si>
  <si>
    <t>1917年
波に乗る
&lt;span class="spacer"&gt;&lt;/span&gt;1993年までに
インターネットの情報を見て回る</t>
    <rPh sb="4" eb="5">
      <t>ネン</t>
    </rPh>
    <rPh sb="6" eb="7">
      <t>ナミ</t>
    </rPh>
    <rPh sb="8" eb="9">
      <t>ノ</t>
    </rPh>
    <rPh sb="43" eb="44">
      <t>ネン</t>
    </rPh>
    <rPh sb="56" eb="58">
      <t>ジョウホウ</t>
    </rPh>
    <rPh sb="59" eb="60">
      <t>ミ</t>
    </rPh>
    <rPh sb="61" eb="62">
      <t>マワ</t>
    </rPh>
    <phoneticPr fontId="1"/>
  </si>
  <si>
    <t>filtrum（液体から不純物を取り除くために使われたフェルト）
&lt;span class="spacer"&gt;&lt;/span&gt;動詞になって
filtrare（フェルトでろ過する）</t>
  </si>
  <si>
    <t>feutre（フェルト）
&lt;span class="spacer"&gt;&lt;/span&gt;動詞になって
filtrer（ろ過する）</t>
  </si>
  <si>
    <t>1570年代
液体を濾す（こす）
&lt;span class="spacer"&gt;&lt;/span&gt;1830年から
選別する</t>
  </si>
  <si>
    <t>bindan（紐や拘束具で縛る, 捕虜にする）</t>
  </si>
  <si>
    <t>1400年頃から
本を綴じる, 製本する</t>
  </si>
  <si>
    <t>1670年代から
くっつく, 結びつく</t>
  </si>
  <si>
    <t>日本語でも使われるリゾート（行楽地）と同じ語。なぜこの動詞の意味になったかを理解して覚える。</t>
  </si>
  <si>
    <t>sub（下から上に）＋regere（導く）
surgere（立ち上がる）
&lt;span class="spacer"&gt;&lt;/span&gt;過去分詞surrectus</t>
  </si>
  <si>
    <t>*surctire（立ち上がる, 外へ出る）</t>
  </si>
  <si>
    <t>re（再び）＋sortir（外出する）
resortir（再び出かける）
&lt;span class="spacer"&gt;&lt;/span&gt;名詞になって
resort（助け, 援助, 救済策）</t>
  </si>
  <si>
    <t>14世紀後期
助けや援助のために頼るもの
慰めや安らぎの源
&lt;span class="spacer"&gt;&lt;/span&gt;1400年頃
resorten（援助を求めて誰かの元へ行く, 保護や慈悲などを求めて頼る）</t>
  </si>
  <si>
    <t>1754年までに
人々が娯楽で訪れる場所</t>
  </si>
  <si>
    <t>en（中に）＋force（力）
enforce
&lt;span class="spacer"&gt;&lt;/span&gt;14世紀半ば
力を入れる, 強制する, 強化する</t>
  </si>
  <si>
    <t>re（再び）＋enforce（強化する）
&lt;span class="spacer"&gt;&lt;/span&gt;1600年頃
軍事において、再び強化する, 増強する</t>
  </si>
  <si>
    <t>accumulate</t>
  </si>
  <si>
    <t>cumulate</t>
  </si>
  <si>
    <t>accumulateは、山のように積み上がるというイメージ。</t>
  </si>
  <si>
    <t>cumulus（山, 積み重なり）
&lt;span class="spacer"&gt;&lt;/span&gt;ad（強意）＋cumulare（積み上げる）
accumulare（積み上げる, 蓄積する）
&lt;span class="spacer"&gt;&lt;/span&gt;過去分詞accumulatus</t>
  </si>
  <si>
    <t>1520年代
積み上げる</t>
  </si>
  <si>
    <t>1590年代
相手も同様の誓約を差し出すことを条件に、没収物（罰金・担保）として相手に差し出すこと
&lt;span class="spacer"&gt;&lt;/span&gt;1600年頃
賭けをする</t>
  </si>
  <si>
    <t>ad（〜へ）＋vocare（呼ぶ）
advocare（証人や証言者として呼ぶ, 助けを求めて呼ぶ）
&lt;span class="spacer"&gt;&lt;/span&gt;過去分詞advocatus（助けるために呼ばれた者, 誰かの代わりに弁論する者）</t>
  </si>
  <si>
    <t>avocat（法定弁護士, 代弁者）</t>
  </si>
  <si>
    <t>14世紀半ば
法廷で事件を弁論することを職業とする者</t>
  </si>
  <si>
    <t>1640年代、動詞になって
誰かのために弁論する</t>
  </si>
  <si>
    <t>com（強意）＋statuere（立たせる）
constituere（立たせる, 設置する, 確立する, 人を官職に任命する）
&lt;span class="spacer"&gt;&lt;/span&gt;過去分詞constitutus</t>
  </si>
  <si>
    <t>1400年頃から
官職や権力のある地位に任命する
&lt;span class="spacer"&gt;&lt;/span&gt;15世紀半ば
必要な構成要素として形成に加わる</t>
  </si>
  <si>
    <t>take</t>
  </si>
  <si>
    <t>grippan（つかむ, 握る）</t>
  </si>
  <si>
    <t>dis（離れて）＋mittere（送る, 放つ）
dimittere（送り離す, 解放する, 免職させる, 見捨てる）
&lt;span class="spacer"&gt;&lt;/span&gt;過去分詞dimissus</t>
  </si>
  <si>
    <t>dismissen
&lt;span class="spacer"&gt;&lt;/span&gt;15世紀初頭
法廷での拘束や法的告発から解放する
&lt;span class="spacer"&gt;&lt;/span&gt;15世紀後期
職務から解く</t>
  </si>
  <si>
    <t>1540年代
立ち去るように命じる</t>
  </si>
  <si>
    <t>*fatidus</t>
  </si>
  <si>
    <t>12世紀
fade（青ざめた, 弱い, 無味乾燥な）
&lt;span class="spacer"&gt;&lt;/span&gt;動詞になって
fader（弱くなる, しおれる）</t>
  </si>
  <si>
    <t>14世紀初頭
輝きを失う, 青ざめる</t>
  </si>
  <si>
    <t>1819年までに
音が次第に弱まる</t>
  </si>
  <si>
    <t>ceal</t>
  </si>
  <si>
    <t>日本語でも使われる化粧品のコンシーラー（しみやクマなどを隠すもの）と関連させて覚える。</t>
  </si>
  <si>
    <t>con（強意）＋celare（隠す, 覆い隠す）
concelare（完全に隠す, 秘匿する）</t>
  </si>
  <si>
    <t>conceler（隠す）</t>
  </si>
  <si>
    <t>concelen
&lt;span class="spacer"&gt;&lt;/span&gt;14世紀初頭
秘密にしておく
&lt;span class="spacer"&gt;&lt;/span&gt;15世紀初頭
視界や観察から隠す</t>
  </si>
  <si>
    <t>お菓子のチューイングガム（chewing gum）と関連させて覚える。</t>
  </si>
  <si>
    <t>ceowan（噛む）</t>
  </si>
  <si>
    <t>cheuen（咀嚼する, 噛み砕く）</t>
  </si>
  <si>
    <t>swelgan（飲み込む）</t>
  </si>
  <si>
    <t>swolwen（飲み込む）</t>
  </si>
  <si>
    <t>1590年代
鵜呑みにする
疑うことなく受け入れる</t>
  </si>
  <si>
    <t>日本語でも使われるシール（封筒を閉じるために貼るもの）と関連させて覚える。</t>
  </si>
  <si>
    <t>signum（しるし：signの語源）
&lt;span class="spacer"&gt;&lt;/span&gt;小さいことを表す-illumが付いて
sigillum（小さな像, 印章）</t>
    <phoneticPr fontId="1"/>
  </si>
  <si>
    <t>*sigellum</t>
  </si>
  <si>
    <t>seal（手紙の封印）</t>
  </si>
  <si>
    <t>1200年頃
蝋に押された印、特に文書が本物であることを示すために押された印
&lt;span class="spacer"&gt;&lt;/span&gt;動詞になって
selen（手紙などを印章で封じる）</t>
    <phoneticPr fontId="1"/>
  </si>
  <si>
    <t>1660年代
容器などを密閉する</t>
  </si>
  <si>
    <t>migrate, immigrate, emigrateの3つを関連させて覚える。</t>
  </si>
  <si>
    <t>migrare（ある場所から別の場所へ移動する）
&lt;span class="spacer"&gt;&lt;/span&gt;過去分詞migratus</t>
  </si>
  <si>
    <t>1690年代
ある場所から別の場所へ移動する
&lt;span class="spacer"&gt;&lt;/span&gt;1753年までに
動物がある生息地から離れた生息地へ移動する
&lt;span class="spacer"&gt;&lt;/span&gt;1770年までに
人や集団が、ある居住地から離れた別の場所へ移動する
特に一国から他国へ移り住む</t>
  </si>
  <si>
    <t>gerate</t>
  </si>
  <si>
    <t>ad（〜へ）＋gerere（運ぶ）
aggerere（〜の方へ運ぶ, 寄せ集める）
&lt;span class="spacer"&gt;&lt;/span&gt;名詞になって
agger（積み上げたもの, 堆積）
&lt;span class="spacer"&gt;&lt;/span&gt;動詞になって
ex（完全に）＋aggerare（積み上げる）
exaggerare（積み重ねる, 増幅させる）
&lt;span class="spacer"&gt;&lt;/span&gt;過去分詞exaggeratus</t>
  </si>
  <si>
    <t>1530年代
積み上げる, 堆積する
&lt;span class="spacer"&gt;&lt;/span&gt;1560年代
実際以上に述べる, 誇張する</t>
  </si>
  <si>
    <t>cuse</t>
  </si>
  <si>
    <t>ad（〜へ）＋causa（原因, 訴訟：causeの語源）
accusare（〜へ苦情を申し立てる, 訴訟を起こす）</t>
  </si>
  <si>
    <t>13世紀
acuser（責める, 非難する, 告訴する）</t>
  </si>
  <si>
    <t>1300年頃
非難する, 告発する</t>
  </si>
  <si>
    <t>vanus（空の, 空虚な）
&lt;span class="spacer"&gt;&lt;/span&gt;動詞になって
ex（外へ）＋vanescere（消える）
evanescere（消える）</t>
  </si>
  <si>
    <t>*exvanire</t>
  </si>
  <si>
    <t>esvanir（消える, 消し去る）</t>
  </si>
  <si>
    <t>vanishen
&lt;span class="spacer"&gt;&lt;/span&gt;1300年頃
急に消える
&lt;span class="spacer"&gt;&lt;/span&gt;14世紀半ば
徐々に消える</t>
  </si>
  <si>
    <t>同じ語源にさかのぼるpolite（礼儀正しい, 上品な, 洗練された, 優雅な）と関連させて覚える。</t>
  </si>
  <si>
    <t>polire（磨く, なめらかにする）</t>
  </si>
  <si>
    <t>12世紀
polir（磨く）</t>
  </si>
  <si>
    <t>polishen
&lt;span class="spacer"&gt;&lt;/span&gt;14世紀初頭
摩擦やコーティングによって磨く、なめらかにする
&lt;span class="spacer"&gt;&lt;/span&gt;14世紀半ば
洗練させる</t>
  </si>
  <si>
    <t>車のワイパー（フロントガラスの水や汚れを拭き取るもの）と関連させて覚える。</t>
  </si>
  <si>
    <t>wipian（拭く）</t>
  </si>
  <si>
    <t>wipen（柔らかい布などでこする, 湿気や汚れなどをやさしく取り除く）</t>
  </si>
  <si>
    <t>1900年までに
磁気記録などを消去する</t>
  </si>
  <si>
    <t>swapan（掃く）</t>
  </si>
  <si>
    <t>swope（掃く）
&lt;span class="spacer"&gt;&lt;/span&gt;14世紀初頭
swepen（ほうきで掃いてきれいにする）
&lt;span class="spacer"&gt;&lt;/span&gt;14世紀半ば
掃く
&lt;span class="spacer"&gt;&lt;/span&gt;14世紀後期
急ぐ, 速く力強く進む, 通り過ぎる
&lt;span class="spacer"&gt;&lt;/span&gt;1400年頃から
素早く追い立てる
&lt;span class="spacer"&gt;&lt;/span&gt;15世紀半ば
一掃する</t>
  </si>
  <si>
    <t>mis</t>
  </si>
  <si>
    <t>lead</t>
  </si>
  <si>
    <t>mis（誤って）＋lædan（導く：leadの語源）
mislædan（誤って導く, 誤りに引き込む）</t>
  </si>
  <si>
    <t>spolium（戦利品, 敵から奪ったもの）
&lt;span class="spacer"&gt;&lt;/span&gt;動詞になって
spoliare（はぎ取る, 強奪する）</t>
  </si>
  <si>
    <t>espoillier（はぎ取る, 略奪する）</t>
  </si>
  <si>
    <t>espoiller</t>
  </si>
  <si>
    <t>spoilen
&lt;span class="spacer"&gt;&lt;/span&gt;1300年頃
敵の装備をはぎ取る
&lt;span class="spacer"&gt;&lt;/span&gt;14世紀後期
略奪する
人や物から本質的な性質を奪う</t>
  </si>
  <si>
    <t>1560年代
破壊する, 台無しにする
&lt;span class="spacer"&gt;&lt;/span&gt;1640年代
子どもなどを甘やかしすぎる</t>
  </si>
  <si>
    <t>pound</t>
  </si>
  <si>
    <t>com（共に）＋ponere（置く）
componere（一緒に置く）</t>
  </si>
  <si>
    <t>componre / compondre（整える, 配置する）</t>
  </si>
  <si>
    <t>compounen
&lt;span class="spacer"&gt;&lt;/span&gt;14世紀後期
一緒にする, 混ぜる</t>
  </si>
  <si>
    <t>plode</t>
  </si>
  <si>
    <t>ex（外に）＋plaudere（手を叩く, 拍手する）
explodere（演劇用語で、騒音を出すことで俳優を舞台から追い出す, 拍手や騒音で追い出す, あざけって追い出す）</t>
  </si>
  <si>
    <t>1530年代
軽蔑して拒絶する
&lt;span class="spacer"&gt;&lt;/span&gt;1650年代
激しい音と力で追い払う
&lt;span class="spacer"&gt;&lt;/span&gt;1790年
大きな音とともに爆発する
&lt;span class="spacer"&gt;&lt;/span&gt;1794年
突然、騒々しく破裂させる</t>
  </si>
  <si>
    <t>gust</t>
  </si>
  <si>
    <t>gustare（味わう）</t>
  </si>
  <si>
    <t>des（否定）＋gouster（味わう）
desgouster（不快な味を感じる, 嫌悪感を抱く）</t>
  </si>
  <si>
    <t>1600年頃
〜に対して強い不味または嫌悪感を抱く
&lt;span class="spacer"&gt;&lt;/span&gt;1640年代
〜に吐き気と嫌悪を催させる</t>
  </si>
  <si>
    <t>mute</t>
  </si>
  <si>
    <t>com（強意）＋mutare（変える）
commutare（完全に変える）</t>
  </si>
  <si>
    <t>15世紀半ば
あるものを別のものに変える</t>
  </si>
  <si>
    <t>1133</t>
  </si>
  <si>
    <t>日本語でも使われるデコレーション（decoration, 装飾）と関連させて覚える。</t>
  </si>
  <si>
    <t>decus（装飾）
&lt;span class="spacer"&gt;&lt;/span&gt;動詞になって
decorare（装飾する）
&lt;span class="spacer"&gt;&lt;/span&gt;過去分詞decoratus</t>
  </si>
  <si>
    <t>1520年代
装飾する</t>
  </si>
  <si>
    <t>post</t>
  </si>
  <si>
    <t>pone</t>
  </si>
  <si>
    <t>post（後に）＋ponere（置く）
postponere（後に置く, 延期する）</t>
  </si>
  <si>
    <t>1500年頃
延期する, 後の時間に遅らせる</t>
  </si>
  <si>
    <t>cedere（行く, 退く）
&lt;span class="spacer"&gt;&lt;/span&gt;反復形cessare（繰り返し退く, やめる, ゆっくり進む）</t>
  </si>
  <si>
    <t>cesser（終わる, 止まる, 思いとどまる）</t>
  </si>
  <si>
    <t>cesen
&lt;span class="spacer"&gt;&lt;/span&gt;1300年頃
言動をやめる, 終わる</t>
  </si>
  <si>
    <t>promise</t>
  </si>
  <si>
    <t>pro（前方へ）＋mittere（送る, 放つ）
promittere（送りだす, 約束する）</t>
  </si>
  <si>
    <t>com（共に）＋promittere（送りだす, 約束する）
compromittere（相互に約束する）
&lt;span class="spacer"&gt;&lt;/span&gt;過去分詞compromissus</t>
  </si>
  <si>
    <t>13世紀
compromis</t>
  </si>
  <si>
    <t>15世紀初頭
仲裁者の決定に従うという共同の約束
&lt;span class="spacer"&gt;&lt;/span&gt;15世紀半ば
相互の譲歩による和解や合意
&lt;span class="spacer"&gt;&lt;/span&gt;動詞になって
妥協する</t>
  </si>
  <si>
    <t>1690年代
危険にさらす</t>
  </si>
  <si>
    <t>ex（外に）＋legere（選ぶ）
eligere（選び出す）
&lt;span class="spacer"&gt;&lt;/span&gt;過去分詞electus</t>
  </si>
  <si>
    <t>15世紀初頭
職務や地位のために選ぶ</t>
  </si>
  <si>
    <t>ex（外に）＋trahere（引く, 引きずる）
extrahere（引き出す）
&lt;span class="spacer"&gt;&lt;/span&gt;過去分詞extractus</t>
  </si>
  <si>
    <t>15世紀後期
引き出す, 取り除く</t>
  </si>
  <si>
    <t>heres（相続人）
&lt;span class="spacer"&gt;&lt;/span&gt;動詞になって
hereditare（相続する）
&lt;span class="spacer"&gt;&lt;/span&gt;in（中に）＋hereditare（相続する）
inhereditare（相続人として指名する）</t>
  </si>
  <si>
    <t>enheriter（相続人にする）</t>
  </si>
  <si>
    <t>1300年頃
&lt;span class="obsolete"&gt;誰かを相続人にする（現在は廃用）&lt;/span&gt;
&lt;span class="spacer"&gt;&lt;/span&gt;14世紀半ば
相続を受ける</t>
  </si>
  <si>
    <t>ræran（何かを上げる, 持ち上げる, 上昇させる）</t>
  </si>
  <si>
    <t>reren
&lt;span class="spacer"&gt;&lt;/span&gt;15世紀初頭
子どもなどを育てる</t>
  </si>
  <si>
    <t>16世紀後期までに
栄養を与えて人や動物を育てる</t>
  </si>
  <si>
    <t>en（中に）＋pathos（感情）
empatheia（情熱, 感情状態）</t>
  </si>
  <si>
    <t>1550年代
演劇において次のセリフの合図となる直前のセリフ
&lt;span class="spacer"&gt;&lt;/span&gt;1880年までに
音楽において演奏開始の合図</t>
  </si>
  <si>
    <t>prise</t>
  </si>
  <si>
    <t>prehendere（つかむ）
&lt;span class="spacer"&gt;&lt;/span&gt;短縮形prendre（取る）
&lt;span class="spacer"&gt;&lt;/span&gt;entre（間に）＋prendre（取る）
entreprendre（間に入ってつかむ, 引き受ける, 着手する）
&lt;span class="spacer"&gt;&lt;/span&gt;過去分詞enterprise（企画, 事業）</t>
  </si>
  <si>
    <t>15世紀初頭
企画, 事業</t>
  </si>
  <si>
    <t>out＋put
&lt;span class="spacer"&gt;&lt;/span&gt;1839年
特定の時間内に産出された量
&lt;span class="spacer"&gt;&lt;/span&gt;1884年までに
装置やシステムによって生み出されるエネルギー</t>
  </si>
  <si>
    <t>gradus（一歩）
&lt;span class="spacer"&gt;&lt;/span&gt;動詞になって
gradi（歩く）
&lt;span class="spacer"&gt;&lt;/span&gt;com（共に）＋gradi（歩く）
congredi（会う, 共に戦う）
&lt;span class="spacer"&gt;&lt;/span&gt;過去分詞congressus（友好的な会合, 敵対的な遭遇）</t>
  </si>
  <si>
    <t>1400年頃
従者の集団
&lt;span class="spacer"&gt;&lt;/span&gt;15世紀半ば
軍隊の会戦</t>
  </si>
  <si>
    <t>1520年代
人々の会合
&lt;span class="spacer"&gt;&lt;/span&gt;1670年代
代表者による公式な会議
&lt;span class="spacer"&gt;&lt;/span&gt;1775年から1765年までに
米国議会</t>
  </si>
  <si>
    <t>mille</t>
  </si>
  <si>
    <t>nnium</t>
  </si>
  <si>
    <t>mille（千）
annus（年）</t>
  </si>
  <si>
    <t>millennium（1000年間）</t>
  </si>
  <si>
    <t>1630年代
キリストが地上を統治すると予期される1,000年間の期間
&lt;span class="spacer"&gt;&lt;/span&gt;1711年までに
1,000年間</t>
  </si>
  <si>
    <t>kind</t>
  </si>
  <si>
    <t>man（人間, 個人）
古英語後期（1000年頃）から成人男性という意味で使われ始める
&lt;span class="spacer"&gt;&lt;/span&gt;gecynd（性質, 種族）</t>
  </si>
  <si>
    <t>man（人）＋kende（種類, 種族：kindの語源）
man-kende（人類）</t>
  </si>
  <si>
    <t>アラビア語</t>
  </si>
  <si>
    <t>muslim（信仰に従う者）</t>
    <phoneticPr fontId="1"/>
  </si>
  <si>
    <t>1610年代
イスラム教を信仰する者
イスラム教徒</t>
  </si>
  <si>
    <t>status（状態, 条件, 位置, 立場, 地位）</t>
  </si>
  <si>
    <t>13世紀
estat（状態, 条件, 位置, 立場, 地位）</t>
  </si>
  <si>
    <t>13世紀初頭
階級, 地位, 状態
&lt;span class="spacer"&gt;&lt;/span&gt;14世紀後期
富裕な状態, 財産</t>
  </si>
  <si>
    <t>1620年代
土地資産</t>
  </si>
  <si>
    <t>mine</t>
  </si>
  <si>
    <t>mina / minera（鉱石）</t>
  </si>
  <si>
    <t>mine（鉱山, 鉱石）
&lt;span class="spacer"&gt;&lt;/span&gt;動詞になって
miner（掘る）</t>
  </si>
  <si>
    <t>1300年頃
金属や鉱物を得る目的で地中に作られた穴またはトンネル
&lt;span class="spacer"&gt;&lt;/span&gt;動詞になって
軍事的な意味で、要塞を破壊するために掘ったトンネル</t>
  </si>
  <si>
    <t>caution（担保, 保証, 保証人）</t>
  </si>
  <si>
    <t>caucioun
&lt;span class="spacer"&gt;&lt;/span&gt;1300年頃
担保, 保証
&lt;span class="spacer"&gt;&lt;/span&gt;1600年代
警告の言葉
&lt;span class="spacer"&gt;&lt;/span&gt;1650年代
危険に対する用心</t>
  </si>
  <si>
    <t>contro</t>
  </si>
  <si>
    <t>versy</t>
  </si>
  <si>
    <t>vertere（回す, 向ける）
&lt;span class="spacer"&gt;&lt;/span&gt;過去分詞versus（〜の方に向けられた）
&lt;span class="spacer"&gt;&lt;/span&gt;contra（反対に）＋versus（〜の方に向けられた)
controversus（反対に向けられた, 論争された）
&lt;span class="spacer"&gt;&lt;/span&gt;名詞を作る-iaが付いて
controversia（反対に向くこと, 争い, 論争）</t>
  </si>
  <si>
    <t>controversie（口論, 不一致）</t>
  </si>
  <si>
    <t>14世紀後期
論争, 討論</t>
  </si>
  <si>
    <t>sensus</t>
  </si>
  <si>
    <t>con（共に）＋sentire（感じる）
consentire（共に感じる）
&lt;span class="spacer"&gt;&lt;/span&gt;過去分詞consensus（同意, 調和）</t>
  </si>
  <si>
    <t>1854年
生理学において、ある目的を達成するために身体の異なる部位が調和や一致すること
&lt;span class="spacer"&gt;&lt;/span&gt;1861年
人々の意見の一般的な一致</t>
  </si>
  <si>
    <t>15世紀初頭
商品を少量または分割して販売すること, 小売り</t>
  </si>
  <si>
    <t>fibra（繊維, 細糸, 内臓）</t>
  </si>
  <si>
    <t>fibre</t>
  </si>
  <si>
    <t>fibre
&lt;span class="spacer"&gt;&lt;/span&gt;14世紀後期
肝臓の葉, 内臓</t>
  </si>
  <si>
    <t>1600年頃
動物の体内の糸状の構造
&lt;span class="spacer"&gt;&lt;/span&gt;1660年代
植物における繊維
&lt;span class="spacer"&gt;&lt;/span&gt;1827年
織物の材料である繊維</t>
  </si>
  <si>
    <t>sentire（感じる）</t>
  </si>
  <si>
    <t>sentir（感じる）</t>
  </si>
  <si>
    <t>senten
&lt;span class="spacer"&gt;&lt;/span&gt;14世紀後期
狩猟用語で、においを嗅ぎつける
&lt;span class="spacer"&gt;&lt;/span&gt;1400年頃、名詞になって
sent（におい, 嗅ぎ取ることができるもの, 猟犬が追跡の手がかりとして用いる臭い）</t>
  </si>
  <si>
    <t>bever</t>
  </si>
  <si>
    <t>bibere（飲む, 吸収する）</t>
  </si>
  <si>
    <t>boivre（飲む）＋age（名詞化）</t>
  </si>
  <si>
    <t>13世紀半ば
あらゆる種類の飲み物</t>
  </si>
  <si>
    <t>sup</t>
  </si>
  <si>
    <t>ple</t>
  </si>
  <si>
    <t>sub（下から上へ）＋plere（満たす）
supplere（満たす, 完全にする）
&lt;span class="spacer"&gt;&lt;/span&gt;名詞を作る-mentumが付いて
supplementum</t>
  </si>
  <si>
    <t>14世紀後期
欠乏を補うために加えられるもの</t>
  </si>
  <si>
    <t>1560年代までに
文学作品や書面による記録に付け加えられるもの, 補足</t>
  </si>
  <si>
    <t>dia（通って）＋bainein（行く）
diabainein（通り抜ける）</t>
  </si>
  <si>
    <t>後期ギリシャ語</t>
  </si>
  <si>
    <t>diabetes（過剰な尿の排出）</t>
  </si>
  <si>
    <t>医学ラテン語</t>
  </si>
  <si>
    <t>1560年代
異常な尿の排出を特徴とする一連の疾患の医学名（現在は糖尿病に限定）</t>
  </si>
  <si>
    <t>provincia（ローマの支配下にあるイタリア国外の領土, 公職, 公務）</t>
  </si>
  <si>
    <t>13世紀
province（国の一部, 州）</t>
  </si>
  <si>
    <t>14世紀半ば
国, 領土, 地域
国の政治的・行政的な区分</t>
  </si>
  <si>
    <t>riffe</t>
  </si>
  <si>
    <t>rigge
&lt;span class="spacer"&gt;&lt;/span&gt;1580年代
水中にある低くて狭い岩の背</t>
  </si>
  <si>
    <t>micro</t>
  </si>
  <si>
    <t>mikros（小さい）
bios（生命）</t>
  </si>
  <si>
    <t>1878年
細菌やその他の極めて小さな生物</t>
  </si>
  <si>
    <t>ex（外に）＋cedere（行く）
excedere（立ち去る, 超える）
&lt;span class="spacer"&gt;&lt;/span&gt;名詞を作る-usが付いて
excessus（超えること）</t>
  </si>
  <si>
    <t>14世紀
exces</t>
  </si>
  <si>
    <t>14世紀後期
通常や必要性を超えること, 過剰, 超過</t>
  </si>
  <si>
    <t>galeria（細長い回廊, 柱廊）</t>
  </si>
  <si>
    <t>14世紀
galerie（長い柱廊）</t>
  </si>
  <si>
    <t>15世紀半ば
屋根のある歩道または通路
壁に沿った狭く部分的に開放された通路</t>
  </si>
  <si>
    <t>1590年代
美術品を展示する建物や空間
&lt;span class="spacer"&gt;&lt;/span&gt;1640年代
劇場の最上階の最も安い座席（ギャラリー）から、そこに座る観客</t>
  </si>
  <si>
    <t>famous（有名な）の名詞として覚える。</t>
  </si>
  <si>
    <t>fama（話, 噂, 評判, 名声, 不名誉）</t>
  </si>
  <si>
    <t>12世紀
fame（名声, 評判, 噂）</t>
  </si>
  <si>
    <t>13世紀初頭
誰かに帰属させられる特徴
&lt;span class="spacer"&gt;&lt;/span&gt;13世紀後期
名声, 著名</t>
  </si>
  <si>
    <t>dead</t>
  </si>
  <si>
    <t>dead（死）＋line（線）
&lt;span class="spacer"&gt;&lt;/span&gt;1864年
アメリカの南北戦争時代の刑務所における、越えてはならない線
&lt;span class="spacer"&gt;&lt;/span&gt;1919年
新聞業界で、原稿を印刷所に送ることができる最終時刻, タイムリミット, 期限</t>
  </si>
  <si>
    <t>graduate</t>
  </si>
  <si>
    <t>graduate（卒業する, 卒業生）と関連させて覚える。</t>
  </si>
  <si>
    <t>gradus（一歩, 階段やハシゴの段）
&lt;span class="spacer"&gt;&lt;/span&gt;graduari（学年を一つずつ上がっていき学位を取得する）</t>
  </si>
  <si>
    <t>graduariの過去分詞graduatus（学位を持つ者）</t>
  </si>
  <si>
    <t>15世紀初頭
学位を持つ者</t>
  </si>
  <si>
    <t>under（下に）＋graduate（卒業生）
&lt;span class="spacer"&gt;&lt;/span&gt;1620年代
最初の学位を取得していない大学生
学部生</t>
  </si>
  <si>
    <t>slave</t>
  </si>
  <si>
    <t>slave（奴隷）と関係させて覚える。</t>
  </si>
  <si>
    <t>中世ギリシャ語</t>
  </si>
  <si>
    <t>Sclavus（奴隷）</t>
  </si>
  <si>
    <t>13世紀
esclave</t>
  </si>
  <si>
    <t>sclave
&lt;span class="spacer"&gt;&lt;/span&gt;1300年頃
他人に所有されている人</t>
  </si>
  <si>
    <t>動詞slave（奴隷にする）＋ery（名詞化）
&lt;span class="spacer"&gt;&lt;/span&gt;1550年代
過酷な労働, 苦役
&lt;span class="spacer"&gt;&lt;/span&gt;1570年代
奴隷状態
&lt;span class="spacer"&gt;&lt;/span&gt;1728年から
奴隷制度</t>
  </si>
  <si>
    <t>prae（前に）＋heda（捕まえる）
praeda（他者より前に捕らえられるもの, 戦利品, 狩りの獲物）</t>
  </si>
  <si>
    <t>12世紀半ば
preie（戦利品, 狩猟で捕えられた獲物）</t>
  </si>
  <si>
    <t>preie
&lt;span class="spacer"&gt;&lt;/span&gt;13世紀半ば
食物として狩られる動物
肉食動物に捕えられたもの
戦争で奪われた戦利品
&lt;span class="spacer"&gt;&lt;/span&gt;14世紀初頭
獲物を狙うこと</t>
  </si>
  <si>
    <t>mittere（送る, 放つ, 置く）</t>
  </si>
  <si>
    <t>12世紀
mes（1人分に分けられた食事, 夕食のコース）</t>
  </si>
  <si>
    <t>1300年頃
一回分の食事の供給や準備
&lt;span class="spacer"&gt;&lt;/span&gt;15世紀初頭
同じ食卓で食べる人々の集まり</t>
  </si>
  <si>
    <t>1530年代
共同の食事場所
&lt;span class="spacer"&gt;&lt;/span&gt;1738年
混ぜ合わせられた食べ物
特に動物用の混ぜ合わされたエサ
&lt;span class="spacer"&gt;&lt;/span&gt;1834年
混乱状態
&lt;span class="spacer"&gt;&lt;/span&gt;1851年
散らかった状態</t>
  </si>
  <si>
    <t>re（後ろへ）＋cedere（行く, 進む）
recedere（後退する）
&lt;span class="spacer"&gt;&lt;/span&gt;名詞を作る-ioが付いて
recessio（後退）</t>
  </si>
  <si>
    <t>récession（後退すること）</t>
  </si>
  <si>
    <t>1640年代
後退すること</t>
  </si>
  <si>
    <t>1929年の恐慌期
経済活動の後退, 不況</t>
  </si>
  <si>
    <t>12世紀
retrere（引き戻す）
&lt;span class="spacer"&gt;&lt;/span&gt;名詞になって
retret（引き戻すこと）</t>
  </si>
  <si>
    <t>retrete
&lt;span class="spacer"&gt;&lt;/span&gt;1300年頃
後退
&lt;span class="spacer"&gt;&lt;/span&gt;14世紀後期
退却または撤退すること</t>
  </si>
  <si>
    <t>græf（墓, 溝）</t>
  </si>
  <si>
    <t>columna（柱）</t>
  </si>
  <si>
    <t>12世紀
colombe（柱）</t>
  </si>
  <si>
    <t>15世紀半ば
柱, 円筒形の建築支柱
ページの垂直方向の区切り</t>
  </si>
  <si>
    <t>1785年から
新聞記事のコラム</t>
  </si>
  <si>
    <t>scene</t>
  </si>
  <si>
    <t>scene（一つひとつの場面）と関連させて覚える。</t>
  </si>
  <si>
    <t>scena（場面, 劇の舞台）</t>
  </si>
  <si>
    <t>14世紀
scène</t>
  </si>
  <si>
    <t>1530年代
劇の場面, 舞台装置
&lt;span class="spacer"&gt;&lt;/span&gt;1770年
scene（舞台の一つひとつの場面）＋ery（集合化）
&lt;span class="spacer"&gt;&lt;/span&gt;scenery（劇場の舞台装置, 劇の場面配置や場面展開）
&lt;span class="spacer"&gt;&lt;/span&gt;1777年から
風景や眺め
絵画的な場面として捉えられた場所の全体的な外観</t>
  </si>
  <si>
    <t>plot（明確な形に区切られた小さな土地）</t>
  </si>
  <si>
    <t>1550年代
土地の配置を示す地図, 図表
&lt;span class="spacer"&gt;&lt;/span&gt;1580年代
十分に練られた計画, 秘密の企て
&lt;span class="spacer"&gt;&lt;/span&gt;1640年代
物語や劇などの筋書き</t>
  </si>
  <si>
    <t>sculp</t>
  </si>
  <si>
    <t>sculpere（彫る, 刻む）
&lt;span class="spacer"&gt;&lt;/span&gt;名詞を作る-uraが付いて 
sculptura（彫られたもの, 彫刻）</t>
  </si>
  <si>
    <t>14世紀後期
彫刻すること
彫刻の技術や工程</t>
  </si>
  <si>
    <t>1610年代
彫刻された芸術作品</t>
  </si>
  <si>
    <t>tabula（平板：tableの語源）</t>
  </si>
  <si>
    <t>tabulaに小さいことを表す-etaが付いて
tabuleta（小さな板）</t>
  </si>
  <si>
    <t>tablete（小さなテーブル）</t>
  </si>
  <si>
    <t>1300年頃
文字を刻み込むために蝋で覆われた、小さくて耐久性のある持ち運び可能な平板
&lt;span class="spacer"&gt;&lt;/span&gt;15世紀初頭
平たい板状の薬, 錠剤</t>
  </si>
  <si>
    <t>1880年までに
筆記用の紙のパッド（一枚一枚切り取って使うメモ用紙）</t>
  </si>
  <si>
    <t>日本語でも使われるコンデンスミルクのコンデンス（condense, 濃縮する）と関連させて覚える。</t>
  </si>
  <si>
    <t>densus（密集した, 混み合った）</t>
  </si>
  <si>
    <t>15世紀初頭
密に詰まった</t>
  </si>
  <si>
    <t>exo</t>
  </si>
  <si>
    <t>tic</t>
  </si>
  <si>
    <t>ex（外に）の形容詞として覚える。</t>
  </si>
  <si>
    <t>exo（外に）
&lt;span class="spacer"&gt;&lt;/span&gt;形容詞を作る-ikosが付いて
exotikos（外部からの, 外国の）</t>
  </si>
  <si>
    <t>exoticus</t>
  </si>
  <si>
    <t>16世紀
exotique</t>
  </si>
  <si>
    <t>1590年代
他国に属する
&lt;span class="spacer"&gt;&lt;/span&gt;1620年代までに
異質な, 異国の, 一風変わった</t>
  </si>
  <si>
    <t>アシッドレイン（acid rain, 酸性雨）と関連させて覚える。</t>
  </si>
  <si>
    <t>acidus（酸っぱい, 鋭い）</t>
  </si>
  <si>
    <t>16世紀
acide</t>
  </si>
  <si>
    <t>1620年代
酢の味がする
&lt;span class="spacer"&gt;&lt;/span&gt;1775年から
比喩的に、刺すような, 辛辣な
&lt;span class="spacer"&gt;&lt;/span&gt;1859年までに
acid rain（酸性雨）</t>
  </si>
  <si>
    <t>*bheid-（裂く, 割る）</t>
  </si>
  <si>
    <t>biter（味がきつい, 鋭い, 切るような, 辛辣な）</t>
  </si>
  <si>
    <t>sentire（感じる）
&lt;span class="spacer"&gt;&lt;/span&gt;過去分詞sensus（感覚）</t>
  </si>
  <si>
    <t>sensus（感覚）に形容詞を作る-bilis（できる）が付いて
sensibilis（五感によって感知できる, 感覚をもつ）</t>
  </si>
  <si>
    <t>gnoscere（知る）
&lt;span class="spacer"&gt;&lt;/span&gt;形容詞を作る-bilis（できる）が付いて
*gnobilis（知られうる）
&lt;span class="spacer"&gt;&lt;/span&gt;nobilis（よく知られた, 有名な, 高貴な生まれの）</t>
  </si>
  <si>
    <t>noble（高貴な）</t>
  </si>
  <si>
    <t>1200年頃
高貴な家柄の, 輝かしい</t>
  </si>
  <si>
    <t>vagus（ぶらつく, 放浪する）</t>
  </si>
  <si>
    <t>13世紀
vague（空の, 荒れた, 放浪する）</t>
  </si>
  <si>
    <t>1540年代
詳細が不確実な, 曖昧な
&lt;span class="spacer"&gt;&lt;/span&gt;1704年までに
考えが曖昧な
&lt;span class="spacer"&gt;&lt;/span&gt;1797年までに
感情が曖昧な</t>
  </si>
  <si>
    <t>para</t>
  </si>
  <si>
    <t>llel</t>
  </si>
  <si>
    <t>allos（他の）
allēlois（お互いに）
&lt;span class="spacer"&gt;&lt;/span&gt;para（傍らに）＋allēlois（お互いに）
parallēlos（並行な）</t>
  </si>
  <si>
    <t>parallelus</t>
  </si>
  <si>
    <t>16世紀
parallèle</t>
  </si>
  <si>
    <t>1540年代
幾何学の線や面に関して、交わらない, 並行な
&lt;span class="spacer"&gt;&lt;/span&gt;1590年代
対象を並べて行う比較
完全に対応する、類似するもの</t>
  </si>
  <si>
    <t>tendere（伸ばす, 張る）
&lt;span class="spacer"&gt;&lt;/span&gt;過去分詞tensus（引き伸ばされた, 張った状態の）</t>
  </si>
  <si>
    <t>1660年代
ぴんと引き伸ばされた, 緊張状態にある
&lt;span class="spacer"&gt;&lt;/span&gt;1821年までに
神経的に緊張した</t>
  </si>
  <si>
    <t>vertic</t>
  </si>
  <si>
    <t>vertexに形容詞を作るalisが付いて
verticalis（頂点の）</t>
  </si>
  <si>
    <t>1540年代
vertical</t>
  </si>
  <si>
    <t>1550年代
頂点の, 最も高い位置の, 真上の
&lt;span class="spacer"&gt;&lt;/span&gt;1704年までに
まっすぐ上下に向けられた
地平線に対して垂直の</t>
  </si>
  <si>
    <t>indi</t>
  </si>
  <si>
    <t>gen</t>
  </si>
  <si>
    <t>indu（中に）＋gignere（生む）
&lt;span class="spacer"&gt;&lt;/span&gt;名詞になって
indigena（土地の中で生まれた者）</t>
  </si>
  <si>
    <t>indigenaに形容詞を作る-usが付いて
indigenus（その土地に生まれた, 土着の）</t>
  </si>
  <si>
    <t>1640年代
特定の土地に生まれた, 固有の, 土着の</t>
  </si>
  <si>
    <t>oriri（生まれる, 起源を持つ：originの語源）
&lt;span class="spacer"&gt;&lt;/span&gt;ab（〜から）＋origo（始まり, 源泉）
&lt;span class="spacer"&gt;&lt;/span&gt;ab origine（始まりから, 起源から）
&lt;span class="spacer"&gt;&lt;/span&gt;aborigines（最初からそこにいる人々・動物・植物）</t>
  </si>
  <si>
    <t>aborigine（先住民）に形容詞を作る-alが付いて
&lt;span class="spacer"&gt;&lt;/span&gt;1660年代
最初の, 始まりから存在している
特にヨーロッパ人によって植民地化された土地の住民に関して
&lt;span class="spacer"&gt;&lt;/span&gt;1820年からオーストラリアに限定して
Aboriginal（アボリジニの）</t>
  </si>
  <si>
    <t>season</t>
  </si>
  <si>
    <t>serere（種をまく）
&lt;span class="spacer"&gt;&lt;/span&gt;名詞を作る-ioが付いて
satio（種まき）</t>
  </si>
  <si>
    <t>seson（種まき, 適切な時期, 季節）</t>
  </si>
  <si>
    <t>seson
&lt;span class="spacer"&gt;&lt;/span&gt;1300年頃
1年のうちのある期間
天候や仕事に関して、適切な時期, ふさわしい機会</t>
  </si>
  <si>
    <t>season（季節）＋al（形容詞化）
&lt;span class="spacer"&gt;&lt;/span&gt;1829年
季節に関する</t>
  </si>
  <si>
    <t>und</t>
  </si>
  <si>
    <t>unda（波）
&lt;span class="spacer"&gt;&lt;/span&gt;ab（〜から）＋undare（波打つ）
abundare（溢れ出る）
&lt;span class="spacer"&gt;&lt;/span&gt;現在分詞abundans（溢れている, 豊かな, 豊富な）</t>
  </si>
  <si>
    <t>14世紀後期
大量に存在する, 豊富な</t>
  </si>
  <si>
    <t>日本語でも使われるハイブリッド車（ガソリンと電気など2つの動力源を使う車）と関連させて覚える。</t>
  </si>
  <si>
    <t>ibrida（雑種）の異なる形hybrida</t>
  </si>
  <si>
    <t>1600年頃
雑種
&lt;span class="spacer"&gt;&lt;/span&gt;1716年から形容詞として使われる</t>
  </si>
  <si>
    <t>2002年
電気とガソリンの両方を使用するハイブリッド車</t>
  </si>
  <si>
    <t>ir</t>
  </si>
  <si>
    <t>relev</t>
  </si>
  <si>
    <t>relieveやrelevantと関連させて覚える。</t>
  </si>
  <si>
    <t>re（強意）＋levare（持ち上げる, 軽くする）
relevare（持ち上げる, 軽減する, 助ける：relieveの語源）</t>
  </si>
  <si>
    <t>relevans（助けとなる, 関係する：relevantの語源）</t>
  </si>
  <si>
    <t>relevant（役にたつ, 依存している）</t>
  </si>
  <si>
    <t>1550年代
目的にあった
当面の問題に関連のある
&lt;span class="spacer"&gt;&lt;/span&gt;1680年代
in（否定）＋relevant（関連のある）
irrelevant（関連のない, 無関係の）</t>
  </si>
  <si>
    <t>ridic</t>
  </si>
  <si>
    <t>ulous</t>
  </si>
  <si>
    <t>ridere（笑う）
&lt;span class="spacer"&gt;&lt;/span&gt;形容詞を作る-ulusが付いて
ridiculus（笑える, 滑稽な, 馬鹿げた）</t>
  </si>
  <si>
    <t>ridyculouse
&lt;span class="spacer"&gt;&lt;/span&gt;1540年代
嘲笑や軽蔑的な笑いに値する
馬鹿げた</t>
  </si>
  <si>
    <t>fai</t>
  </si>
  <si>
    <t>fairy tale（おとぎ話, 妖精の話）と関連させて覚える。</t>
  </si>
  <si>
    <t>fee（妖精）＋erie（名詞化）</t>
  </si>
  <si>
    <t>fairie
&lt;span class="spacer"&gt;&lt;/span&gt;1300年頃
妖精の国
&lt;span class="spacer"&gt;&lt;/span&gt;14世紀後期
妖精</t>
  </si>
  <si>
    <t>sens</t>
  </si>
  <si>
    <t>sentire（感じる）
&lt;span class="spacer"&gt;&lt;/span&gt;過去分詞sensus（感覚）
&lt;span class="spacer"&gt;&lt;/span&gt;形容詞を作る-oriusが付いて
sensorius（感覚に関する）</t>
  </si>
  <si>
    <t>1749年
感覚に関する</t>
  </si>
  <si>
    <t>chron</t>
  </si>
  <si>
    <t>khronos（時間）
&lt;span class="spacer"&gt;&lt;/span&gt;形容詞を作る-ikosが付いて
khronikos（時間の）</t>
  </si>
  <si>
    <t>chronicus（時間の）</t>
  </si>
  <si>
    <t>chronique</t>
  </si>
  <si>
    <t>15世紀初頭
長期にわたる, 慢性の</t>
  </si>
  <si>
    <t>volunt</t>
  </si>
  <si>
    <t>日本語でも使われるボランティア（volunteer, 自発的に行う者, 志願者）と関連させて覚える。</t>
  </si>
  <si>
    <t>velle（望む）
&lt;span class="spacer"&gt;&lt;/span&gt;名詞になって
voluntas（意志）
&lt;span class="spacer"&gt;&lt;/span&gt;形容詞を作る-ariusが付いて
voluntarius（自らの意志による, 自発的な）</t>
  </si>
  <si>
    <t>volontaire</t>
  </si>
  <si>
    <t>voluntarie</t>
  </si>
  <si>
    <t>voluntarie
&lt;span class="spacer"&gt;&lt;/span&gt;14世紀後期
意志による, 意志に従う
自分の自由な選択によって行われる</t>
  </si>
  <si>
    <t>clin(e)部分は傾くという意味。これは椅子のリクライニング（背もたれを後ろに傾ける機能）と同じ。</t>
  </si>
  <si>
    <t>in（中に）＋clinare（曲げる）
inclinare（〜の中に曲げる, 傾かせる, 傾ける）</t>
  </si>
  <si>
    <t>encliner（傾く, 曲げる）</t>
  </si>
  <si>
    <t>1300年頃
〜の方へ曲げる
&lt;span class="spacer"&gt;&lt;/span&gt;過去分詞が形容詞になって
精神的傾向がある, 〜する傾向がある</t>
  </si>
  <si>
    <t>in（中に）＋ferre（運ぶ）
inferre（中へ運ぶ, 結論を出す, 推論する）</t>
  </si>
  <si>
    <t>1520年代
論理学において、推論の結果として導き出す
&lt;span class="spacer"&gt;&lt;/span&gt;1570年代
自動詞で、推論する, 推測する</t>
  </si>
  <si>
    <t>aestimare（価値を定める, 評価する, 査定する）</t>
  </si>
  <si>
    <t>estimer（推定する, 見積もる）</t>
  </si>
  <si>
    <t>15世紀半ば
同じ語源にさかのぼるestimateと同じように使われた</t>
  </si>
  <si>
    <t>1530年代
尊敬する</t>
  </si>
  <si>
    <t>スポーツのタックルから、何かをつかんで適切に扱おうとするイメージをつかむ。</t>
  </si>
  <si>
    <t>中低地ドイツ語</t>
  </si>
  <si>
    <t>takel（船の索具）</t>
  </si>
  <si>
    <t>takel
&lt;span class="spacer"&gt;&lt;/span&gt;13世紀半ば
船の索具, 装置
&lt;span class="spacer"&gt;&lt;/span&gt;14世紀半ば、動詞になって
takelen（絡ませる, 巻き込む）
&lt;span class="spacer"&gt;&lt;/span&gt;1400年頃
船に索具（タックル）を備え付ける</t>
  </si>
  <si>
    <t>1828年から
捕らえる, 取っ組み合う
&lt;span class="spacer"&gt;&lt;/span&gt;1840年までに
問題に取り組む, 対処しようとする
&lt;span class="spacer"&gt;&lt;/span&gt;1867年から
スポーツで、ボールを持って走る選手を捕まえて止める, タックルする</t>
  </si>
  <si>
    <t>日本語でも使われるアドベンチャー（adventure）の短縮形として生まれた語。</t>
  </si>
  <si>
    <t>ad（〜へ）＋venire（来る）
advenire（〜に来る）
&lt;span class="spacer"&gt;&lt;/span&gt;未来分詞adventura（起ころうとしている）</t>
  </si>
  <si>
    <t>11世紀
aventure（出来事, 偶然）</t>
  </si>
  <si>
    <t>aventureの短縮形でventuren
&lt;span class="spacer"&gt;&lt;/span&gt;1500年頃
何かを失う危険を冒す
危険に身を投じる
&lt;span class="spacer"&gt;&lt;/span&gt;1550年代
あえて〜する</t>
  </si>
  <si>
    <t>celerate</t>
  </si>
  <si>
    <t>celer（速い）
&lt;span class="spacer"&gt;&lt;/span&gt;ad（〜へ）＋celerare（急ぐ）
accelerare（急がせる, 速める）
&lt;span class="spacer"&gt;&lt;/span&gt;過去分詞acceleratus</t>
  </si>
  <si>
    <t>1520年代
事象の発生を早める
&lt;span class="spacer"&gt;&lt;/span&gt;1590年代
より速くする
&lt;span class="spacer"&gt;&lt;/span&gt;1640年代
自動詞で、より速くなる, 加速する</t>
  </si>
  <si>
    <t>custom</t>
  </si>
  <si>
    <t>custom（習慣, 慣習）と関連させて覚える。</t>
  </si>
  <si>
    <t>com（強意）＋suescere（自分自身を慣れさせる）
consuescere（慣れさせる）
&lt;span class="spacer"&gt;&lt;/span&gt;過去分詞consuetus
&lt;span class="spacer"&gt;&lt;/span&gt;名詞を作る-udoが付いて
consuetudo（慣れること, 習慣, 用法）</t>
  </si>
  <si>
    <t>costume（慣れること, 慣習, 習慣, 衣服, 正装）
&lt;span class="spacer"&gt;&lt;/span&gt;à（〜へ）＋costume（習慣）
acostumer（慣れさせる）</t>
  </si>
  <si>
    <t>accustomen
&lt;span class="spacer"&gt;&lt;/span&gt;15世紀初頭
慣習によって習熟させる</t>
  </si>
  <si>
    <t>muse</t>
  </si>
  <si>
    <t>a（使役）＋muser（物思いにふける, じっと見つめる）
amuser（注意をそらして物思いにふけらせる, からかう）</t>
  </si>
  <si>
    <t>15世紀後期
注意をそらす</t>
  </si>
  <si>
    <t>1630年代
まじめなことから気を逸らして楽しませる</t>
  </si>
  <si>
    <t>flour</t>
  </si>
  <si>
    <t>ish</t>
  </si>
  <si>
    <t>*bhel-（咲く, 繁栄する）
&lt;span class="spacer"&gt;&lt;/span&gt;&lt;span class="obsolete"&gt;flower, bloom, blossomもこの印欧祖語にさかのぼる。&lt;/span&gt;</t>
  </si>
  <si>
    <t>flos（花）
&lt;span class="spacer"&gt;&lt;/span&gt;動詞になって
florer（開花する, 繁栄する）</t>
  </si>
  <si>
    <t>florir（花が咲く, 繁栄する）</t>
  </si>
  <si>
    <t>1300年頃
花が咲く, 成長する
&lt;span class="spacer"&gt;&lt;/span&gt;14世紀半ば
繁栄する</t>
  </si>
  <si>
    <t>þrifask（自分のものにする, うまくやる, 繁栄する）</t>
  </si>
  <si>
    <t>thriven
&lt;span class="spacer"&gt;&lt;/span&gt;12世紀後期
繁栄する, 成熟する</t>
  </si>
  <si>
    <t>nurse（看護する, 育てる）, nutrition（栄養）, nursery（保育所）, nourish（栄養を与える）など、栄養や養育に関わる語と関連させて覚える。</t>
  </si>
  <si>
    <t>nutrire（育てる, 授乳する）</t>
  </si>
  <si>
    <t>nutritia（養育, 授乳）</t>
  </si>
  <si>
    <t>norture（食物, 栄養, 養育）</t>
  </si>
  <si>
    <t>norture
&lt;span class="spacer"&gt;&lt;/span&gt;1300年頃
養育, 子どもを育てること
&lt;span class="spacer"&gt;&lt;/span&gt;1400年頃、動詞になって
norturen（育てる, 養育する）</t>
  </si>
  <si>
    <t>1580年代
擬音語で、弱く鋭い音を立てさせる
&lt;span class="spacer"&gt;&lt;/span&gt;1610年代
カチッという音がする</t>
  </si>
  <si>
    <t>spinnan（繊維を引き出し、より合わせて糸にする, ねじる）</t>
  </si>
  <si>
    <t>spinnen</t>
  </si>
  <si>
    <t>1610年代
急速に回転させる
&lt;span class="spacer"&gt;&lt;/span&gt;1660年代
回転する, 急速に回る</t>
  </si>
  <si>
    <t>日本語でも使われるビデオクリップ（映像の一部分）と関連させて覚える。</t>
  </si>
  <si>
    <t>1200年頃
鋭い道具で切る（おそらく擬音語）</t>
  </si>
  <si>
    <t>dragan（引く）</t>
  </si>
  <si>
    <t>draggen
&lt;span class="spacer"&gt;&lt;/span&gt;14世紀後期
何かを探して、川や湖などの底に沿って鉤縄を引きずる</t>
  </si>
  <si>
    <t>1580年代
足や尻尾などをゆっくりと引きずる
&lt;span class="spacer"&gt;&lt;/span&gt;1660年代
ゆっくりと動く, ぐずぐずする</t>
  </si>
  <si>
    <t>kasta（投げる）</t>
  </si>
  <si>
    <t>1200年頃
投げる, 投げ飛ばす
&lt;span class="spacer"&gt;&lt;/span&gt;投げるという物理的な行為では、大部分がthrowに取って代わられる
&lt;span class="spacer"&gt;&lt;/span&gt;13世紀
視線を投げる</t>
  </si>
  <si>
    <t>17世紀
釣りで竿を振ってエサを遠くへ投げる
&lt;span class="spacer"&gt;&lt;/span&gt;1711年から
劇の配役を俳優たちに割り振る
&lt;span class="spacer"&gt;&lt;/span&gt;1840年から
票を投げる</t>
  </si>
  <si>
    <t>scatterは集まったものが散らばるイメージ。</t>
  </si>
  <si>
    <t>scateren
&lt;span class="spacer"&gt;&lt;/span&gt;12世紀半ば
浪費する, ばらまく
&lt;span class="spacer"&gt;&lt;/span&gt;1300年頃
ばらばらにして追い払う
自動詞で、ばらばらに逃げる, 分散する
&lt;span class="spacer"&gt;&lt;/span&gt;14世紀後期
あちこちに撒き散らす</t>
  </si>
  <si>
    <t>temptare（触れる, 試す）</t>
  </si>
  <si>
    <t>12世紀
tempter</t>
  </si>
  <si>
    <t>tempten
&lt;span class="spacer"&gt;&lt;/span&gt;1200年
人を罪や悪へと誘惑する</t>
  </si>
  <si>
    <t>with</t>
  </si>
  <si>
    <t>ここではwithが古い意味の「離れて」を保持している。
draw（引く）はそのままの意味。</t>
  </si>
  <si>
    <t>with（離れて）＋drawan（引く）
&lt;span class="obsolete"&gt;withの「離れて」という意味は非常に古いもの。&lt;/span&gt;</t>
  </si>
  <si>
    <t>withdrauen
&lt;span class="spacer"&gt;&lt;/span&gt;13世紀初頭
引き離す, 引き戻す
&lt;span class="spacer"&gt;&lt;/span&gt;13世紀中頃
退く, 立ち去る
&lt;span class="spacer"&gt;&lt;/span&gt;1300年頃
身を引く</t>
  </si>
  <si>
    <t>1776年までに
銀行などで、お金を引き出す</t>
  </si>
  <si>
    <t>イギリス英語の発音をカタカナにすると「ヨーン」となり、あくびのように口を大きく開くイメージ。</t>
  </si>
  <si>
    <t>ginian / gionian</t>
  </si>
  <si>
    <t>yenen / yonen
&lt;span class="spacer"&gt;&lt;/span&gt;1300年頃
口を大きく開ける
&lt;span class="spacer"&gt;&lt;/span&gt;15世紀半ばまでに
眠気や退屈によって無意識に口を大きく開ける
あくびをする</t>
  </si>
  <si>
    <t>blinkは、輝き＝光がパチパチする感じから瞬きへと繋がる。</t>
  </si>
  <si>
    <t>blican（輝く）に関連する可能性がある</t>
  </si>
  <si>
    <t>1580年代
目を素早く何度も動かす
&lt;span class="spacer"&gt;&lt;/span&gt;1761年までに
ウインクする
&lt;span class="spacer"&gt;&lt;/span&gt;1786年から
瞬間的な光を放つ
&lt;span class="spacer"&gt;&lt;/span&gt;1858年から
無意識にまばたきする</t>
  </si>
  <si>
    <t>deagian（染める）</t>
  </si>
  <si>
    <t>deien（着色液に浸すことによって何かに色を定着させる）</t>
  </si>
  <si>
    <t>spillan（破壊する, 命を奪う）</t>
  </si>
  <si>
    <t>spillen（殺す）
&lt;span class="spacer"&gt;&lt;/span&gt;14世紀半ば
液体をこぼす
&lt;span class="spacer"&gt;&lt;/span&gt;15世紀初頭
容器からこぼれる
&lt;span class="spacer"&gt;&lt;/span&gt;&lt;span class="obsolete"&gt;こぼす・こぼれるという意味への発展は、殺すという元の意味に関連し、血を流すことにこの語が使われた可能性がある&lt;/span&gt;</t>
  </si>
  <si>
    <t>1600年以降
殺すという意味で使われなくなっていく</t>
  </si>
  <si>
    <t>1919年
秘密を漏らす</t>
  </si>
  <si>
    <t>1530年代
行動を促す, 駆り立てる
&lt;span class="spacer"&gt;&lt;/span&gt;1590年代
いらだたせる</t>
  </si>
  <si>
    <t>in（中に, 上に）＋salire（跳ぶ）
insilire（上に飛びかかる）
&lt;span class="spacer"&gt;&lt;/span&gt;insultare（飛びかかる, 襲いかかる, 侮辱する）</t>
  </si>
  <si>
    <t>insulter（飛びかかる, 不当に扱う, 傲慢に勝利を誇示する）</t>
  </si>
  <si>
    <t>1560年代
&lt;span class="obsolete"&gt;傲慢なやり方で勝利を誇る&lt;/span&gt;
&lt;span class="spacer"&gt;&lt;/span&gt;1610年代
侮辱する, 無礼に扱う</t>
  </si>
  <si>
    <t>en（〜にする, 中に）＋force（力）
enforcen
&lt;span class="spacer"&gt;&lt;/span&gt;14世紀半ば
物理的な力で追いやる
&lt;span class="spacer"&gt;&lt;/span&gt;14世紀後期
力を行使する, 強制する</t>
  </si>
  <si>
    <t>1640年代
法律などを施行する</t>
  </si>
  <si>
    <t>robber（強盗）やrobbery（強盗事件）と関連させて覚える。</t>
  </si>
  <si>
    <t>rober（盗む, 強奪する, 略奪する）</t>
  </si>
  <si>
    <t>robben
&lt;span class="spacer"&gt;&lt;/span&gt;12世紀後期
盗む, 不法に奪い去る, 暴力や武力によって略奪する</t>
  </si>
  <si>
    <t>*dreug-（乾く, 乾かす）
&lt;span class="spacer"&gt;&lt;/span&gt;dry（乾いた）やdrought（干ばつ）もこの語に由来する。</t>
  </si>
  <si>
    <t>dreahnian（液体などを徐々に抜き取る）</t>
  </si>
  <si>
    <t>dreinen</t>
  </si>
  <si>
    <t>1580年代
自動詞で、徐々に流れ出る</t>
  </si>
  <si>
    <t>pend</t>
  </si>
  <si>
    <t>日本語でも使われるサスペンダー（パンツが落ちるのを防ぐもの）と関連させて覚える。
&lt;div class="sample_image suspender"&gt;&lt;/div&gt;</t>
    <rPh sb="20" eb="21">
      <t>オ</t>
    </rPh>
    <rPh sb="25" eb="26">
      <t>フセ</t>
    </rPh>
    <phoneticPr fontId="1"/>
  </si>
  <si>
    <t>12世紀
sospendre（吊るす, 職を解く）</t>
  </si>
  <si>
    <t>suspenden
&lt;span class="spacer"&gt;&lt;/span&gt;1300年頃
ある職務や特権から一時的に排除する
法律などを保留する
一時的に停止させる
&lt;span class="spacer"&gt;&lt;/span&gt;15世紀半ば
上からの支えによって吊るされた状態にする</t>
  </si>
  <si>
    <t>1550年代までに
判断などを未決定のままにする
&lt;span class="spacer"&gt;&lt;/span&gt;1570年代
一時的に運営を停止する</t>
  </si>
  <si>
    <t>drive（駆り立てる）の名詞形
古ノルド語drift（吹き寄せられた雪の塊）
中世オランダ語drift（追い立てられる家畜の群れ）
などに由来する
&lt;span class="spacer"&gt;&lt;/span&gt;14世紀初頭
駆り立てられること
&lt;span class="spacer"&gt;&lt;/span&gt;15世紀半ば
駆り立てられたもの
駆り立てられて一緒に移動するものの塊</t>
    <rPh sb="70" eb="72">
      <t>ユライ</t>
    </rPh>
    <phoneticPr fontId="1"/>
  </si>
  <si>
    <t>16世紀後期
流れによって押し流される
浮かぶ</t>
  </si>
  <si>
    <t>give</t>
  </si>
  <si>
    <t>for（完全に）＋giefan（与える）
forgiefan（与える, 承諾する, 負債を免除する, 許す）</t>
  </si>
  <si>
    <t>foryeven</t>
  </si>
  <si>
    <t>vise</t>
  </si>
  <si>
    <t>re（再び）＋videre（見る）
revidere（再び見る）
&lt;span class="spacer"&gt;&lt;/span&gt;反復形revisere（何度も見直す, 再び訪問する）</t>
  </si>
  <si>
    <t>13世紀
reviser</t>
  </si>
  <si>
    <t>1560年代
&lt;span class="obsolete"&gt;再び見る（現在は廃用）&lt;/span&gt;
&lt;span class="spacer"&gt;&lt;/span&gt;1590年代
改善や修正を目的として再び見直す</t>
  </si>
  <si>
    <t>cruit</t>
  </si>
  <si>
    <t>crescere（成長する）</t>
  </si>
  <si>
    <t>re（再び）＋creistre（成長する）
recreistre（再び成長する）
&lt;span class="spacer"&gt;&lt;/span&gt;過去分詞recreu</t>
  </si>
  <si>
    <t>recrue（新たな成長, 新兵, 軍隊の徴集）
recreue（補充）
&lt;span class="spacer"&gt;&lt;/span&gt;これらの変種recrute
&lt;span class="spacer"&gt;&lt;/span&gt;動詞になって
recruter（補充する）</t>
  </si>
  <si>
    <t>1630年代
新しい供給によって強化する
&lt;span class="spacer"&gt;&lt;/span&gt;1650年代
新兵を徴募する
&lt;span class="spacer"&gt;&lt;/span&gt;1660年代
様々なものを新しく補充する</t>
  </si>
  <si>
    <t>*dwo-（2）</t>
  </si>
  <si>
    <t>~twist（2つに別れたもの）</t>
  </si>
  <si>
    <t>1200年頃
ねじる, 縛る
&lt;span class="spacer"&gt;&lt;/span&gt;15世紀後期
2本以上の糸の束を紡いで1本の糸にする</t>
  </si>
  <si>
    <t>1530年代
手足などをひねる
&lt;span class="spacer"&gt;&lt;/span&gt;1630年代
うねるように動く, 螺旋状に巻く</t>
  </si>
  <si>
    <t>cruissir（歯をぎしぎし鳴らす, 粉砕する）</t>
  </si>
  <si>
    <t>14世紀半ば
粉々に砕く, 押しつぶす</t>
  </si>
  <si>
    <t>pinn（留め具のピン）</t>
  </si>
  <si>
    <t>pinnen
&lt;span class="spacer"&gt;&lt;/span&gt;14世紀半ば
ピンで留める</t>
  </si>
  <si>
    <t>cover（覆う）の反対として覚える。</t>
  </si>
  <si>
    <t>un（〜の逆）＋cover（覆う）
&lt;span class="spacer"&gt;&lt;/span&gt;14世紀初頭
明らかにする
&lt;span class="spacer"&gt;&lt;/span&gt;14世紀後期
ふたや覆いを取り除く</t>
  </si>
  <si>
    <t>ploit</t>
  </si>
  <si>
    <t>ex（外に）＋plicare（折る）
explicare（広げる）
&lt;span class="spacer"&gt;&lt;/span&gt;過去分詞explicitus
&lt;span class="spacer"&gt;&lt;/span&gt;名詞を作る-umが付いて
explicitum（完了されたもの, 解決されたもの）</t>
  </si>
  <si>
    <t>esploit（遂行, 達成）
&lt;span class="spacer"&gt;&lt;/span&gt;動詞になって
esploitier（遂行する, 達成する）</t>
  </si>
  <si>
    <t>esploiten
&lt;span class="spacer"&gt;&lt;/span&gt;1400年頃
成し遂げる, 達成する</t>
  </si>
  <si>
    <t>1838年
利己的に利用する
搾取する</t>
  </si>
  <si>
    <t>in（中に）＋plere（満たす）
implere（満たす, いっぱいにする）</t>
  </si>
  <si>
    <t>implereに名詞を作る-mentumが付いて
implementem（満たすこと）</t>
  </si>
  <si>
    <t>15世紀半ば
補充金, 返済完了に必要な金額</t>
  </si>
  <si>
    <t>1530年代
仕事をするために必要なもの, 職人の道具, 商売道具
&lt;span class="spacer"&gt;&lt;/span&gt;スコットランドで法律の履行という意味で使われていたことから動詞になって
1707年
実行する, 実施する</t>
  </si>
  <si>
    <t>tegrate</t>
  </si>
  <si>
    <t>in（否定）＋tangere（触れる）
integer（触れられていない, 完全な）
&lt;span class="spacer"&gt;&lt;/span&gt;動詞になって
integrare（完全なものにする）
&lt;span class="spacer"&gt;&lt;/span&gt;過去分詞integratus</t>
  </si>
  <si>
    <t>1630年代
あるものを完全な状態にする
部分をまとめ合わせる
&lt;span class="spacer"&gt;&lt;/span&gt;1802年から
部分を統合して一体にする</t>
  </si>
  <si>
    <t>corprate</t>
  </si>
  <si>
    <t>in（中に）＋corpus（身体）</t>
  </si>
  <si>
    <t>incorporare（一つの身体にする, 具現化する, 含める）
&lt;span class="spacer"&gt;&lt;/span&gt;過去分詞incorporatus</t>
  </si>
  <si>
    <t>14世紀後期
あるものを他のものの中に取り込む, 混合する
&lt;span class="spacer"&gt;&lt;/span&gt;15世紀半ば
法人として設立する</t>
  </si>
  <si>
    <t>1590年代
自動詞、他のものと結合してその一部になる</t>
  </si>
  <si>
    <t>filum（糸）</t>
  </si>
  <si>
    <t>filare（紡ぐ, 線を引く）</t>
  </si>
  <si>
    <t>1650年代
何らかの輪郭を描いたもの
特に横から見た人の顔の描写
&lt;span class="spacer"&gt;&lt;/span&gt;1660年代
横顔
&lt;span class="spacer"&gt;&lt;/span&gt;1734年から
人物紹介</t>
  </si>
  <si>
    <t>petite</t>
  </si>
  <si>
    <t>ad（〜へ）＋petere（求める）
appetere（〜に向かって求める, 切望する）
&lt;span class="spacer"&gt;&lt;/span&gt;過去分詞appetitus（食欲, 切望）</t>
  </si>
  <si>
    <t>apetit（食欲, 欲望）</t>
  </si>
  <si>
    <t>appetit</t>
  </si>
  <si>
    <t>1300年頃
食べ物への欲望</t>
  </si>
  <si>
    <t>pulse</t>
  </si>
  <si>
    <t>in（中に）＋pellere（押す）
impellere（〜の中に押す, 押し込む）
&lt;span class="spacer"&gt;&lt;/span&gt;過去分詞impulsus（押すこと, 衝撃, 刺激）</t>
  </si>
  <si>
    <t>15世紀初頭
突き動かす力, 衝撃</t>
  </si>
  <si>
    <t>1640年代
心を何らかの行動へと駆り立てる衝動</t>
  </si>
  <si>
    <t>scribere（書く）
&lt;span class="spacer"&gt;&lt;/span&gt;過去分詞に名詞を作る-umが付いて
scriptum（書かれたもの, 文書）</t>
  </si>
  <si>
    <t>escrit（書かれたもの, 書面）</t>
  </si>
  <si>
    <t>scrit</t>
  </si>
  <si>
    <t>14世紀後期
書かれたもの, 文書</t>
  </si>
  <si>
    <t>1860年までに
手書き, 手書きの文字, 筆跡
&lt;span class="spacer"&gt;&lt;/span&gt;1884年から
演劇の台本</t>
  </si>
  <si>
    <t>anni</t>
  </si>
  <si>
    <t>vers</t>
  </si>
  <si>
    <t>vertere（回す）
&lt;span class="spacer"&gt;&lt;/span&gt;過去分詞versus
&lt;span class="spacer"&gt;&lt;/span&gt;annus（年）＋versus（回された）
anniversarius（毎年回ってくる）</t>
  </si>
  <si>
    <t>anniversarius（毎年回ってくる）に名詞を作る-umが付いて
anniversarium（年ごとの記念日）</t>
  </si>
  <si>
    <t>1200年頃
年ごとの記念日</t>
  </si>
  <si>
    <t>pens</t>
  </si>
  <si>
    <t>pendere（吊るす, 量る, 支払う）
&lt;span class="spacer"&gt;&lt;/span&gt;名詞を作る-ioが付いて
pensio（支払い, 分割払い）</t>
  </si>
  <si>
    <t>13世紀
pension（支払い）</t>
  </si>
  <si>
    <t>14世紀後期
サービスに対する支払い
遺言や聖職禄から支払われる定期的な報酬または年ごとの支払い</t>
  </si>
  <si>
    <t>1520年代
過去の奉仕に対する定期的な支払い
年齢や障害を理由に退職した個人に対して行われる定期的な支払い</t>
  </si>
  <si>
    <t>temperare（適度にする, 適切な割合で混ぜる）</t>
  </si>
  <si>
    <t>temprian（適度にする, 調整する）</t>
  </si>
  <si>
    <t>temperen（適切な状態に混ぜ合わせる, 適切な状態に調整する）
&lt;span class="spacer"&gt;&lt;/span&gt;14世紀後期、名詞になって
体液説や薬剤において、適切な配合, 適度な割合</t>
  </si>
  <si>
    <t>1590年代
心の状態, 気質
&lt;span class="spacer"&gt;&lt;/span&gt;1600年頃
落ち着いた心の状態
&lt;span class="spacer"&gt;&lt;/span&gt;1828年までに
不機嫌</t>
  </si>
  <si>
    <t>cortex（木の皮, 樹皮）</t>
  </si>
  <si>
    <t>1650年代
外側の皮
植物学・動物学・解剖学で、樹皮に似た外層
&lt;span class="spacer"&gt;&lt;/span&gt;1741年までに
脳の皮質</t>
  </si>
  <si>
    <t>syn</t>
  </si>
  <si>
    <t>drome</t>
  </si>
  <si>
    <t>syn（共に）＋dromos（走ること, コース）
syndromos（共に走ること, いくつかの道が交わる場所）
&lt;span class="spacer"&gt;&lt;/span&gt;syndrome（集合, 症状の同時発生）</t>
  </si>
  <si>
    <t>syndrome（症状の同時発生）</t>
  </si>
  <si>
    <t>1540年代
同時に現れる複数の症状</t>
  </si>
  <si>
    <t>camera（部屋）</t>
  </si>
  <si>
    <t>chambre（部屋, 寝室）</t>
  </si>
  <si>
    <t>1200年頃
家の中の部屋
&lt;span class="spacer"&gt;&lt;/span&gt;1400年頃から
議会の会議室から発展して、議院そのもの
&lt;span class="spacer"&gt;&lt;/span&gt;14世紀後期
体内の密閉された空間</t>
  </si>
  <si>
    <t>1620年代
銃の薬室（弾が入る場所）</t>
  </si>
  <si>
    <t>uti</t>
  </si>
  <si>
    <t>li</t>
  </si>
  <si>
    <t>useに関連する名詞として覚える。</t>
  </si>
  <si>
    <t>uti（利用する：useの語源）
&lt;span class="spacer"&gt;&lt;/span&gt;形容詞を作る-ilisが付いて
utilis（使用可能な）
&lt;span class="spacer"&gt;&lt;/span&gt;名詞を作る-tasが付いて
utilitas（役立つこと, 有用性）</t>
  </si>
  <si>
    <t>13世紀
utilite</t>
  </si>
  <si>
    <t>utilite
&lt;span class="spacer"&gt;&lt;/span&gt;14世紀後期
有用であること
&lt;span class="spacer"&gt;&lt;/span&gt;15世紀後期
有用なもの</t>
  </si>
  <si>
    <t>public utilityの短縮としてutility（公共事業, 公共料金）</t>
  </si>
  <si>
    <t>caput（頭）
&lt;span class="spacer"&gt;&lt;/span&gt;形容詞を作る-alisが付いて
capitalis（頭の, 主要な, 第一の）</t>
  </si>
  <si>
    <t>capitale（財産, 蓄え）</t>
  </si>
  <si>
    <t>catel（財産）</t>
  </si>
  <si>
    <t>13世紀半ば
財産
&lt;span class="spacer"&gt;&lt;/span&gt;14世紀初頭
動産, 家畜（牛, 馬, 羊, ロバなど）</t>
  </si>
  <si>
    <t>16世紀後期
牛に限定される</t>
  </si>
  <si>
    <t>heord（群れ, 家畜の集まり）</t>
  </si>
  <si>
    <t>1200年頃
野生か家畜かを問わず、あらゆる動物の群れ</t>
  </si>
  <si>
    <t>flu</t>
  </si>
  <si>
    <t>fluere（流れる）
&lt;span class="spacer"&gt;&lt;/span&gt;形容詞を作る-idusが付いて
fluidus（流動的な, 流れている）</t>
  </si>
  <si>
    <t>14世紀
fluide</t>
  </si>
  <si>
    <t>15世紀初頭
液体の, 流れることのできる</t>
  </si>
  <si>
    <t>1640年代までに
固定されていない, 柔軟な
&lt;span class="spacer"&gt;&lt;/span&gt;1660年代、名詞になって
粒子が自由に動く物質
液体や気体</t>
  </si>
  <si>
    <t>pietas（神を敬い仕えること, 忠誠, 義務）</t>
  </si>
  <si>
    <t>pite（慈悲, 哀れみ）</t>
  </si>
  <si>
    <t>pite
&lt;span class="spacer"&gt;&lt;/span&gt;13世紀半ば
慈悲, 心の寛大さ
&lt;span class="spacer"&gt;&lt;/span&gt;1300年頃
慈悲深い気質
他者の悲しみや苦しみによって引き起こされる同情と慈悲の感情
&lt;span class="spacer"&gt;&lt;/span&gt;14世紀半ば
神を敬い服従すること
&lt;span class="spacer"&gt;&lt;/span&gt;14世紀後期
哀れみの原因
哀れなこと</t>
  </si>
  <si>
    <t>presbys（古い）
&lt;span class="spacer"&gt;&lt;/span&gt;比較級になって
presbyteros（より年長の者, 長老）</t>
  </si>
  <si>
    <t>presbyter（長老, 司祭）</t>
  </si>
  <si>
    <t>*prester（司祭）</t>
  </si>
  <si>
    <t>preost</t>
  </si>
  <si>
    <t>prēst（司祭, 聖職者）</t>
  </si>
  <si>
    <t>quaint</t>
  </si>
  <si>
    <t>gnoscere（知る）
&lt;span class="spacer"&gt;&lt;/span&gt;ad（〜へ）＋com（完全に）＋gnoscere（知る）
accognoscere（よく知る, 認識する）
&lt;span class="spacer"&gt;&lt;/span&gt;過去分詞accognitus（よく知られた, 面識のある）</t>
  </si>
  <si>
    <t>*accognitare（知らせる, 面識を得させる）</t>
  </si>
  <si>
    <t>acointer（知らせる, 知り合いになる）
&lt;span class="spacer"&gt;&lt;/span&gt;名詞になって
acointance（知り合い関係, 親さ）</t>
  </si>
  <si>
    <t>1300年頃
知り合いである状態
&lt;span class="spacer"&gt;&lt;/span&gt;14世紀後期
知っている人</t>
  </si>
  <si>
    <t>off</t>
  </si>
  <si>
    <t>spring</t>
  </si>
  <si>
    <t>of（〜から離れて）＋springan（跳ねる）
offspring（誰かから飛び出してきた者たち, 子孫）</t>
  </si>
  <si>
    <t>fames（飢え, 飢饉）</t>
  </si>
  <si>
    <t>*famina</t>
  </si>
  <si>
    <t>12世紀
famine（飢饉）</t>
  </si>
  <si>
    <t>14世紀半ば
飢饉</t>
  </si>
  <si>
    <t>forest</t>
  </si>
  <si>
    <t>ation</t>
  </si>
  <si>
    <t>de＋forestから覚える。</t>
  </si>
  <si>
    <t>de（除去）＋forest（森林）
&lt;span class="spacer"&gt;&lt;/span&gt;1842年
森林を伐採して除去する
&lt;span class="spacer"&gt;&lt;/span&gt;1870年、名詞になって
ある地域または区域の森林を切り倒して取り払う行為</t>
  </si>
  <si>
    <t>cavea（囲い, 檻, 洞穴）</t>
  </si>
  <si>
    <t>caveola（小さな檻）</t>
  </si>
  <si>
    <t>gabiola（檻）</t>
  </si>
  <si>
    <t>jaiole（檻）</t>
  </si>
  <si>
    <t>jaile
&lt;span class="spacer"&gt;&lt;/span&gt;1300年頃
拘置所, 刑務所</t>
  </si>
  <si>
    <t>mod</t>
  </si>
  <si>
    <t>15世紀
commodit（利益）</t>
  </si>
  <si>
    <t>15世紀初頭
利益, 便利なもの, 有用なもの, 商品</t>
  </si>
  <si>
    <t>forma（型, 形）
&lt;span class="spacer"&gt;&lt;/span&gt;動詞になって
formare（形作る）</t>
  </si>
  <si>
    <t>formareの過去分詞formatus
&lt;span class="spacer"&gt;&lt;/span&gt;liber formatus（特定の形と大きさに作られた本）</t>
  </si>
  <si>
    <t>18世紀
format</t>
  </si>
  <si>
    <t>1840年
本の形と大きさ</t>
  </si>
  <si>
    <t>1955年までに
コンピュータにおいて、データの形式</t>
  </si>
  <si>
    <t>cipi</t>
  </si>
  <si>
    <t>re（後ろへ, 再び）＋capere（取る）
recipere（受け取る：receiveの語源）
&lt;span class="spacer"&gt;&lt;/span&gt;現在分詞recipiens（受け取っている人）</t>
  </si>
  <si>
    <t>16世紀
récipient</t>
  </si>
  <si>
    <t>1550年代
受け取る人</t>
  </si>
  <si>
    <t>日本語でも使われる漢字ドリル・計算ドリルなどと関連させて覚える。</t>
  </si>
  <si>
    <t>1600年頃
ドリルで穴を開ける
&lt;span class="spacer"&gt;&lt;/span&gt;1620年代
おそらく軍事演習で部隊を回れ右・方向転換することから、軍事訓練を行う
&lt;span class="spacer"&gt;&lt;/span&gt;1630年代、名詞になって
兵士の訓練</t>
  </si>
  <si>
    <t>abili</t>
  </si>
  <si>
    <t>habere（持つ）
&lt;span class="spacer"&gt;&lt;/span&gt;形容詞を作る-ilisが付いて
habilis（持ちやすい, 扱いやすい, 適した）
&lt;span class="spacer"&gt;&lt;/span&gt;名詞を作る-tasが付いて
habilitas（適性, 能力）</t>
  </si>
  <si>
    <t>ableté（能力）</t>
  </si>
  <si>
    <t>1500年頃
できない状態, 無能, 無力</t>
  </si>
  <si>
    <t>public</t>
  </si>
  <si>
    <t>populus（人民：peopleの語源）
&lt;span class="spacer"&gt;&lt;/span&gt;形容詞を作る-icusが付いて
poplicus（人民の）
&lt;span class="spacer"&gt;&lt;/span&gt;音声変化して
publicus（人民の, 公共の, 国家の）
&lt;span class="spacer"&gt;&lt;/span&gt;res（事柄, 物）＋publica（公共の, 人民の）
res publica（公共の事柄, 国家）
&lt;span class="spacer"&gt;&lt;/span&gt;respublica（国家, 共和国）</t>
  </si>
  <si>
    <t>15世紀
république</t>
  </si>
  <si>
    <t>1600年頃
投票権を有する市民によって選ばれた代表者を通じて、最高権力または行政権が国民に帰属する状態
&lt;span class="spacer"&gt;&lt;/span&gt;1630年代までに
国王がいない共和制, 共和国</t>
  </si>
  <si>
    <t>bat</t>
  </si>
  <si>
    <t>battuere（打つ）</t>
  </si>
  <si>
    <t>com（共に）＋battuere（打つ）
combattere（共に打ち合う）</t>
  </si>
  <si>
    <t>12世紀
combattre</t>
  </si>
  <si>
    <t>1560年代
戦う, 争う
名詞で、戦い, 対立する勢力間での争い</t>
  </si>
  <si>
    <t>bris</t>
  </si>
  <si>
    <t>brisare（砕く, 壊す）</t>
  </si>
  <si>
    <t>de（完全に）＋briser（壊す）
debriser（壊す, 粉砕する）</t>
  </si>
  <si>
    <t>16世紀、名詞になって
débris（破壊語に残ったもの, 残骸, 破片）</t>
  </si>
  <si>
    <t>1708年
破壊によって生じた瓦礫や残骸</t>
  </si>
  <si>
    <t>1919年から
微生物, 細菌, 病原菌</t>
  </si>
  <si>
    <t>fract</t>
  </si>
  <si>
    <t>frangere（砕く, 壊す）</t>
  </si>
  <si>
    <t>frangere（粉々に壊す）に名詞を作る-ioが付いて
fractio（粉砕, 分割）</t>
  </si>
  <si>
    <t>fractio（断片, 一部）</t>
  </si>
  <si>
    <t>12世紀
fraccion（壊すこと）</t>
  </si>
  <si>
    <t>fraccioun</t>
  </si>
  <si>
    <t>14世紀後期
数学用語で、分数
&lt;span class="spacer"&gt;&lt;/span&gt;15世紀初頭
壊すこと, 分けること</t>
  </si>
  <si>
    <t>1600年頃
切り離された破片, 断片</t>
  </si>
  <si>
    <t>dex</t>
  </si>
  <si>
    <t>14世紀後期
人差し指</t>
  </si>
  <si>
    <t>16世紀後期
書物の索引
&lt;span class="spacer"&gt;&lt;/span&gt;1590年代
器具の指針, 時計の針
&lt;span class="spacer"&gt;&lt;/span&gt;1870年から
指標</t>
  </si>
  <si>
    <t>intuition</t>
  </si>
  <si>
    <t>tuit</t>
  </si>
  <si>
    <t>in（中に）＋tueri（見る, 見守る）
intueri（注意して見る, 考察する）
&lt;span class="spacer"&gt;&lt;/span&gt;名詞を作る-ioが付いて
intuitio（観察, 考察）</t>
  </si>
  <si>
    <t>intuicioun
&lt;span class="spacer"&gt;&lt;/span&gt;15世紀半ば
洞察, 直接的認識, 精神的な知覚</t>
  </si>
  <si>
    <t>movere（動かす：moveの語源）
&lt;span class="spacer"&gt;&lt;/span&gt;過去分詞motus（動き, 運動）</t>
  </si>
  <si>
    <t>motif（動かすもの, 衝動, 動機）</t>
  </si>
  <si>
    <t>14世紀後期
&lt;span class="obsolete"&gt;提示された事柄, 主張（現在は廃用）&lt;/span&gt;
&lt;span class="spacer"&gt;&lt;/span&gt;15世紀初頭
人を内側から動かして行動させたもの
行動の意図や目的, 動機</t>
  </si>
  <si>
    <t>con（共に）＋sentire（感じる）
consentire（共に感じる, 同意する）</t>
  </si>
  <si>
    <t>12世紀
consentir（同意する）
&lt;span class="spacer"&gt;&lt;/span&gt;名詞になって
consente</t>
  </si>
  <si>
    <t>1300年頃
同意, 承諾</t>
  </si>
  <si>
    <t>hier</t>
  </si>
  <si>
    <t>archy</t>
  </si>
  <si>
    <t>hierarchia（キリスト教神学において、ランク付けされた天使の区分）</t>
  </si>
  <si>
    <t>14世紀
ierarchie（聖職の位階）</t>
  </si>
  <si>
    <t>ierarchie
&lt;span class="spacer"&gt;&lt;/span&gt;14世紀後期
天使の9つの階級の区分</t>
  </si>
  <si>
    <t>1610年代
人または物のランク付けされた階級</t>
  </si>
  <si>
    <t>monu</t>
  </si>
  <si>
    <t>*men-（考える, 思う）
&lt;span class="spacer"&gt;&lt;/span&gt;&lt;span class="obsolete"&gt;この印欧祖語からはmind（心）やmental（心の）も生まれている。&lt;/span&gt;</t>
  </si>
  <si>
    <t>monere（思い出させる）
&lt;span class="spacer"&gt;&lt;/span&gt;名詞を作る-mentumが付いて
monumentum（思い起こさせるもの, 記念碑, 墓, 像）</t>
  </si>
  <si>
    <t>monument（記念碑, 墓）</t>
  </si>
  <si>
    <t>13世紀後期
墓</t>
  </si>
  <si>
    <t>1520年代
ずっと残る証拠や例
&lt;span class="spacer"&gt;&lt;/span&gt;1600年頃
著名な人や出来事を記念する建造物</t>
  </si>
  <si>
    <t>ad（〜へ）＋satis（十分に, 足りて）</t>
  </si>
  <si>
    <t>*ad satis（十分に）</t>
  </si>
  <si>
    <t>assez（十分に, 多量に）
&lt;span class="spacer"&gt;&lt;/span&gt;名詞になって
十分, 満足, 補償</t>
  </si>
  <si>
    <t>assetz</t>
  </si>
  <si>
    <t>1530年代
法律用語で、負債の返済や遺贈として十分な遺産
&lt;span class="spacer"&gt;&lt;/span&gt;1580年代
財産, 資産
&lt;span class="spacer"&gt;&lt;/span&gt;19世紀
単数形assetが作られる</t>
  </si>
  <si>
    <t>decere（ふさわしい, 適当である）
&lt;span class="spacer"&gt;&lt;/span&gt;現在分詞decens（適切な, 礼儀正しい）</t>
  </si>
  <si>
    <t>décent</t>
  </si>
  <si>
    <t>1530年代
自らの身分や地位に適した
礼儀にかなった
&lt;span class="spacer"&gt;&lt;/span&gt;1711年
まずますの, 適度な</t>
  </si>
  <si>
    <t>petent</t>
  </si>
  <si>
    <t>com（共に）＋petere（求める, 向かう）
competere（共に向かう, 一致する, ふさわしい）
&lt;span class="spacer"&gt;&lt;/span&gt;現在分詞competens（適合する, 十分な, 適切な）</t>
  </si>
  <si>
    <t>competent（十分な, 適切な）</t>
  </si>
  <si>
    <t>14世紀後期
ふさわしい, 全ての要件を満たしている, 十分な, 適切な</t>
  </si>
  <si>
    <t>1640年代
能力のある, 有能な</t>
  </si>
  <si>
    <t>straight</t>
  </si>
  <si>
    <t>forward</t>
  </si>
  <si>
    <t>straightは日本語のストレートと同じ。
forwardはサッカーのフォワードと同じで「前方へ」という意味。</t>
  </si>
  <si>
    <t>straight（まっすぐ）＋forward（前方へ）
&lt;span class="spacer"&gt;&lt;/span&gt;1806年から
率直な, 正直な
&lt;span class="spacer"&gt;&lt;/span&gt;1807年までに
まっすぐ前方へ</t>
  </si>
  <si>
    <t>cosmet</t>
  </si>
  <si>
    <t>日本語でも使われるコスメ（化粧品）と関連させて覚える。</t>
  </si>
  <si>
    <t>kosmos（整えること, 秩序, 装飾）
&lt;span class="spacer"&gt;&lt;/span&gt;動詞になって
kosmein（配置する, 装飾する, 着飾る）
&lt;span class="spacer"&gt;&lt;/span&gt;形容詞を作る-ikosが付いて
kosmetikos（装飾や配置に熟練した）</t>
  </si>
  <si>
    <t>16世紀
cosmétique</t>
  </si>
  <si>
    <t>1640年代
美容に関する
美しさを高める</t>
  </si>
  <si>
    <t>lic</t>
  </si>
  <si>
    <t>14世紀後期
人について、自由奔放な, か弱い
物について、魅力的な</t>
  </si>
  <si>
    <t>1560年代
壊れやすいほど繊細な
&lt;span class="spacer"&gt;&lt;/span&gt;1742年までに
慎重な扱いを必要とする, もろい
&lt;span class="spacer"&gt;&lt;/span&gt;1756年から
精巧に作られた</t>
  </si>
  <si>
    <t>ior</t>
  </si>
  <si>
    <t>日本語でも使われるインテリア（室内の家具）と関連させて覚える。</t>
  </si>
  <si>
    <t>inter（〜の内の）
&lt;span class="spacer"&gt;&lt;/span&gt;比較級を作る-iorが付いて
interior（より内側の, 内部の）</t>
  </si>
  <si>
    <t>15世紀後期
内部の</t>
  </si>
  <si>
    <t>1769年までに
Interior decoration（室内装飾）
&lt;span class="spacer"&gt;&lt;/span&gt;1777年から
海岸から離れた, 内陸部の</t>
  </si>
  <si>
    <t>parent</t>
  </si>
  <si>
    <t>trans（越えて, 通り抜けて）
parere（現れる）</t>
  </si>
  <si>
    <t>transparere（光を通して見える, 透けて現れる）
&lt;span class="spacer"&gt;&lt;/span&gt;現在分詞transparens（透けて見える）</t>
  </si>
  <si>
    <t>15世紀初頭
光の通過を妨げず、背後にあるものがはっきり見える</t>
  </si>
  <si>
    <t>1580年代までに
率直な, 隠していない
&lt;span class="spacer"&gt;&lt;/span&gt;1590年代までに
容易に見抜ける, 明白な</t>
  </si>
  <si>
    <t>aesthet</t>
  </si>
  <si>
    <t>日本語でも使われる美を求めて行うエステと関連させて覚える。</t>
  </si>
  <si>
    <t>aisthanesthai（感覚や精神で知覚する, 感じる）
&lt;span class="spacer"&gt;&lt;/span&gt;形容詞を作る-ikosが付いて
aisthetikos（感覚による知覚の, 知覚能力ある, 物が知覚できる）</t>
  </si>
  <si>
    <t>どドイツ語</t>
  </si>
  <si>
    <t>18世紀半ば
Ästhetisch</t>
  </si>
  <si>
    <t>libra（天秤）
&lt;span class="spacer"&gt;&lt;/span&gt;動詞になって
librare（バランスをとる）
&lt;span class="spacer"&gt;&lt;/span&gt;de（完全に）＋liberare
deliberare（十分に量る, 慎重に検討する）
&lt;span class="spacer"&gt;&lt;/span&gt;過去分詞deliberatus（決定された, 決意した）</t>
  </si>
  <si>
    <t>15世紀初頭
慎重な検討とともになされた</t>
  </si>
  <si>
    <t>1590年代
決断が遅い, 意識的にゆっくりした</t>
  </si>
  <si>
    <t>graph</t>
  </si>
  <si>
    <t>dēmos（人々）
&lt;span class="spacer"&gt;&lt;/span&gt;graphein（書く）
-graphia（〜を書くこと, 〜の記述）</t>
  </si>
  <si>
    <t>1880年
dēmos（人々）+-graphia（〜を書くこと, 〜の記述）
demography（ある人々の生活条件を、その人口統計および社会統計によって研究する学問）
&lt;span class="spacer"&gt;&lt;/span&gt;demography＋ic（形容詞化）
人口統計学の</t>
  </si>
  <si>
    <t>histor</t>
  </si>
  <si>
    <t>historia（記述, 歴史）
&lt;span class="spacer"&gt;&lt;/span&gt;形容詞を作る-ikosが付いて
historikos（歴史的な）</t>
  </si>
  <si>
    <t>historicus（歴史的な, 歴史の）</t>
  </si>
  <si>
    <t>15世紀初頭、形容詞を作る-alが付いて
historical（歴史に関する）</t>
  </si>
  <si>
    <t>nate</t>
  </si>
  <si>
    <t>in（中に）＋nasci（生まれる）
innasci（〜の中に生まれる, 〜の中で生じる）</t>
  </si>
  <si>
    <t>innatus（生まれつきの, 土着の, 自然な）</t>
  </si>
  <si>
    <t>15世紀初頭
出生時から存在する</t>
  </si>
  <si>
    <t>milde（人・権力・性質について、柔らかさや優しさを備えている）</t>
  </si>
  <si>
    <t>14世紀後期
天候について、荒れていない
&lt;span class="spacer"&gt;&lt;/span&gt;1400年頃
薬などについて、効果や作用が穏やかな</t>
  </si>
  <si>
    <t>1570年代までに
質や程度において適度な</t>
  </si>
  <si>
    <t>tox</t>
  </si>
  <si>
    <t>toxon（弓）
&lt;span class="spacer"&gt;&lt;/span&gt;形容詞を作る-ikosが付いて
toxikos（弓に関する）
&lt;span class="spacer"&gt;&lt;/span&gt;toxikon pharmakon（弓矢に塗る毒）</t>
  </si>
  <si>
    <t>toxicum（毒）</t>
  </si>
  <si>
    <t>toxicus（毒を塗られた）</t>
  </si>
  <si>
    <t>toxique</t>
  </si>
  <si>
    <t>1660年代
毒の, 毒性のある</t>
  </si>
  <si>
    <t>shame（恥）と関連させて覚える。</t>
  </si>
  <si>
    <t>a（強調）＋scamian（恥じる）
ascamian（恥を感じる）
&lt;span class="spacer"&gt;&lt;/span&gt;過去分詞asceamed（恥を感じている, 恥に満ちた）</t>
  </si>
  <si>
    <t>hum</t>
  </si>
  <si>
    <t>humus（土, 大地）
&lt;span class="spacer"&gt;&lt;/span&gt;形容詞を作る-ilisが付いて
humilis（地面にある, 身分の低い, 謙虚な）</t>
  </si>
  <si>
    <t>13世紀後期
人について、謙虚な, 自己主張しない, 控えめな
&lt;span class="spacer"&gt;&lt;/span&gt;14世紀後期
身分の低い</t>
  </si>
  <si>
    <t>pecu（家畜）
&lt;span class="spacer"&gt;&lt;/span&gt;名詞を作る-iumが付いて
peculium（家畜の集まり, 家畜という財産, 私有財産）
&lt;span class="spacer"&gt;&lt;/span&gt;形容詞を作る-arisが付いて
peculiaris（自分自身の財産の）</t>
  </si>
  <si>
    <t>peculiaire</t>
  </si>
  <si>
    <t>15世紀半ば
特定の個人にのみ属する
特別の, 特有の</t>
  </si>
  <si>
    <t>1600年頃までに
珍しい, 奇妙な</t>
  </si>
  <si>
    <t>steap（高い, そびえ立つ, 深い, 突き出た）</t>
  </si>
  <si>
    <t>stēpe（急な斜面の, 崖や山が切り立った, 険しい）</t>
  </si>
  <si>
    <t>tri</t>
  </si>
  <si>
    <t>vi</t>
  </si>
  <si>
    <t>tri（3）＋via（道）
&lt;span class="spacer"&gt;&lt;/span&gt;trivium（三つの道が交わる場所, 三叉路, 人の集まる場所, 公共の場所）
&lt;span class="spacer"&gt;&lt;/span&gt;形容詞を作る-alisが付いて
trivialis（一般的な, ありふれた）</t>
  </si>
  <si>
    <t>1580年代
どこにでもあるような
&lt;span class="spacer"&gt;&lt;/span&gt;1590年代
取るに足りない, つまらない</t>
  </si>
  <si>
    <t>maguni</t>
  </si>
  <si>
    <t>ficent</t>
  </si>
  <si>
    <t>magnus（大きい）＋facere（作る, 行う）
&lt;span class="spacer"&gt;&lt;/span&gt;形容詞を作る-icusが付いて
magnificus（偉大な, 崇高な）
&lt;span class="spacer"&gt;&lt;/span&gt;比較級を作る-iorが付いて
magnificentior</t>
  </si>
  <si>
    <t>magnificent（偉大な, 壮大な）</t>
  </si>
  <si>
    <t>15世紀半ば
崇高な, 行動や功績において偉大な</t>
  </si>
  <si>
    <t>1520年代
壮大な, 壮麗な</t>
  </si>
  <si>
    <t>wire</t>
  </si>
  <si>
    <t>wire（線）＋less（〜がない）
&lt;span class="spacer"&gt;&lt;/span&gt;1862年までに
弦の張られていないピアノ
&lt;span class="spacer"&gt;&lt;/span&gt;1876年までに
電信で、電線を使わない通信</t>
  </si>
  <si>
    <t>1900年までに
無線電話
&lt;span class="spacer"&gt;&lt;/span&gt;1903年までに
ラジオ放送の</t>
  </si>
  <si>
    <t>on</t>
  </si>
  <si>
    <t>going</t>
  </si>
  <si>
    <t>on-going（進行中の, 継続している）</t>
  </si>
  <si>
    <t>sure</t>
  </si>
  <si>
    <t>ad（〜へ）＋securus（安全な, 心配のない）
*assecurar（安全にする, 確実にする）</t>
  </si>
  <si>
    <t>asseurer（安心させる, 落ち着かせる）</t>
  </si>
  <si>
    <t>14世紀後期
安心させる, 自信を与える, 保証する</t>
  </si>
  <si>
    <t>cede</t>
  </si>
  <si>
    <t>prae（前に）＋cedere（行く）
praecedere（先に行く）</t>
  </si>
  <si>
    <t>preceder</t>
  </si>
  <si>
    <t>preceden
&lt;span class="spacer"&gt;&lt;/span&gt;15世紀初頭
あるものの前に起こる
時間の順序において先に行く
&lt;span class="spacer"&gt;&lt;/span&gt;15世紀半ば
地位や重要性において先んじる
&lt;span class="spacer"&gt;&lt;/span&gt;15世紀後期
〜の前を歩く</t>
  </si>
  <si>
    <t>re（再び）＋vivere（生きる）
revivere（再び生きる）</t>
  </si>
  <si>
    <t>10世紀
revivre</t>
  </si>
  <si>
    <t>reviven
&lt;span class="spacer"&gt;&lt;/span&gt;15世紀初頭
意識を取り戻す, 健康を回復する
誰かを健康な状態に戻す, 誰かを生き返らせる</t>
  </si>
  <si>
    <t>1560年までに
繁栄した状態に戻る
&lt;span class="spacer"&gt;&lt;/span&gt;1823年までに
古い劇を再び上演する</t>
  </si>
  <si>
    <t>pel</t>
  </si>
  <si>
    <t>com（共に）＋pellere（駆り立てる）
compellere（家畜を一箇所に追い込む, 人に強いる）</t>
  </si>
  <si>
    <t>compellir</t>
  </si>
  <si>
    <t>14世紀半ば
物理的・道徳的な力で抵抗できないほど駆り立てる</t>
  </si>
  <si>
    <t>blostma（ひとつの蕾, ひとつの花）</t>
  </si>
  <si>
    <t>blosmen
&lt;span class="spacer"&gt;&lt;/span&gt;14世紀後期
開花する
&lt;span class="spacer"&gt;&lt;/span&gt;14世紀後期
比喩的に、発展する</t>
  </si>
  <si>
    <t>terrere（恐れで満たす）＋facere（作る, する）
terrificus（恐怖を引き起こす）
&lt;span class="spacer"&gt;&lt;/span&gt;動詞になって
terrificare（怖がらせる, 恐怖で満たす）</t>
  </si>
  <si>
    <t>1570年代
怖がらせる</t>
  </si>
  <si>
    <t>vis（力）に関連して
violare（暴力を加える, 名誉を傷つける）
&lt;span class="spacer"&gt;&lt;/span&gt;過去分詞violatus（暴力を加えられた）</t>
  </si>
  <si>
    <t>violaten
&lt;span class="spacer"&gt;&lt;/span&gt;15世紀初頭
誓いを破る, 冒涜する</t>
  </si>
  <si>
    <t>sub（下に）＋premere（押す）
supprimere（押し下げる）
&lt;span class="spacer"&gt;&lt;/span&gt;過去分詞suppressus</t>
  </si>
  <si>
    <t>14世紀後期
鎮める, 停止させる</t>
  </si>
  <si>
    <t>1520年代
抑えつける
力によって表現を妨げる</t>
  </si>
  <si>
    <t>ceive</t>
  </si>
  <si>
    <t>decevoir（だます, 欺く）</t>
  </si>
  <si>
    <t>1300年頃
偽りの外見や言葉で誤らせる
だます</t>
  </si>
  <si>
    <t>mani</t>
  </si>
  <si>
    <t>pulate</t>
  </si>
  <si>
    <t>manipulation</t>
  </si>
  <si>
    <t>steorfan（死ぬ）</t>
  </si>
  <si>
    <t>sterven（死ぬ, 滅びる）
&lt;span class="spacer"&gt;&lt;/span&gt;14世紀
寒さで死ぬ
&lt;span class="spacer"&gt;&lt;/span&gt;15世紀半ば
栄養不足で死ぬ, 飢えに苦しむ</t>
  </si>
  <si>
    <t>1520年代
飢えさせる</t>
  </si>
  <si>
    <t>fly（飛ぶ）やflow（流れる）と関連させて覚える。</t>
  </si>
  <si>
    <t>*pleu-（流れる）</t>
  </si>
  <si>
    <t>fleon（逃げる, 避ける）</t>
  </si>
  <si>
    <t>日本語でも使われるウィスパーボイス（ささやき声）と関連させて覚える。</t>
  </si>
  <si>
    <t>hwisprian（非常に静かに話す, ささやく）</t>
  </si>
  <si>
    <t>1560年代
何かをささやく</t>
  </si>
  <si>
    <t>giellan / gellan（鋭く大きな声で叫ぶ）</t>
  </si>
  <si>
    <t>yellen（鋭く大きな声で叫ぶ）</t>
  </si>
  <si>
    <t>posit</t>
  </si>
  <si>
    <t>de（離れて, 下に）＋ponere（置く）
deponere（下に置く, わきに置く, 預ける）
&lt;span class="spacer"&gt;&lt;/span&gt;過去分詞depositus</t>
  </si>
  <si>
    <t>1620年代
契約の担保として預ける
&lt;span class="spacer"&gt;&lt;/span&gt;1650年代
保管のために預ける
&lt;span class="spacer"&gt;&lt;/span&gt;1749年から
下に置く, 配置する</t>
  </si>
  <si>
    <t>com（共に）＋finis（終わり, 境界）
confinis（同じ境界を持つ）</t>
  </si>
  <si>
    <t>confinare（境界を定める）</t>
  </si>
  <si>
    <t>confiner（閉じ込める, 囲い込む）</t>
  </si>
  <si>
    <t>1520年代
&lt;span class="obsolete"&gt;共通の境界を持つ（現在は廃用）&lt;/span&gt;
&lt;span class="spacer"&gt;&lt;/span&gt;1590年代
境界内に制限する, 制限内にとどめる</t>
  </si>
  <si>
    <t>swingan（むち打つ, 身を投げる, 勢いよく動く）</t>
  </si>
  <si>
    <t>swingen（動かす, 投げる, 武器で打撃を与える, 勢いよく動く）</t>
  </si>
  <si>
    <t>1540年代までに
固定された点から吊り下げられた物体のように前後に自由に動く
振る
&lt;span class="spacer"&gt;&lt;/span&gt;1550年代
何かを揺らす</t>
  </si>
  <si>
    <t>long</t>
  </si>
  <si>
    <t>pro（前へ）
longus（長い）</t>
  </si>
  <si>
    <t>prolongare（長くする, 延ばす）</t>
  </si>
  <si>
    <t>13世紀
prolonguer</t>
  </si>
  <si>
    <t>prolongen
&lt;span class="spacer"&gt;&lt;/span&gt;15世紀初頭
時間を延ばす, 延期する</t>
  </si>
  <si>
    <t>pict</t>
  </si>
  <si>
    <t>de（下に）＋pingere（描く：picture, paintの語源）
depingere（描き出す）
&lt;span class="spacer"&gt;&lt;/span&gt;過去分詞depictus</t>
  </si>
  <si>
    <t>15世紀初頭
肖像を描く, 描画する
&lt;span class="spacer"&gt;&lt;/span&gt;15世紀半ば
言葉で描写する</t>
  </si>
  <si>
    <t>out（外側に）＋line（線を引く）
&lt;span class="spacer"&gt;&lt;/span&gt;1660年代
輪郭
&lt;span class="spacer"&gt;&lt;/span&gt;1759年から
言葉によるおおまかな要点
&lt;span class="spacer"&gt;&lt;/span&gt;1762年、動詞になって
輪郭を描く
&lt;span class="spacer"&gt;&lt;/span&gt;1847年から
要点を述べる</t>
  </si>
  <si>
    <t>scadan（分ける, 切り離す, 撒き散らす）</t>
  </si>
  <si>
    <t>sheden（投げ捨てる, 放出する）
&lt;span class="spacer"&gt;&lt;/span&gt;12世紀後期
涙を流す
&lt;span class="spacer"&gt;&lt;/span&gt;1200年頃から
光を放つ
&lt;span class="spacer"&gt;&lt;/span&gt;1300年頃から
血を流す</t>
  </si>
  <si>
    <t>1500年頃から
自然に毛や羽を落とす
&lt;span class="spacer"&gt;&lt;/span&gt;1590年代
葉を落とす
&lt;span class="spacer"&gt;&lt;/span&gt;1780年代
衣服などを脱ぐ</t>
  </si>
  <si>
    <t>ex（外に）＋mittere（送る）
emittere（送り出す）</t>
  </si>
  <si>
    <t>1620年代
送り出す, 投げ出す, 放出する</t>
  </si>
  <si>
    <t>new</t>
  </si>
  <si>
    <t>日本語でも使われるリニューアル（renewal, 更新, 再生）と関連させて覚える。</t>
  </si>
  <si>
    <t>re（再び）＋neuen（新しくする, 回復させる）
reneuen
&lt;span class="spacer"&gt;&lt;/span&gt;14世紀後期
何かを新しいもののようにする
再開する, 補充する
&lt;span class="spacer"&gt;&lt;/span&gt;15世紀初頭
回復する, 再び繁栄する</t>
  </si>
  <si>
    <t>uti（使う：useの語源）
&lt;span class="spacer"&gt;&lt;/span&gt;形容詞を作る-ilisが付いて
utilis（使用可能な, 役にたつ）</t>
  </si>
  <si>
    <t>ロマンス諸語</t>
  </si>
  <si>
    <t>utile（使用可能な）</t>
  </si>
  <si>
    <t>utilizzare（利用する）</t>
  </si>
  <si>
    <t>utiliser（利用する）</t>
  </si>
  <si>
    <t>1794年
利用する, 役に立たせる</t>
  </si>
  <si>
    <t>ad（〜へ）＋serere（結びつける, 並べる）
asserere（主張する, 権利を主張する）
&lt;span class="spacer"&gt;&lt;/span&gt;過去分詞assertus</t>
  </si>
  <si>
    <t>1600年頃
宣言する, 断言する
&lt;span class="spacer"&gt;&lt;/span&gt;1640年代
言葉や行動で正当性を立証する
&lt;span class="spacer"&gt;&lt;/span&gt;1879年から
自己の権利や権威を主張する</t>
  </si>
  <si>
    <t>stringere（きつく引く, 圧縮する）</t>
  </si>
  <si>
    <t>estreindre（きつく縛る, 締めつける）</t>
  </si>
  <si>
    <t>streinen
&lt;span class="spacer"&gt;&lt;/span&gt;1300年頃
縛る, 締める
&lt;span class="spacer"&gt;&lt;/span&gt;14世紀後期
引き締める, 伸ばす, ぴんと張る, 最大限まで伸ばす
フィルターを通して押し込んで液体を濾す（こす）
&lt;span class="spacer"&gt;&lt;/span&gt;15世紀半ば
過度に圧力をかける, やりすぎる</t>
  </si>
  <si>
    <t>estrif（喧嘩, 争い）
&lt;span class="spacer"&gt;&lt;/span&gt;動詞になって
estriver（喧嘩する, 論争する, もがく）</t>
  </si>
  <si>
    <t>striven
&lt;span class="spacer"&gt;&lt;/span&gt;1200年頃
喧嘩する, 争う, 努力する</t>
  </si>
  <si>
    <t>durran（十分に大胆である, 勇気がある, あえて〜する, 思い切って〜する）</t>
  </si>
  <si>
    <t>daren（勇気をもって〜する, あえて〜する）
&lt;span class="spacer"&gt;&lt;/span&gt;1200年頃
How dare you?（よくもそんなことできるね）
&lt;span class="spacer"&gt;&lt;/span&gt;14世紀後期、意味が弱化して
I dare say.（たぶん〜だと思う）</t>
  </si>
  <si>
    <t>bost（見せびらかし）</t>
  </si>
  <si>
    <t>14世紀半ば
自慢する, 傲慢に話す
&lt;span class="spacer"&gt;&lt;/span&gt;14世紀後期
誇りを持って話す</t>
  </si>
  <si>
    <t>1540年代から
何かを所有していることを誇る
&lt;span class="spacer"&gt;&lt;/span&gt;1690年代から
注目すべきものや称賛に値するものを所有している</t>
  </si>
  <si>
    <t>start</t>
  </si>
  <si>
    <t>*steortian（跳び上がる：startの語源）＋le（反復を表す）
steartlian（跳ね回る）</t>
  </si>
  <si>
    <t>stertelen
&lt;span class="spacer"&gt;&lt;/span&gt;1300年頃
激しく動く, 跳び回る</t>
  </si>
  <si>
    <t>1520年代
驚きや恐怖で突然動く
&lt;span class="spacer"&gt;&lt;/span&gt;1590年代
突然怖がらせる, 飛び上がらせる</t>
  </si>
  <si>
    <t>fend</t>
  </si>
  <si>
    <t>ob（〜に対して）＋fendere（打つ）
offendere（打ち当てる, 叩きつける, 不快にする, 侵害する）</t>
  </si>
  <si>
    <t>ofendre（打つ, 攻撃する, 怒らせる）</t>
  </si>
  <si>
    <t>offenden
&lt;span class="spacer"&gt;&lt;/span&gt;14世紀初頭
&lt;span class="obsolete"&gt;神や人に対して罪を犯す（現在は廃用）&lt;/span&gt;
&lt;span class="spacer"&gt;&lt;/span&gt;14世紀後期
法律などに違反する
不快にする, 不快感を与える</t>
  </si>
  <si>
    <t>コンピュータ（computer, 電子計算機）と関連させて覚える。</t>
  </si>
  <si>
    <t>com（共に）＋putare（剪定する, 計算する）
computare（数える, 共に計算する）</t>
  </si>
  <si>
    <t>16世紀
computer（計算する）</t>
  </si>
  <si>
    <t>1630年代
計算によって決定する</t>
  </si>
  <si>
    <t>similis（似ている：similarの語源）
&lt;span class="spacer"&gt;&lt;/span&gt;ad（〜へ）＋simulare（似せる）
assimulare（似せる, 模倣する, 同じにする）</t>
  </si>
  <si>
    <t>11世紀
assembler（集まる, ひとつにする, 集める）</t>
  </si>
  <si>
    <t>14世紀初頭
ひとつの場所に集める
集まる</t>
  </si>
  <si>
    <t>1852年から
製造において、部品を組み立てる</t>
  </si>
  <si>
    <t>wors</t>
  </si>
  <si>
    <t>werse（より悪い：worseの語源）＋en（動詞化）
wersnen
&lt;span class="spacer"&gt;&lt;/span&gt;13世紀半ば
より悪くする</t>
  </si>
  <si>
    <t>1800年から1830年頃
自動詞で、より悪くなる</t>
  </si>
  <si>
    <t>擬音語
flap（パタパタ動かす）
fillip（指で弾く）
&lt;span class="spacer"&gt;&lt;/span&gt;このいずれかに由来すると考えられる
&lt;span class="spacer"&gt;&lt;/span&gt;1590年代
指ではじく
&lt;span class="spacer"&gt;&lt;/span&gt;1610年代
親指で弾くように放り投げる
&lt;span class="spacer"&gt;&lt;/span&gt;1879年までに
何かを決めるためにコインを投げる</t>
  </si>
  <si>
    <t>rubben
&lt;span class="spacer"&gt;&lt;/span&gt;14世紀初頭
表面をこする, 摩擦を加える, マッサージする</t>
  </si>
  <si>
    <t>scend</t>
  </si>
  <si>
    <t>de（下に）＋scandere（登る）
descendere（下りていく, 降りる, 沈む）</t>
  </si>
  <si>
    <t>10世紀
descendre（降りる, 下りる）</t>
  </si>
  <si>
    <t>descenden
&lt;span class="spacer"&gt;&lt;/span&gt;1300年頃
高い場所から低い場所へ移動する
&lt;span class="spacer"&gt;&lt;/span&gt;14世紀後期
下り坂になっている
&lt;span class="spacer"&gt;&lt;/span&gt;15世紀初頭
敵意を持って降りてくる, 侵略する</t>
  </si>
  <si>
    <t>pendere（吊るす, 重さを量る, 支払う）
&lt;span class="spacer"&gt;&lt;/span&gt;反復形pensare（繰り返し量る）
com（共に）＋pensare（繰り返し量る）
compensare（一方と他方を一緒に量る, 釣り合わせる）
&lt;span class="spacer"&gt;&lt;/span&gt;過去分詞compensatus</t>
  </si>
  <si>
    <t>compense</t>
  </si>
  <si>
    <t>1640年代
同等である
&lt;span class="spacer"&gt;&lt;/span&gt;1650年代
釣り合わせる, 補う, 同等の価値の代用物を与える
&lt;span class="spacer"&gt;&lt;/span&gt;1814年から
補償する, 報酬を支払う</t>
  </si>
  <si>
    <t>prae（前に）＋hendere（つかむ）
prehendere（つかむ, 捉える）
&lt;span class="spacer"&gt;&lt;/span&gt;com（共に, 完全に）＋prehendere（つかむ, 捉える）
comprehendere（共に取る, 包含する）</t>
  </si>
  <si>
    <t>12世紀
comprendre（含む, 構成する）
&lt;span class="spacer"&gt;&lt;/span&gt;過去分詞compris</t>
  </si>
  <si>
    <t>14世紀後期
全体を形作る部分として含む
&lt;span class="spacer"&gt;&lt;/span&gt;15世紀初頭
含める</t>
  </si>
  <si>
    <t>1794年から
構成する, 作り上げる</t>
  </si>
  <si>
    <t>prae（前に）＋valere（力を持つ, 強い）
praevalere（より強い, より力がある）</t>
  </si>
  <si>
    <t>prevaleir</t>
  </si>
  <si>
    <t>prevailen
&lt;span class="spacer"&gt;&lt;/span&gt;1400年頃
成功する, 効果がある
&lt;span class="spacer"&gt;&lt;/span&gt;15世紀半ば
より優れた影響力を持つ
より優れた影響力を及ぼす</t>
  </si>
  <si>
    <t>1776年までに
効力を持つ, 普及している</t>
  </si>
  <si>
    <t>quaerere（探求する, 尋ねる）
&lt;span class="spacer"&gt;&lt;/span&gt;過去分詞quaesitus（探し出された）</t>
  </si>
  <si>
    <t>questa（探求, 調査）</t>
  </si>
  <si>
    <t>12世紀
queste（探求, 探索, 追求, 調査）</t>
  </si>
  <si>
    <t>1300年頃
査問, 司法調査
&lt;span class="spacer"&gt;&lt;/span&gt;14世紀初頭
何かの探索, 求める行為
&lt;span class="spacer"&gt;&lt;/span&gt;14世紀後期
騎士による冒険的探求</t>
  </si>
  <si>
    <t>dign</t>
  </si>
  <si>
    <t>dignite（尊厳, 特権, 名誉）</t>
  </si>
  <si>
    <t>1200年頃
ふさわしい状態, 価値があること, 尊厳
&lt;span class="spacer"&gt;&lt;/span&gt;1300年頃
高貴な職務, 名誉ある地位</t>
  </si>
  <si>
    <t>cri</t>
  </si>
  <si>
    <t>krinein（判断する）＋tes（〜する人）
krites（判断する人, 裁判官）
&lt;span class="spacer"&gt;&lt;/span&gt;krites（判断する人, 裁判官）＋ion（手段）
kriterion（判断の手段, 判断の基準）</t>
  </si>
  <si>
    <t>1610年代
ギリシャ語kriterionのまま借用
&lt;span class="spacer"&gt;&lt;/span&gt;1660年代
判断や批判の基準</t>
  </si>
  <si>
    <t>dox</t>
  </si>
  <si>
    <t>paradoxum（逆説）</t>
  </si>
  <si>
    <t>14世紀
paradoxe</t>
  </si>
  <si>
    <t>1530年代
一般的な信念や期待に反する言明
&lt;span class="spacer"&gt;&lt;/span&gt;1560年代
一見自己矛盾だが誤りではない命題</t>
  </si>
  <si>
    <t>1903年までに
論理学において、妥当な前提と推論に従っているのに非論理的な結論に至る命題</t>
  </si>
  <si>
    <t>parlia</t>
  </si>
  <si>
    <t>parlement
&lt;span class="spacer"&gt;&lt;/span&gt;1300年頃
相談, 公式な会議, 集会
&lt;span class="spacer"&gt;&lt;/span&gt;14世紀半ばまでに
イングランドまたはアイルランドの代表議会</t>
  </si>
  <si>
    <t>legis</t>
  </si>
  <si>
    <t>lation</t>
  </si>
  <si>
    <t>lex / legis（法律）
&lt;span class="spacer"&gt;&lt;/span&gt;ferre（運ぶ）
過去分詞latus（運ばれた）
名詞になってlatio（運ぶこと）
&lt;span class="spacer"&gt;&lt;/span&gt;legis latio（法を運ぶこと, 法律の提出）</t>
  </si>
  <si>
    <t>legislatio（立法）</t>
  </si>
  <si>
    <t>14世紀
législation</t>
  </si>
  <si>
    <t>1650年代
法律の制定</t>
  </si>
  <si>
    <t>1650年代
神学用語で、（credenda信じるべき事柄に対して）実践するべき事柄
&lt;span class="spacer"&gt;&lt;/span&gt;1882年までに
会議でなされるべき議題</t>
  </si>
  <si>
    <t>main</t>
  </si>
  <si>
    <t>stream</t>
  </si>
  <si>
    <t>main（主要な）＋stream（流れ）
&lt;span class="spacer"&gt;&lt;/span&gt;1660年代
川の主要な流れ
&lt;span class="spacer"&gt;&lt;/span&gt;1831年
意見や大衆の好みなどにおける支配的な方向性, 主流</t>
  </si>
  <si>
    <t>trope（人々の群れ, 軍隊, 群衆）</t>
  </si>
  <si>
    <t>1540年代
軍隊の集団
&lt;span class="spacer"&gt;&lt;/span&gt;1580年代
人々の集まり, 群衆
&lt;span class="spacer"&gt;&lt;/span&gt;1590年代
troops（軍隊一般）</t>
  </si>
  <si>
    <t>epi</t>
  </si>
  <si>
    <t>dem</t>
  </si>
  <si>
    <t>epi（〜の中に, 〜の間に）＋dēmos（人々）
epidēmia（人々の間に広がること, 流行病の蔓延）</t>
  </si>
  <si>
    <t>epidemia</t>
  </si>
  <si>
    <t>épidémique</t>
  </si>
  <si>
    <t>1600年頃
国民全体に共通する
国民全体に広く影響する（とくに病気について）</t>
  </si>
  <si>
    <t>break</t>
  </si>
  <si>
    <t>1300年頃
outbreak（閉じ込められた状態から突発的に外へ出る）</t>
  </si>
  <si>
    <t>1600年頃
突然の発生
激しい発現</t>
  </si>
  <si>
    <t>khaos（深淵, ぽっかり開いたもの, 空虚）
&lt;span class="spacer"&gt;&lt;/span&gt;宇宙の原初の空虚や、秩序ある宇宙（コスモス）の対義語としてカオスが使われた</t>
  </si>
  <si>
    <t>14世紀
chaos</t>
  </si>
  <si>
    <t>14世紀後期
大きく開いた隙間, 測り知れない空間</t>
  </si>
  <si>
    <t>1530年代
聖書において、神が世界を創造する前の混沌状態
&lt;span class="spacer"&gt;&lt;/span&gt;1600年代
完全な混乱, 無秩序
人間社会における無秩序な混乱</t>
  </si>
  <si>
    <t>night</t>
  </si>
  <si>
    <t>mare</t>
  </si>
  <si>
    <t>night（夜）＋mare（悪霊）
&lt;span class="spacer"&gt;&lt;/span&gt;1300年頃
睡眠中の人間に窒息感を与えて苦しめる悪霊</t>
  </si>
  <si>
    <t>16世紀半ば
悪霊自体を指す言葉から、悪霊が引き起こす窒息感を指すようになる
&lt;span class="spacer"&gt;&lt;/span&gt;1829年までに
あらゆる悪夢
&lt;span class="spacer"&gt;&lt;/span&gt;1831年から
非常に悲惨な経験</t>
  </si>
  <si>
    <t>horrere（恐怖で身震いする, 身の毛がよだつ）
&lt;span class="spacer"&gt;&lt;/span&gt;名詞になって
horror（身震い, 戦慄, 恐怖）</t>
  </si>
  <si>
    <t>12世紀
horror</t>
  </si>
  <si>
    <t>14世紀初頭
嫌悪感
&lt;span class="spacer"&gt;&lt;/span&gt;14世紀後期
恐怖や不安の感情
恐怖を呼び起こすもの</t>
  </si>
  <si>
    <t>1934年
映画のジャンルとして、ホラー映画</t>
  </si>
  <si>
    <t>clyster（自然に一緒に生えているものの集まり）</t>
  </si>
  <si>
    <t>人・動物・物の密集した集団</t>
  </si>
  <si>
    <t>1727年から
星の集まり, 星団</t>
  </si>
  <si>
    <t>pollen（製粉の粉, 細かい小麦粉）</t>
  </si>
  <si>
    <t>1520年代
細かい粉
&lt;span class="spacer"&gt;&lt;/span&gt;1760年
植物用語で、花粉
（1751年に植物学者のリンネが命名）</t>
  </si>
  <si>
    <t>*keup-（丸い容器）
&lt;span class="spacer"&gt;&lt;/span&gt;&lt;span class="obsolete"&gt;この印欧祖語からはcup（カップ）も生まれている&lt;/span&gt;</t>
  </si>
  <si>
    <t>hyf（ミツバチの巣箱）</t>
  </si>
  <si>
    <t>1630年代
群がっている場所, 忙しい場所</t>
  </si>
  <si>
    <t>rigat</t>
  </si>
  <si>
    <t>in（中に）＋rigare（水をやる, 水を引く）
irrigare（中に水を引き入れる）
&lt;span class="spacer"&gt;&lt;/span&gt;名詞を作る-ioが付いて
irrigatio（水を引き入れること, 灌漑）
&lt;span class="spacer"&gt;&lt;/span&gt;rigare（水をやる, 水を引く）は、rain（雨）と共通の祖先にさかのぼる可能性がある</t>
  </si>
  <si>
    <t>1610年代
土地への水の給水</t>
  </si>
  <si>
    <t>*do-（与える）
&lt;span class="spacer"&gt;&lt;/span&gt;&lt;span class="obsolete"&gt;この印欧祖語からはdonor（ドナー）やdonation（寄付）も生まれている&lt;/span&gt;</t>
  </si>
  <si>
    <t>didonai（与える）
&lt;span class="spacer"&gt;&lt;/span&gt;名詞を作る-sisが付いて
dosis（与えること, 医者に処方された分量）</t>
  </si>
  <si>
    <t>dosis</t>
  </si>
  <si>
    <t>15世紀
dose</t>
  </si>
  <si>
    <t>15世紀初頭
特定の量の薬の投与</t>
  </si>
  <si>
    <t>1600年頃から
投与または処方される薬の量</t>
  </si>
  <si>
    <t>sui</t>
  </si>
  <si>
    <t>cide</t>
  </si>
  <si>
    <t>sui（自分自身の）
&lt;span class="spacer"&gt;&lt;/span&gt;caedere（殺す）＋ium（名詞化）
cidium（殺害）</t>
  </si>
  <si>
    <t>sui（自分自身の）＋cidium（殺害）
suicidium（自殺）</t>
  </si>
  <si>
    <t>1650年代
自分自身を意図的に殺すこと</t>
  </si>
  <si>
    <t>festus（お祭りの, 喜ばしい）
&lt;span class="spacer"&gt;&lt;/span&gt;名詞になって
festa（祝日, 祝宴）</t>
  </si>
  <si>
    <t>*festa（祝祭）</t>
  </si>
  <si>
    <t>feste（宗教的祝祭, 祝日, 祭り）</t>
  </si>
  <si>
    <t>1200年頃
世俗的な祝宴（ごちそうと娯楽を伴う）
&lt;span class="spacer"&gt;&lt;/span&gt;1300年頃
断食ではなく歓喜を特徴とする宗教的記念日
&lt;span class="spacer"&gt;&lt;/span&gt;14世紀後期までに
豊富な食事, ごちそう
楽しい催し一般</t>
  </si>
  <si>
    <t>coquere（料理する）</t>
  </si>
  <si>
    <t>coquina / cocina（台所）</t>
  </si>
  <si>
    <t>cuisine（台所, 調理, 調理された食べ物, 料理の様式）</t>
  </si>
  <si>
    <t>1786年
料理のやり方や様式</t>
  </si>
  <si>
    <t>rumor（物音, 世間話, うわさ）</t>
  </si>
  <si>
    <t>rumor（騒動, 広まる物音, 広まるうわさ）</t>
  </si>
  <si>
    <t>14世紀後期
根拠のない報告, うわさ</t>
  </si>
  <si>
    <t>pro（前に）＋verbum（言葉）
proverbium（前に出された言葉, ことわざ, 格言）</t>
  </si>
  <si>
    <t>12世紀
proverbe</t>
  </si>
  <si>
    <t>1300年頃
経験から得られた真理を表す短い格言</t>
  </si>
  <si>
    <t>signare（印を付ける, 署名する）
&lt;span class="spacer"&gt;&lt;/span&gt;過去分詞signatus
&lt;span class="spacer"&gt;&lt;/span&gt;名詞を作る-uraが付いて
signatura（印章の母型）</t>
  </si>
  <si>
    <t>signatura（署名）</t>
  </si>
  <si>
    <t>16世紀
signature</t>
  </si>
  <si>
    <t>1530年代
スコットランド法の文書の一種として使用
&lt;span class="spacer"&gt;&lt;/span&gt;1570年代
自筆の署名
&lt;span class="spacer"&gt;&lt;/span&gt;1620年代
あらゆる種類の判別用の特徴</t>
  </si>
  <si>
    <t>ula</t>
  </si>
  <si>
    <t>forma（形, 型）
&lt;span class="spacer"&gt;&lt;/span&gt;小さいことを表す-ulaが付いて
formula（小さな型, 雛形, 形式, 契約, 規定）</t>
  </si>
  <si>
    <t>1630年代
儀式や儀礼で用いられる定型句
&lt;span class="spacer"&gt;&lt;/span&gt;1796年から
数学の公式</t>
  </si>
  <si>
    <t>tueri（見守る）
&lt;span class="spacer"&gt;&lt;/span&gt;過去分詞tuitus
&lt;span class="spacer"&gt;&lt;/span&gt;名詞を作る-ioが付いて
tuitio（見守ること, 監視, 保護）</t>
  </si>
  <si>
    <t>tuicion（後見, 保護）</t>
  </si>
  <si>
    <t>13世紀
tuycioun</t>
  </si>
  <si>
    <t>tuicioun
&lt;span class="spacer"&gt;&lt;/span&gt;15世紀初頭
&lt;span class="obsolete"&gt;敵からの保護, 世話, 保管（現在は廃用）&lt;/span&gt;</t>
  </si>
  <si>
    <t>1580年代
生徒を教える行為
（後継人としての家庭教師tutorという概念に基づく）
&lt;span class="spacer"&gt;&lt;/span&gt;1828年
教育に対して支払われる授業料
おそらくtuition fees（授業料）の短縮形</t>
  </si>
  <si>
    <t>もとになってin＋takeから覚える。</t>
  </si>
  <si>
    <t>in（中に）＋take（取る）
&lt;span class="spacer"&gt;&lt;/span&gt;1800年頃
水路や管の中に水が取り込まれる場所
&lt;span class="spacer"&gt;&lt;/span&gt;1808年
食物や呼吸などを取り込む行為</t>
  </si>
  <si>
    <t>spectr</t>
  </si>
  <si>
    <t>um</t>
  </si>
  <si>
    <t>specere（見る, 眺める）
&lt;span class="spacer"&gt;&lt;/span&gt;名詞を作る-umが付いて
spectrum（外観, 像, 出現）</t>
  </si>
  <si>
    <t>1610年代
&lt;span class="obsolete"&gt;出現, 幻影, 亡霊（現在は廃用）&lt;/span&gt;
&lt;span class="spacer"&gt;&lt;/span&gt;1670年代から
プリズムを通過した光線によって形成される
連続する色を示す可視帯
&lt;span class="spacer"&gt;&lt;/span&gt;1888年までに
放射線の波長の全範囲</t>
  </si>
  <si>
    <t>1936年から
あらゆる物事の全範囲（全領域）</t>
  </si>
  <si>
    <t>kidn</t>
  </si>
  <si>
    <t>cwið（子宮, 腹部）＋ey（卵）</t>
  </si>
  <si>
    <t>kidenere
&lt;span class="spacer"&gt;&lt;/span&gt;14世紀初頭
腎臓</t>
  </si>
  <si>
    <t>gørvi（衣服, 装備）</t>
  </si>
  <si>
    <t>1200年頃
戦闘用装備, 鎧, 武器
&lt;span class="spacer"&gt;&lt;/span&gt;14世紀初頭
着衣, 衣類, 服
乗馬用の馬具
&lt;span class="spacer"&gt;&lt;/span&gt;14世紀後期
一般的な装備, 道具一式</t>
  </si>
  <si>
    <t>1520年代
機械の歯車</t>
  </si>
  <si>
    <t>ala（翼, 脇）</t>
  </si>
  <si>
    <t>12世紀
ele（鳥や軍隊の翼, 船の側面）</t>
  </si>
  <si>
    <t>ele
&lt;span class="spacer"&gt;&lt;/span&gt;14世紀後期
教会の側廊
&lt;span class="spacer"&gt;&lt;/span&gt;15世紀
無関係なile（島）と混同される</t>
  </si>
  <si>
    <t>1700年頃
isle（島）と同様にスペルに-s-が加わった
&lt;span class="spacer"&gt;&lt;/span&gt;1731年
alley（路地, 小道）と混同され、礼拝堂の座席の列の間の通路
&lt;span class="spacer"&gt;&lt;/span&gt;1750年代までに
フランス語aileにならってスペルにa-が加えられた</t>
  </si>
  <si>
    <t>*gwere-（重い）
&lt;span class="spacer"&gt;&lt;/span&gt;&lt;span class="obsolete"&gt;この印欧祖語からはgrave（重大な）やgravity（重力）も生まれている&lt;/span&gt;</t>
  </si>
  <si>
    <t>gravis（重い）
&lt;span class="spacer"&gt;&lt;/span&gt;動詞になって
gravare（重くする, 苦しめる）</t>
  </si>
  <si>
    <t>grever（苦しめる, 負担をかける）
&lt;span class="spacer"&gt;&lt;/span&gt;名詞になって
grief（不正, 不満, 災難）</t>
  </si>
  <si>
    <t>13世紀初頭
苦しみ, 苦痛
&lt;span class="spacer"&gt;&lt;/span&gt;1300年頃
精神的苦痛, 悲しみ</t>
  </si>
  <si>
    <t>stin</t>
  </si>
  <si>
    <t>de（完全に）＋stinare（立つ）
destinare（決定する, 固定する）</t>
  </si>
  <si>
    <t>destiner（決定する）
&lt;span class="spacer"&gt;&lt;/span&gt;12世紀、名詞になって
destinée（決定されたもの, 運命）</t>
  </si>
  <si>
    <t>14世紀半ば
運命, 支配的な必然性
&lt;span class="spacer"&gt;&lt;/span&gt;15世紀半ば
将来、人や物に降りかかろうとしていること</t>
  </si>
  <si>
    <t>skalli（頭蓋骨）</t>
  </si>
  <si>
    <t>sculle
&lt;span class="spacer"&gt;&lt;/span&gt;1200年頃
頭蓋骨</t>
  </si>
  <si>
    <t>tymbos（塚, 墓）</t>
  </si>
  <si>
    <t>tumba（墓, 塚）</t>
  </si>
  <si>
    <t>tomba（墓）</t>
  </si>
  <si>
    <t>tombe（墓）</t>
  </si>
  <si>
    <t>12世紀
tumbe（墓）</t>
  </si>
  <si>
    <t>1200年頃
tombe / tumbe（墓）
&lt;span class="spacer"&gt;&lt;/span&gt;14世紀初頭
tomb（墓）</t>
  </si>
  <si>
    <t>日本語でも使われるモノクロ（単色）のモノ（mono, 1人, 1つ）と関連させて覚える。</t>
  </si>
  <si>
    <t>monos（1人の, 孤独な）
&lt;span class="spacer"&gt;&lt;/span&gt;名詞になって
教会ギリシャ語monakhos（1人で宗教修行する人, 修道士）</t>
    <phoneticPr fontId="1"/>
  </si>
  <si>
    <t>monachus（修道士）</t>
  </si>
  <si>
    <t>*monicus（修道士）</t>
  </si>
  <si>
    <t>*muniko-（修道士）</t>
  </si>
  <si>
    <t>weorð（価値：worthの語源）＋scip（～の状態, ～の関係）
weorðscip（価値がある状態, 栄光, 名誉, 神への崇敬）</t>
    <rPh sb="6" eb="8">
      <t>カチ</t>
    </rPh>
    <rPh sb="15" eb="17">
      <t>ゴゲン</t>
    </rPh>
    <rPh sb="26" eb="28">
      <t>ジョウタイ</t>
    </rPh>
    <rPh sb="32" eb="34">
      <t>カンケイ</t>
    </rPh>
    <rPh sb="46" eb="48">
      <t>カチ</t>
    </rPh>
    <rPh sb="51" eb="53">
      <t>ジョウタイ</t>
    </rPh>
    <rPh sb="55" eb="57">
      <t>エイコウ</t>
    </rPh>
    <rPh sb="59" eb="61">
      <t>メイヨ</t>
    </rPh>
    <rPh sb="63" eb="64">
      <t>カミ</t>
    </rPh>
    <rPh sb="66" eb="68">
      <t>スウケイ</t>
    </rPh>
    <phoneticPr fontId="1"/>
  </si>
  <si>
    <t>worship（高い尊敬, 名誉）</t>
    <rPh sb="8" eb="9">
      <t>タカ</t>
    </rPh>
    <rPh sb="10" eb="12">
      <t>ソンケイ</t>
    </rPh>
    <rPh sb="14" eb="16">
      <t>メイヨ</t>
    </rPh>
    <phoneticPr fontId="1"/>
  </si>
  <si>
    <t>outstanding</t>
    <phoneticPr fontId="1"/>
  </si>
  <si>
    <t>out（外に）+standing（立っている）
outstanding
&lt;span class="spacer"&gt;&lt;/span&gt;1610年代
突出した
&lt;span class="spacer"&gt;&lt;/span&gt;1797年から
未払いの（外に出たまま残っている）
&lt;span class="spacer"&gt;&lt;/span&gt;1830年代
際立った, 顕著な</t>
    <rPh sb="4" eb="5">
      <t>ソト</t>
    </rPh>
    <rPh sb="17" eb="18">
      <t>タ</t>
    </rPh>
    <rPh sb="68" eb="70">
      <t>ネンダイ</t>
    </rPh>
    <rPh sb="108" eb="109">
      <t>ネン</t>
    </rPh>
    <rPh sb="117" eb="118">
      <t>ソト</t>
    </rPh>
    <rPh sb="119" eb="120">
      <t>デ</t>
    </rPh>
    <rPh sb="123" eb="124">
      <t>ノコ</t>
    </rPh>
    <rPh sb="162" eb="164">
      <t>ネンダイ</t>
    </rPh>
    <rPh sb="165" eb="167">
      <t>キワダ</t>
    </rPh>
    <rPh sb="171" eb="173">
      <t>ケンチョ</t>
    </rPh>
    <phoneticPr fontId="1"/>
  </si>
  <si>
    <t>unprecedented</t>
    <phoneticPr fontId="1"/>
  </si>
  <si>
    <t>precedent</t>
  </si>
  <si>
    <t>prae（前に）+cedere（行く）
praecedere（先行する）
&lt;span class="spacer"&gt;&lt;/span&gt;現在分詞praecedens</t>
    <rPh sb="5" eb="6">
      <t>マエ</t>
    </rPh>
    <rPh sb="16" eb="17">
      <t>イ</t>
    </rPh>
    <rPh sb="31" eb="33">
      <t>センコウ</t>
    </rPh>
    <rPh sb="65" eb="69">
      <t>ゲンザイブンシ</t>
    </rPh>
    <phoneticPr fontId="1"/>
  </si>
  <si>
    <t>古フランス語</t>
    <rPh sb="0" eb="1">
      <t>コ</t>
    </rPh>
    <rPh sb="5" eb="6">
      <t>ゴ</t>
    </rPh>
    <phoneticPr fontId="1"/>
  </si>
  <si>
    <t>precedent（先行している）</t>
    <rPh sb="10" eb="12">
      <t>センコウ</t>
    </rPh>
    <phoneticPr fontId="1"/>
  </si>
  <si>
    <t>precedent
&lt;span class="spacer"&gt;&lt;/span&gt;1400年頃
時間的に前の, 以前の
&lt;span class="spacer"&gt;&lt;/span&gt;15世紀初頭
以前の事例</t>
    <rPh sb="42" eb="44">
      <t>ネンコロ</t>
    </rPh>
    <rPh sb="45" eb="48">
      <t>ジカンテキ</t>
    </rPh>
    <rPh sb="49" eb="50">
      <t>マエ</t>
    </rPh>
    <rPh sb="53" eb="55">
      <t>イゼン</t>
    </rPh>
    <rPh sb="87" eb="91">
      <t>セイキショトウ</t>
    </rPh>
    <rPh sb="92" eb="94">
      <t>イゼン</t>
    </rPh>
    <rPh sb="95" eb="97">
      <t>ジレイ</t>
    </rPh>
    <phoneticPr fontId="1"/>
  </si>
  <si>
    <t>1610年代
動詞precedent
&lt;span class="obsolete"&gt;この動詞は、形容詞のprecedented / unprecedentedの中にのみ残っている&lt;/span&gt;
&lt;span class="spacer"&gt;&lt;/span&gt;1620年代
un（否定）+precedent（前例を与える）
&lt;span class="spacer"&gt;&lt;/span&gt;過去分詞unprecedented（前例のない）</t>
    <rPh sb="4" eb="6">
      <t>ネンダイ</t>
    </rPh>
    <rPh sb="7" eb="9">
      <t>ドウシ</t>
    </rPh>
    <rPh sb="44" eb="46">
      <t>ドウシ</t>
    </rPh>
    <rPh sb="48" eb="51">
      <t>ケイヨウシ</t>
    </rPh>
    <rPh sb="80" eb="81">
      <t>ナカ</t>
    </rPh>
    <rPh sb="84" eb="85">
      <t>ノコ</t>
    </rPh>
    <rPh sb="129" eb="131">
      <t>ネンダイ</t>
    </rPh>
    <rPh sb="135" eb="137">
      <t>ヒテイ</t>
    </rPh>
    <rPh sb="185" eb="189">
      <t>カコブンシ</t>
    </rPh>
    <rPh sb="203" eb="205">
      <t>ゼンレイ</t>
    </rPh>
    <phoneticPr fontId="1"/>
  </si>
  <si>
    <t>古典ギリシャ語</t>
    <phoneticPr fontId="1"/>
  </si>
  <si>
    <t>finishと関連させて覚える。</t>
    <rPh sb="7" eb="9">
      <t>カンレン</t>
    </rPh>
    <rPh sb="12" eb="13">
      <t>オボ</t>
    </rPh>
    <phoneticPr fontId="1"/>
  </si>
  <si>
    <t>finis（終わり, 境界）
finitus（終わりのある, 限定された）
&lt;span class="spacer"&gt;&lt;/span&gt;in（否定）+finitus（終わりのある, 限定された）
infinitus（限定されない, 境界のない, 無限の）</t>
    <rPh sb="6" eb="7">
      <t>オ</t>
    </rPh>
    <rPh sb="11" eb="13">
      <t>キョウカイ</t>
    </rPh>
    <rPh sb="23" eb="24">
      <t>オ</t>
    </rPh>
    <rPh sb="31" eb="33">
      <t>ゲンテイ</t>
    </rPh>
    <rPh sb="69" eb="71">
      <t>ヒテイ</t>
    </rPh>
    <rPh sb="106" eb="108">
      <t>ゲンテイ</t>
    </rPh>
    <rPh sb="114" eb="116">
      <t>キョウカイ</t>
    </rPh>
    <rPh sb="121" eb="123">
      <t>ムゲン</t>
    </rPh>
    <phoneticPr fontId="1"/>
  </si>
  <si>
    <t>infinit（終わりのない, 境界のない）</t>
    <rPh sb="8" eb="9">
      <t>オ</t>
    </rPh>
    <rPh sb="16" eb="18">
      <t>キョウカイ</t>
    </rPh>
    <phoneticPr fontId="1"/>
  </si>
  <si>
    <t>14世紀後期
永遠の, 無制限の
数が非常に多い</t>
    <rPh sb="2" eb="6">
      <t>セイキコウキ</t>
    </rPh>
    <rPh sb="7" eb="9">
      <t>エイエン</t>
    </rPh>
    <rPh sb="12" eb="15">
      <t>ムセイゲン</t>
    </rPh>
    <rPh sb="17" eb="18">
      <t>カズ</t>
    </rPh>
    <rPh sb="19" eb="21">
      <t>ヒジョウ</t>
    </rPh>
    <rPh sb="22" eb="23">
      <t>オオ</t>
    </rPh>
    <phoneticPr fontId="1"/>
  </si>
  <si>
    <t>worthwhile</t>
    <phoneticPr fontId="1"/>
  </si>
  <si>
    <t>worth+whileとして覚える。</t>
    <rPh sb="14" eb="15">
      <t>オボ</t>
    </rPh>
    <phoneticPr fontId="1"/>
  </si>
  <si>
    <t>weorþ（価値がある：worthの語源）
hwīl（時間, しばらくの間）</t>
    <rPh sb="6" eb="8">
      <t>カチ</t>
    </rPh>
    <rPh sb="18" eb="20">
      <t>ゴゲン</t>
    </rPh>
    <rPh sb="27" eb="29">
      <t>ジカン</t>
    </rPh>
    <rPh sb="36" eb="37">
      <t>アイダ</t>
    </rPh>
    <phoneticPr fontId="1"/>
  </si>
  <si>
    <t>14世紀後期
worth the while</t>
    <rPh sb="2" eb="6">
      <t>セイキコウキ</t>
    </rPh>
    <phoneticPr fontId="1"/>
  </si>
  <si>
    <t>1660年代までに
十分な価値や重要性がある
時間をかける価値がある
&lt;span class="spacer"&gt;&lt;/span&gt;19世紀後期
1語のworthwhile</t>
    <rPh sb="4" eb="6">
      <t>ネンダイ</t>
    </rPh>
    <rPh sb="29" eb="31">
      <t>カチ</t>
    </rPh>
    <rPh sb="65" eb="69">
      <t>セイキコウキ</t>
    </rPh>
    <rPh sb="71" eb="72">
      <t>ゴ</t>
    </rPh>
    <phoneticPr fontId="1"/>
  </si>
  <si>
    <t>1530年代
免除の対象とならない
&lt;span class="spacer"&gt;&lt;/span&gt;1690年代
必要な, 不可欠な</t>
    <rPh sb="7" eb="9">
      <t>メンジョ</t>
    </rPh>
    <rPh sb="10" eb="12">
      <t>タイショウ</t>
    </rPh>
    <rPh sb="50" eb="52">
      <t>ネンダイ</t>
    </rPh>
    <rPh sb="53" eb="55">
      <t>ヒツヨウ</t>
    </rPh>
    <rPh sb="58" eb="61">
      <t>フカケツ</t>
    </rPh>
    <phoneticPr fontId="1"/>
  </si>
  <si>
    <t>com（共に）+pellere（追う, 駆り立てる）
compellere（駆り集める, 強制する）
&lt;span class="spacer"&gt;&lt;/span&gt;過去分詞compulsus（強制された）</t>
    <rPh sb="4" eb="5">
      <t>トモ</t>
    </rPh>
    <rPh sb="16" eb="17">
      <t>オ</t>
    </rPh>
    <rPh sb="20" eb="21">
      <t>カ</t>
    </rPh>
    <rPh sb="22" eb="23">
      <t>タ</t>
    </rPh>
    <rPh sb="38" eb="39">
      <t>カ</t>
    </rPh>
    <rPh sb="40" eb="41">
      <t>アツ</t>
    </rPh>
    <rPh sb="45" eb="47">
      <t>キョウセイ</t>
    </rPh>
    <rPh sb="79" eb="83">
      <t>カコブンシ</t>
    </rPh>
    <rPh sb="93" eb="95">
      <t>キョウセイ</t>
    </rPh>
    <phoneticPr fontId="1"/>
  </si>
  <si>
    <t>compulsus形容詞を作る-oriusが付いて
compulsorius（強制的な）</t>
    <rPh sb="9" eb="12">
      <t>ケイヨウシ</t>
    </rPh>
    <rPh sb="13" eb="14">
      <t>ツク</t>
    </rPh>
    <rPh sb="22" eb="23">
      <t>ツ</t>
    </rPh>
    <rPh sb="39" eb="42">
      <t>キョウセイテキ</t>
    </rPh>
    <phoneticPr fontId="1"/>
  </si>
  <si>
    <t>1580年代
義務的な, 強制で行われる
&lt;span class="spacer"&gt;&lt;/span&gt;1630年代
強制的な</t>
    <rPh sb="4" eb="6">
      <t>ネンダイ</t>
    </rPh>
    <rPh sb="7" eb="10">
      <t>ギムテキ</t>
    </rPh>
    <rPh sb="13" eb="15">
      <t>キョウセイ</t>
    </rPh>
    <rPh sb="16" eb="17">
      <t>オコナ</t>
    </rPh>
    <rPh sb="53" eb="55">
      <t>ネンダイ</t>
    </rPh>
    <rPh sb="56" eb="59">
      <t>キョウセイテキ</t>
    </rPh>
    <phoneticPr fontId="1"/>
  </si>
  <si>
    <t>probare（試す, 証明する）
&lt;span class="spacer"&gt;&lt;/span&gt;形容詞を作る-bilis（～できる）が付いて
probabilis（証明可能な, もっともらしい）</t>
    <rPh sb="8" eb="9">
      <t>タメ</t>
    </rPh>
    <rPh sb="12" eb="14">
      <t>ショウメイ</t>
    </rPh>
    <rPh sb="46" eb="49">
      <t>ケイヨウシ</t>
    </rPh>
    <rPh sb="50" eb="51">
      <t>ツク</t>
    </rPh>
    <rPh sb="65" eb="66">
      <t>ツ</t>
    </rPh>
    <rPh sb="80" eb="84">
      <t>ショウメイカノウ</t>
    </rPh>
    <phoneticPr fontId="1"/>
  </si>
  <si>
    <t>14世紀
probable（証明可能な）</t>
    <rPh sb="2" eb="4">
      <t>セイキ</t>
    </rPh>
    <rPh sb="14" eb="18">
      <t>ショウメイカノウ</t>
    </rPh>
    <phoneticPr fontId="1"/>
  </si>
  <si>
    <t>14世紀後期
否定的証拠よりも肯定的証拠の方が多い
起こりそうな, もっともらしい</t>
    <rPh sb="2" eb="6">
      <t>セイキコウキ</t>
    </rPh>
    <rPh sb="7" eb="10">
      <t>ヒテイテキ</t>
    </rPh>
    <rPh sb="10" eb="12">
      <t>ショウコ</t>
    </rPh>
    <rPh sb="15" eb="18">
      <t>コウテイテキ</t>
    </rPh>
    <rPh sb="18" eb="20">
      <t>ショウコ</t>
    </rPh>
    <rPh sb="21" eb="22">
      <t>ホウ</t>
    </rPh>
    <rPh sb="23" eb="24">
      <t>オオ</t>
    </rPh>
    <rPh sb="26" eb="27">
      <t>オ</t>
    </rPh>
    <phoneticPr fontId="1"/>
  </si>
  <si>
    <t>ambiguous</t>
    <phoneticPr fontId="1"/>
  </si>
  <si>
    <t>ambi（～の周りに）+agere（駆り立てる, 行う）
ambigere（周りを行き来する, ためらう, 揺れ動く）
&lt;span class="spacer"&gt;&lt;/span&gt;形容詞を作る-uusが付いて
ambiguus（二重の意味を持つ, 揺れ動く）</t>
    <rPh sb="7" eb="8">
      <t>マワ</t>
    </rPh>
    <rPh sb="18" eb="19">
      <t>カ</t>
    </rPh>
    <rPh sb="20" eb="21">
      <t>タ</t>
    </rPh>
    <rPh sb="25" eb="26">
      <t>オコナ</t>
    </rPh>
    <rPh sb="38" eb="39">
      <t>マワ</t>
    </rPh>
    <rPh sb="41" eb="44">
      <t>イキキ</t>
    </rPh>
    <rPh sb="54" eb="55">
      <t>ユ</t>
    </rPh>
    <rPh sb="56" eb="57">
      <t>ウゴ</t>
    </rPh>
    <rPh sb="88" eb="91">
      <t>ケイヨウシ</t>
    </rPh>
    <rPh sb="92" eb="93">
      <t>ツク</t>
    </rPh>
    <rPh sb="99" eb="100">
      <t>ツ</t>
    </rPh>
    <rPh sb="112" eb="114">
      <t>ニジュウ</t>
    </rPh>
    <rPh sb="115" eb="117">
      <t>イミ</t>
    </rPh>
    <rPh sb="118" eb="119">
      <t>モ</t>
    </rPh>
    <rPh sb="122" eb="123">
      <t>ユ</t>
    </rPh>
    <rPh sb="124" eb="125">
      <t>ウゴ</t>
    </rPh>
    <phoneticPr fontId="1"/>
  </si>
  <si>
    <t>1520年代
多義的な, あいまいな</t>
    <rPh sb="4" eb="6">
      <t>ネンダイ</t>
    </rPh>
    <rPh sb="7" eb="10">
      <t>タギテキ</t>
    </rPh>
    <phoneticPr fontId="1"/>
  </si>
  <si>
    <t>obscure</t>
    <phoneticPr fontId="1"/>
  </si>
  <si>
    <t>ob（～の上に）+scurus（覆われた）
obscurus（暗い, 不明瞭な, 理解しにくい）</t>
    <rPh sb="5" eb="6">
      <t>ウエ</t>
    </rPh>
    <rPh sb="16" eb="17">
      <t>オオ</t>
    </rPh>
    <rPh sb="31" eb="32">
      <t>クラ</t>
    </rPh>
    <rPh sb="35" eb="38">
      <t>フメイリョウ</t>
    </rPh>
    <rPh sb="41" eb="43">
      <t>リカイ</t>
    </rPh>
    <phoneticPr fontId="1"/>
  </si>
  <si>
    <t>obscur（暗い, 曇った, 不明瞭な）</t>
    <rPh sb="7" eb="8">
      <t>クラ</t>
    </rPh>
    <rPh sb="11" eb="12">
      <t>クモ</t>
    </rPh>
    <rPh sb="16" eb="19">
      <t>フメイリョウ</t>
    </rPh>
    <phoneticPr fontId="1"/>
  </si>
  <si>
    <t>1400年頃
暗い
&lt;span class="spacer"&gt;&lt;/span&gt;15世紀初頭
理解しにくい</t>
    <rPh sb="4" eb="5">
      <t>ネン</t>
    </rPh>
    <rPh sb="5" eb="6">
      <t>コロ</t>
    </rPh>
    <rPh sb="7" eb="8">
      <t>クラ</t>
    </rPh>
    <rPh sb="40" eb="42">
      <t>セイキ</t>
    </rPh>
    <rPh sb="42" eb="44">
      <t>ショトウ</t>
    </rPh>
    <rPh sb="45" eb="47">
      <t>リカイ</t>
    </rPh>
    <phoneticPr fontId="1"/>
  </si>
  <si>
    <t>1540年代
著名ではない, 名声がない, 知られていない
&lt;span class="spacer"&gt;&lt;/span&gt;1590年代
はっきりしない, 不明瞭な</t>
    <rPh sb="4" eb="6">
      <t>ネンダイ</t>
    </rPh>
    <rPh sb="7" eb="9">
      <t>チョメイ</t>
    </rPh>
    <rPh sb="15" eb="17">
      <t>メイセイ</t>
    </rPh>
    <rPh sb="22" eb="23">
      <t>シ</t>
    </rPh>
    <rPh sb="62" eb="64">
      <t>ネンダイ</t>
    </rPh>
    <rPh sb="74" eb="77">
      <t>フメイリョウ</t>
    </rPh>
    <phoneticPr fontId="1"/>
  </si>
  <si>
    <t>skeptical</t>
    <phoneticPr fontId="1"/>
  </si>
  <si>
    <t>skeptesthai（よく見る, 熟考する）
&lt;span class="spacer"&gt;&lt;/span&gt;形容詞を作る-ikosが付いて
skeptikos（探求的な, 懐疑的な）</t>
    <rPh sb="14" eb="15">
      <t>ミ</t>
    </rPh>
    <rPh sb="18" eb="20">
      <t>ジュッコウ</t>
    </rPh>
    <rPh sb="52" eb="55">
      <t>ケイヨウシ</t>
    </rPh>
    <rPh sb="56" eb="57">
      <t>ツク</t>
    </rPh>
    <rPh sb="64" eb="65">
      <t>ツ</t>
    </rPh>
    <rPh sb="78" eb="80">
      <t>タンキュウ</t>
    </rPh>
    <rPh sb="80" eb="81">
      <t>テキ</t>
    </rPh>
    <rPh sb="84" eb="87">
      <t>カイギテキ</t>
    </rPh>
    <phoneticPr fontId="1"/>
  </si>
  <si>
    <t>古典ラテン語</t>
    <rPh sb="0" eb="3">
      <t>カイギロン</t>
    </rPh>
    <phoneticPr fontId="1"/>
  </si>
  <si>
    <t>scepticus（懐疑論派の）</t>
    <rPh sb="10" eb="12">
      <t>カイギ</t>
    </rPh>
    <rPh sb="12" eb="13">
      <t>ロン</t>
    </rPh>
    <rPh sb="13" eb="14">
      <t>ハ</t>
    </rPh>
    <phoneticPr fontId="1"/>
  </si>
  <si>
    <t>1580年代
sceptic（懐疑派の人, 懐疑派の）
&lt;span class="spacer"&gt;&lt;/span&gt;1630年代、形容詞を作る-alが付いて
疑い深い, 懐疑的な</t>
    <rPh sb="4" eb="6">
      <t>ネンダイ</t>
    </rPh>
    <rPh sb="15" eb="18">
      <t>カイギハ</t>
    </rPh>
    <rPh sb="19" eb="20">
      <t>ヒト</t>
    </rPh>
    <rPh sb="22" eb="25">
      <t>カイギハ</t>
    </rPh>
    <rPh sb="60" eb="62">
      <t>ネンダイ</t>
    </rPh>
    <rPh sb="63" eb="66">
      <t>ケイヨウシ</t>
    </rPh>
    <rPh sb="67" eb="68">
      <t>ツク</t>
    </rPh>
    <rPh sb="73" eb="74">
      <t>ツ</t>
    </rPh>
    <rPh sb="77" eb="78">
      <t>ウタガ</t>
    </rPh>
    <rPh sb="79" eb="80">
      <t>ブカ</t>
    </rPh>
    <rPh sb="83" eb="86">
      <t>カイギテキ</t>
    </rPh>
    <phoneticPr fontId="1"/>
  </si>
  <si>
    <t>*bhreg-（壊す）
&lt;span class="spacer"&gt;&lt;/span&gt;&lt;span class="obsolete"&gt;この印欧祖語からはbreak（壊す）も生まれている&lt;/span&gt;</t>
    <rPh sb="8" eb="9">
      <t>コワ</t>
    </rPh>
    <rPh sb="78" eb="79">
      <t>コワ</t>
    </rPh>
    <rPh sb="82" eb="83">
      <t>ウ</t>
    </rPh>
    <phoneticPr fontId="1"/>
  </si>
  <si>
    <t>frangere（壊す）
&lt;span class="spacer"&gt;&lt;/span&gt;形容詞を作る-ilisが付いて
fragilis（壊れやすい, もろい）</t>
    <rPh sb="41" eb="44">
      <t>ケイヨウシ</t>
    </rPh>
    <rPh sb="45" eb="46">
      <t>ツク</t>
    </rPh>
    <rPh sb="53" eb="54">
      <t>ツ</t>
    </rPh>
    <rPh sb="66" eb="67">
      <t>コワ</t>
    </rPh>
    <phoneticPr fontId="1"/>
  </si>
  <si>
    <t>14世紀
fragele</t>
    <rPh sb="2" eb="4">
      <t>セイキ</t>
    </rPh>
    <phoneticPr fontId="1"/>
  </si>
  <si>
    <t>fragile</t>
    <phoneticPr fontId="1"/>
  </si>
  <si>
    <t>1510年代
道徳的に弱い
&lt;span class="spacer"&gt;&lt;/span&gt;1600年頃
壊れやすい
&lt;span class="spacer"&gt;&lt;/span&gt;1858年から
虚弱な, 体が弱い</t>
    <rPh sb="4" eb="6">
      <t>ネンダイ</t>
    </rPh>
    <rPh sb="7" eb="10">
      <t>ドウトクテキ</t>
    </rPh>
    <rPh sb="11" eb="12">
      <t>ヨワ</t>
    </rPh>
    <rPh sb="46" eb="48">
      <t>ネンコロ</t>
    </rPh>
    <rPh sb="49" eb="50">
      <t>コワ</t>
    </rPh>
    <rPh sb="87" eb="88">
      <t>ネン</t>
    </rPh>
    <rPh sb="91" eb="93">
      <t>キョジャク</t>
    </rPh>
    <rPh sb="96" eb="97">
      <t>カラダ</t>
    </rPh>
    <rPh sb="98" eb="99">
      <t>ヨワ</t>
    </rPh>
    <phoneticPr fontId="1"/>
  </si>
  <si>
    <t>dynamic（ダイナミックな, 動的な）の反対として覚える。</t>
    <rPh sb="17" eb="19">
      <t>ドウテキ</t>
    </rPh>
    <rPh sb="22" eb="24">
      <t>ハンタイ</t>
    </rPh>
    <rPh sb="27" eb="28">
      <t>オボ</t>
    </rPh>
    <phoneticPr fontId="1"/>
  </si>
  <si>
    <t>古典ギリシャ語</t>
    <rPh sb="0" eb="2">
      <t>コテン</t>
    </rPh>
    <rPh sb="6" eb="7">
      <t>ゴ</t>
    </rPh>
    <phoneticPr fontId="1"/>
  </si>
  <si>
    <t>statica（静力学）</t>
    <rPh sb="8" eb="11">
      <t>セイリキガク</t>
    </rPh>
    <phoneticPr fontId="1"/>
  </si>
  <si>
    <t>1630年代
重さの科学に関する
&lt;span class="spacer"&gt;&lt;/span&gt;1850年までに
静止している物体や、互いに釣り合っている力に関する</t>
    <rPh sb="4" eb="6">
      <t>ネンダイ</t>
    </rPh>
    <rPh sb="49" eb="50">
      <t>ネン</t>
    </rPh>
    <phoneticPr fontId="1"/>
  </si>
  <si>
    <t>gradual</t>
    <phoneticPr fontId="1"/>
  </si>
  <si>
    <t>gradus（一歩, 登る段, 物事の段階）</t>
    <rPh sb="7" eb="9">
      <t>イッポ</t>
    </rPh>
    <rPh sb="11" eb="12">
      <t>ノボ</t>
    </rPh>
    <rPh sb="13" eb="14">
      <t>ダン</t>
    </rPh>
    <rPh sb="16" eb="18">
      <t>モノゴト</t>
    </rPh>
    <rPh sb="19" eb="21">
      <t>ダンカイ</t>
    </rPh>
    <phoneticPr fontId="1"/>
  </si>
  <si>
    <t>gradusに形容詞を作る-alisが付いて
gradualis（段階のある）</t>
    <rPh sb="33" eb="35">
      <t>ダンカイ</t>
    </rPh>
    <phoneticPr fontId="1"/>
  </si>
  <si>
    <t>15世紀初頭
階段や段差がある</t>
    <rPh sb="2" eb="6">
      <t>セイキショトウ</t>
    </rPh>
    <rPh sb="7" eb="9">
      <t>カイダン</t>
    </rPh>
    <rPh sb="10" eb="12">
      <t>ダンサ</t>
    </rPh>
    <phoneticPr fontId="1"/>
  </si>
  <si>
    <t>1540年代
段階的に配置された
&lt;span class="spacer"&gt;&lt;/span&gt;1690年代
段階的に起こる</t>
    <rPh sb="4" eb="6">
      <t>ネンダイ</t>
    </rPh>
    <rPh sb="7" eb="10">
      <t>ダンカイテキ</t>
    </rPh>
    <rPh sb="11" eb="13">
      <t>ハイチ</t>
    </rPh>
    <rPh sb="49" eb="51">
      <t>ネンダイ</t>
    </rPh>
    <rPh sb="52" eb="55">
      <t>ダンカイテキ</t>
    </rPh>
    <rPh sb="56" eb="57">
      <t>オ</t>
    </rPh>
    <phoneticPr fontId="1"/>
  </si>
  <si>
    <t>vox（声）
&lt;span class="spacer"&gt;&lt;/span&gt;形容詞を作る-alisが付いて
vocalis（声の, 発声の）</t>
    <rPh sb="4" eb="5">
      <t>コエ</t>
    </rPh>
    <rPh sb="35" eb="38">
      <t>ケイヨウシ</t>
    </rPh>
    <rPh sb="39" eb="40">
      <t>ツク</t>
    </rPh>
    <rPh sb="47" eb="48">
      <t>ツ</t>
    </rPh>
    <rPh sb="59" eb="60">
      <t>コエ</t>
    </rPh>
    <rPh sb="63" eb="65">
      <t>ハッセイ</t>
    </rPh>
    <phoneticPr fontId="1"/>
  </si>
  <si>
    <t>13世紀
vocal</t>
    <rPh sb="2" eb="4">
      <t>セイキ</t>
    </rPh>
    <phoneticPr fontId="1"/>
  </si>
  <si>
    <t>14世紀後期
口頭の, 音声の</t>
    <rPh sb="2" eb="6">
      <t>セイキコウキ</t>
    </rPh>
    <rPh sb="7" eb="9">
      <t>コウトウ</t>
    </rPh>
    <rPh sb="12" eb="14">
      <t>オンセイ</t>
    </rPh>
    <phoneticPr fontId="1"/>
  </si>
  <si>
    <t>1580年代
楽器に対して、声による
&lt;span class="spacer"&gt;&lt;/span&gt;1871年までに
素直に意見を述べる</t>
    <rPh sb="4" eb="6">
      <t>ネンダイ</t>
    </rPh>
    <rPh sb="7" eb="9">
      <t>ガッキ</t>
    </rPh>
    <rPh sb="10" eb="11">
      <t>タイ</t>
    </rPh>
    <rPh sb="14" eb="15">
      <t>コエ</t>
    </rPh>
    <rPh sb="51" eb="52">
      <t>ネン</t>
    </rPh>
    <rPh sb="56" eb="58">
      <t>スナオ</t>
    </rPh>
    <rPh sb="59" eb="61">
      <t>イケン</t>
    </rPh>
    <rPh sb="62" eb="63">
      <t>ノ</t>
    </rPh>
    <phoneticPr fontId="1"/>
  </si>
  <si>
    <t>vivid</t>
    <phoneticPr fontId="1"/>
  </si>
  <si>
    <t>vivus（生きている）
&lt;span class="spacer"&gt;&lt;/span&gt;形容詞を作る-idusが付いて
vividus（生き生きとした, 生命力に満ちた）</t>
    <rPh sb="6" eb="7">
      <t>イ</t>
    </rPh>
    <rPh sb="41" eb="44">
      <t>ケイヨウシ</t>
    </rPh>
    <rPh sb="45" eb="46">
      <t>ツク</t>
    </rPh>
    <rPh sb="53" eb="54">
      <t>ツ</t>
    </rPh>
    <rPh sb="65" eb="66">
      <t>イ</t>
    </rPh>
    <rPh sb="67" eb="68">
      <t>イ</t>
    </rPh>
    <rPh sb="74" eb="77">
      <t>セイメイリョク</t>
    </rPh>
    <rPh sb="78" eb="79">
      <t>ミ</t>
    </rPh>
    <phoneticPr fontId="1"/>
  </si>
  <si>
    <t>vivide</t>
    <phoneticPr fontId="1"/>
  </si>
  <si>
    <t>1630年代
心に鮮明で強い印象を与える
&lt;span class="spacer"&gt;&lt;/span&gt;1660年代
色に関して、鮮やかな
&lt;span class="spacer"&gt;&lt;/span&gt;1680年代
記憶に関して、鮮明な
&lt;span class="spacer"&gt;&lt;/span&gt;1853年までに
想像力や興味などが生き生きした</t>
    <rPh sb="4" eb="6">
      <t>ネンダイ</t>
    </rPh>
    <rPh sb="53" eb="55">
      <t>ネンダイ</t>
    </rPh>
    <rPh sb="56" eb="57">
      <t>イロ</t>
    </rPh>
    <rPh sb="58" eb="59">
      <t>カン</t>
    </rPh>
    <rPh sb="62" eb="63">
      <t>アザ</t>
    </rPh>
    <rPh sb="99" eb="101">
      <t>ネンダイ</t>
    </rPh>
    <rPh sb="102" eb="104">
      <t>キオク</t>
    </rPh>
    <rPh sb="105" eb="106">
      <t>カン</t>
    </rPh>
    <rPh sb="109" eb="111">
      <t>センメイ</t>
    </rPh>
    <rPh sb="145" eb="146">
      <t>ネン</t>
    </rPh>
    <rPh sb="150" eb="153">
      <t>ソウゾウリョク</t>
    </rPh>
    <rPh sb="154" eb="156">
      <t>キョウミ</t>
    </rPh>
    <rPh sb="159" eb="160">
      <t>イ</t>
    </rPh>
    <rPh sb="161" eb="162">
      <t>イ</t>
    </rPh>
    <phoneticPr fontId="1"/>
  </si>
  <si>
    <t>imperial</t>
    <phoneticPr fontId="1"/>
  </si>
  <si>
    <t>imperial / emperial（帝国の, 君主にふさわしい）</t>
    <rPh sb="20" eb="22">
      <t>テイコク</t>
    </rPh>
    <rPh sb="25" eb="27">
      <t>クンシュ</t>
    </rPh>
    <phoneticPr fontId="1"/>
  </si>
  <si>
    <t>14世紀後期
威厳のある
帝国（特にローマ帝国）に関する</t>
    <rPh sb="2" eb="6">
      <t>セイキコウキ</t>
    </rPh>
    <phoneticPr fontId="1"/>
  </si>
  <si>
    <t>hostile</t>
    <phoneticPr fontId="1"/>
  </si>
  <si>
    <t>*ghos-ti-（よそ者, 客人, 主人）
&lt;span class="spacer"&gt;&lt;/span&gt;&lt;span class="obsolete"&gt;この印欧祖語からはguest（ゲスト）・host（主人）・hospital（病院）・hospitality（もてなし）・hostage（人質）なども生まれている&lt;/span&gt;</t>
    <rPh sb="12" eb="13">
      <t>モノ</t>
    </rPh>
    <rPh sb="15" eb="17">
      <t>キャクジン</t>
    </rPh>
    <rPh sb="19" eb="21">
      <t>シュジン</t>
    </rPh>
    <rPh sb="99" eb="101">
      <t>シュジン</t>
    </rPh>
    <rPh sb="112" eb="114">
      <t>ビョウイン</t>
    </rPh>
    <rPh sb="142" eb="144">
      <t>ヒトジチ</t>
    </rPh>
    <phoneticPr fontId="1"/>
  </si>
  <si>
    <t>hostis（見知らぬ人, 外国人, 敵）
&lt;span class="spacer"&gt;&lt;/span&gt;形容詞を作る-ilisが付いて
hostilis（敵の, 敵に属する, 敵対的な）</t>
    <phoneticPr fontId="1"/>
  </si>
  <si>
    <t>15世紀
hostile（敵の, 敵に属する）</t>
    <rPh sb="2" eb="4">
      <t>セイキ</t>
    </rPh>
    <phoneticPr fontId="1"/>
  </si>
  <si>
    <t>15世紀後期
敵対的な</t>
    <rPh sb="2" eb="4">
      <t>セイキ</t>
    </rPh>
    <rPh sb="4" eb="6">
      <t>コウキ</t>
    </rPh>
    <rPh sb="7" eb="10">
      <t>テキタイテキ</t>
    </rPh>
    <phoneticPr fontId="1"/>
  </si>
  <si>
    <t>superficial</t>
    <phoneticPr fontId="1"/>
  </si>
  <si>
    <t>super</t>
  </si>
  <si>
    <t>super（上に, 超えて）+facies（顔, 形）
superficies（上面, 表面）</t>
    <rPh sb="6" eb="7">
      <t>ウエ</t>
    </rPh>
    <rPh sb="10" eb="11">
      <t>コ</t>
    </rPh>
    <rPh sb="22" eb="23">
      <t>カオ</t>
    </rPh>
    <rPh sb="25" eb="26">
      <t>カタチ</t>
    </rPh>
    <rPh sb="40" eb="42">
      <t>ウワツラ</t>
    </rPh>
    <rPh sb="44" eb="46">
      <t>ヒョウメン</t>
    </rPh>
    <phoneticPr fontId="1"/>
  </si>
  <si>
    <t>superficiesに形容詞を作る-alisが付いて
superficialis（表面の）</t>
    <rPh sb="12" eb="15">
      <t>ケイヨウシ</t>
    </rPh>
    <rPh sb="16" eb="17">
      <t>ツク</t>
    </rPh>
    <rPh sb="24" eb="25">
      <t>ツ</t>
    </rPh>
    <rPh sb="42" eb="44">
      <t>ヒョウメン</t>
    </rPh>
    <phoneticPr fontId="1"/>
  </si>
  <si>
    <t>14世紀後期
解剖学において、皮膚の表面にある, 深部ではない
&lt;span class="spacer"&gt;&lt;/span&gt;15世紀初頭
知覚や思考について、表面的な, 徹底的な理解を伴わない, 明らかなことだけを理解する</t>
    <rPh sb="2" eb="6">
      <t>セイキコウキ</t>
    </rPh>
    <rPh sb="7" eb="10">
      <t>カイボウガク</t>
    </rPh>
    <rPh sb="25" eb="27">
      <t>シンブ</t>
    </rPh>
    <rPh sb="62" eb="64">
      <t>セイキ</t>
    </rPh>
    <rPh sb="64" eb="66">
      <t>ショトウ</t>
    </rPh>
    <rPh sb="67" eb="69">
      <t>チカク</t>
    </rPh>
    <rPh sb="70" eb="72">
      <t>シコウ</t>
    </rPh>
    <rPh sb="77" eb="80">
      <t>ヒョウメンテキ</t>
    </rPh>
    <rPh sb="83" eb="86">
      <t>テッテイテキ</t>
    </rPh>
    <rPh sb="87" eb="89">
      <t>リカイ</t>
    </rPh>
    <rPh sb="90" eb="91">
      <t>トモナ</t>
    </rPh>
    <rPh sb="96" eb="97">
      <t>アキ</t>
    </rPh>
    <rPh sb="105" eb="107">
      <t>リカイ</t>
    </rPh>
    <phoneticPr fontId="1"/>
  </si>
  <si>
    <t>scarce</t>
    <phoneticPr fontId="1"/>
  </si>
  <si>
    <t>ex（外に）+carpere（摘む）
excerpere（摘み取る）</t>
    <rPh sb="3" eb="4">
      <t>ソト</t>
    </rPh>
    <rPh sb="15" eb="16">
      <t>ツ</t>
    </rPh>
    <rPh sb="29" eb="30">
      <t>ツ</t>
    </rPh>
    <rPh sb="31" eb="32">
      <t>ト</t>
    </rPh>
    <phoneticPr fontId="1"/>
  </si>
  <si>
    <t>*excarpere（摘み取る）
&lt;span class="spacer"&gt;&lt;/span&gt;過去分詞*excarpsus / *escarpsus
*scarsus（乏しい）</t>
    <rPh sb="11" eb="12">
      <t>ツ</t>
    </rPh>
    <rPh sb="13" eb="14">
      <t>ト</t>
    </rPh>
    <rPh sb="45" eb="49">
      <t>カコブンシ</t>
    </rPh>
    <rPh sb="82" eb="83">
      <t>トボ</t>
    </rPh>
    <phoneticPr fontId="1"/>
  </si>
  <si>
    <t>scars（乏しい）</t>
    <rPh sb="6" eb="7">
      <t>トボ</t>
    </rPh>
    <phoneticPr fontId="1"/>
  </si>
  <si>
    <t>scarse
&lt;span class="spacer"&gt;&lt;/span&gt;1300年頃
量が限られた, 不足した, まれな</t>
    <rPh sb="39" eb="41">
      <t>ネンコロ</t>
    </rPh>
    <rPh sb="42" eb="43">
      <t>リョウ</t>
    </rPh>
    <rPh sb="44" eb="45">
      <t>カギ</t>
    </rPh>
    <rPh sb="50" eb="52">
      <t>フソク</t>
    </rPh>
    <phoneticPr fontId="1"/>
  </si>
  <si>
    <t>gross</t>
    <phoneticPr fontId="1"/>
  </si>
  <si>
    <t>grossus（厚い, 粗い）</t>
    <rPh sb="8" eb="9">
      <t>アツ</t>
    </rPh>
    <rPh sb="12" eb="13">
      <t>アラ</t>
    </rPh>
    <phoneticPr fontId="1"/>
  </si>
  <si>
    <t>grossus（大きい）</t>
    <rPh sb="8" eb="9">
      <t>オオ</t>
    </rPh>
    <phoneticPr fontId="1"/>
  </si>
  <si>
    <t>gros（大きい, 厚い, 粗野な）</t>
    <rPh sb="5" eb="6">
      <t>オオ</t>
    </rPh>
    <rPh sb="10" eb="11">
      <t>アツ</t>
    </rPh>
    <rPh sb="14" eb="16">
      <t>ソヤ</t>
    </rPh>
    <phoneticPr fontId="1"/>
  </si>
  <si>
    <t>14世紀半ば
大きい
&lt;span class="spacer"&gt;&lt;/span&gt;15世紀初頭
厚い, 粗い</t>
    <rPh sb="2" eb="5">
      <t>セイキナカ</t>
    </rPh>
    <rPh sb="7" eb="8">
      <t>オオ</t>
    </rPh>
    <rPh sb="41" eb="43">
      <t>セイキ</t>
    </rPh>
    <rPh sb="43" eb="45">
      <t>ショトウ</t>
    </rPh>
    <rPh sb="46" eb="47">
      <t>アツ</t>
    </rPh>
    <rPh sb="50" eb="51">
      <t>アラ</t>
    </rPh>
    <phoneticPr fontId="1"/>
  </si>
  <si>
    <t>in（中に）+haerere（くっつく, 付着する）
inhaerere（中にくっつく, 密接に結びつく, 備わっている）
&lt;span class="spacer"&gt;&lt;/span&gt;現在分詞inhaerens</t>
    <rPh sb="3" eb="4">
      <t>ナカ</t>
    </rPh>
    <rPh sb="21" eb="23">
      <t>フチャク</t>
    </rPh>
    <rPh sb="37" eb="38">
      <t>ナカ</t>
    </rPh>
    <rPh sb="45" eb="47">
      <t>ミッセツ</t>
    </rPh>
    <rPh sb="48" eb="49">
      <t>ムス</t>
    </rPh>
    <rPh sb="54" eb="55">
      <t>ソナ</t>
    </rPh>
    <rPh sb="90" eb="94">
      <t>ゲンザイブンシ</t>
    </rPh>
    <phoneticPr fontId="1"/>
  </si>
  <si>
    <t>1570年代
本来的に備わった</t>
    <rPh sb="4" eb="6">
      <t>ネンダイ</t>
    </rPh>
    <rPh sb="7" eb="10">
      <t>ホンライテキ</t>
    </rPh>
    <rPh sb="11" eb="12">
      <t>ソナ</t>
    </rPh>
    <phoneticPr fontId="1"/>
  </si>
  <si>
    <t>notable</t>
    <phoneticPr fontId="1"/>
  </si>
  <si>
    <t>nota（印, 認識の手段：noteの語源）
&lt;span class="spacer"&gt;&lt;/span&gt;動詞になって
notare（印をつける, メモを取る）
&lt;span class="spacer"&gt;&lt;/span&gt;形容詞を作る-bilis（～できる）が付いて
notabilis（印をつけることができる, 注目に値する）</t>
    <rPh sb="5" eb="6">
      <t>シルシ</t>
    </rPh>
    <rPh sb="8" eb="10">
      <t>ニンシキ</t>
    </rPh>
    <rPh sb="11" eb="13">
      <t>シュダン</t>
    </rPh>
    <rPh sb="19" eb="21">
      <t>ゴゲン</t>
    </rPh>
    <rPh sb="51" eb="53">
      <t>ドウシ</t>
    </rPh>
    <rPh sb="65" eb="66">
      <t>シルシ</t>
    </rPh>
    <rPh sb="75" eb="76">
      <t>ト</t>
    </rPh>
    <rPh sb="107" eb="110">
      <t>ケイヨウシ</t>
    </rPh>
    <rPh sb="111" eb="112">
      <t>ツク</t>
    </rPh>
    <rPh sb="126" eb="127">
      <t>ツ</t>
    </rPh>
    <rPh sb="140" eb="141">
      <t>シルシ</t>
    </rPh>
    <rPh sb="153" eb="155">
      <t>チュウモク</t>
    </rPh>
    <rPh sb="156" eb="157">
      <t>アタイ</t>
    </rPh>
    <phoneticPr fontId="1"/>
  </si>
  <si>
    <t>notable（注目すべき, 著名な）</t>
    <rPh sb="8" eb="10">
      <t>チュウモク</t>
    </rPh>
    <rPh sb="15" eb="17">
      <t>チョメイ</t>
    </rPh>
    <phoneticPr fontId="1"/>
  </si>
  <si>
    <t>14世紀半ば
注目に値する, 重要な
&lt;span class="spacer"&gt;&lt;/span&gt;15世紀初頭
よく知られた, 著名な</t>
    <rPh sb="7" eb="9">
      <t>チュウモク</t>
    </rPh>
    <rPh sb="10" eb="11">
      <t>アタイ</t>
    </rPh>
    <rPh sb="15" eb="17">
      <t>ジュウヨウ</t>
    </rPh>
    <rPh sb="49" eb="53">
      <t>セイキショトウ</t>
    </rPh>
    <rPh sb="56" eb="57">
      <t>シ</t>
    </rPh>
    <rPh sb="62" eb="64">
      <t>チョメイ</t>
    </rPh>
    <phoneticPr fontId="1"/>
  </si>
  <si>
    <t>tag8</t>
    <phoneticPr fontId="1"/>
  </si>
  <si>
    <t>p8</t>
    <phoneticPr fontId="1"/>
  </si>
  <si>
    <t>date</t>
  </si>
  <si>
    <t>up（上へ, 最新へ）＋date（日付を記す, 年代を確定する）
&lt;span class="spacer"&gt;&lt;/span&gt;1944年
情報を最新のものにする</t>
  </si>
  <si>
    <t>fresh</t>
  </si>
  <si>
    <t>re（再び）＋fresche（新鮮な）
&lt;span class="spacer"&gt;&lt;/span&gt;動詞になって
refreschier（リフレッシュする）</t>
  </si>
  <si>
    <t>refreshen
&lt;span class="spacer"&gt;&lt;/span&gt;14世紀後期
回復する, 肉体的・精神的に再び新品同様にする
記憶を新たにする</t>
  </si>
  <si>
    <t>flowerと関連させて覚える。</t>
  </si>
  <si>
    <t>*bhel-（開花する, 繁栄する）
&lt;span class="spacer"&gt;&lt;/span&gt;&lt;span class="obsolete"&gt;この印欧祖語からはflower（花）やflourish（栄える）などが生まれている&lt;/span&gt;</t>
  </si>
  <si>
    <t>blomi（花, 開花）</t>
  </si>
  <si>
    <t>blomen
&lt;span class="spacer"&gt;&lt;/span&gt;13世紀中頃
花をつける, 開花する, 咲く</t>
  </si>
  <si>
    <t>quer</t>
  </si>
  <si>
    <t>com（強意）＋quaerere（求める）
conquirere（探し求める, 努力によって獲得する, 勝ち取る）</t>
  </si>
  <si>
    <t>*conquaerere</t>
  </si>
  <si>
    <t>conquerre（征服する）</t>
  </si>
  <si>
    <t>cunquearen
&lt;span class="spacer"&gt;&lt;/span&gt;1200年頃
成し遂げる
&lt;span class="spacer"&gt;&lt;/span&gt;1300年頃
勝ち取る, 征服する
&lt;span class="spacer"&gt;&lt;/span&gt;14世紀初頭
武力によって国を獲得する</t>
  </si>
  <si>
    <t>duce</t>
  </si>
  <si>
    <t>in（中に）＋ducere（導く）
inducere（中に導く, 導入する, 説得する）</t>
  </si>
  <si>
    <t>enduce / induce
&lt;span class="spacer"&gt;&lt;/span&gt;14世紀後期
説得やその他の影響によって導く
&lt;span class="spacer"&gt;&lt;/span&gt;15世紀初頭
何らかの方法で引き起こす</t>
  </si>
  <si>
    <t>ad（〜へ）＋tangere（触れる）
attingere（触れる）</t>
  </si>
  <si>
    <t>*attangere</t>
  </si>
  <si>
    <t>ataindre（〜に追いつく, 到達する, 達成する）</t>
  </si>
  <si>
    <t>1300年頃
触れるほど近くにくる
到達する
達成する</t>
  </si>
  <si>
    <t>sprayen（散布する）</t>
  </si>
  <si>
    <t>1520年代
飛沫の形で投げる
液体を滴にして拡散させる</t>
  </si>
  <si>
    <t>trieve</t>
  </si>
  <si>
    <t>re（再び）＋trouver（見つける）
retreuver（再び見つける, 取り戻す）</t>
  </si>
  <si>
    <t>retrieven
&lt;span class="spacer"&gt;&lt;/span&gt;15世紀初頭
再び見つける, 発見する</t>
  </si>
  <si>
    <t>16世紀
スペルがretriveになる
&lt;span class="spacer"&gt;&lt;/span&gt;17世紀半ば
現代のスペルretrieveになる
&lt;span class="spacer"&gt;&lt;/span&gt;1640年代
記憶から取り戻す, 思い出す
&lt;span class="spacer"&gt;&lt;/span&gt;1856年までに
犬が獲物や失くした物を取ってくる</t>
  </si>
  <si>
    <t>1962年までに
コンピュータに関して、保存された情報を取り出す, 検索する</t>
  </si>
  <si>
    <t>por</t>
  </si>
  <si>
    <t>tray</t>
  </si>
  <si>
    <t>trahere（引く, 引きずる）</t>
  </si>
  <si>
    <t>12世紀
por（前へ）＋traire（引く, 線を引く）
portraire（引き出す, 絵を描く, 何かを描く）</t>
  </si>
  <si>
    <t>purtraire</t>
  </si>
  <si>
    <t>purtraire
&lt;span class="spacer"&gt;&lt;/span&gt;13世紀半ば
何かを描く, 絵を描く
&lt;span class="spacer"&gt;&lt;/span&gt;14世紀後期
言葉で描写する</t>
  </si>
  <si>
    <t>scracchen
&lt;span class="spacer"&gt;&lt;/span&gt;1400年頃
引っ掻く, 引き裂く</t>
  </si>
  <si>
    <t>1520年代
皮膚をかく
&lt;span class="spacer"&gt;&lt;/span&gt;1680年代
名簿にある名前を線で取り消すイメージから、計画などを取り消す
&lt;span class="spacer"&gt;&lt;/span&gt;1712年から
scratch one's head（頭をかく）</t>
  </si>
  <si>
    <t>signum（印）
&lt;span class="spacer"&gt;&lt;/span&gt;動詞になって
signare（印をつける）
&lt;span class="spacer"&gt;&lt;/span&gt;de（外へ）＋signare（印をつける）
designare（印をつける, 指名する, 任命する）
&lt;span class="spacer"&gt;&lt;/span&gt;過去分詞designatus</t>
  </si>
  <si>
    <t>15世紀初頭
印を付けられた</t>
  </si>
  <si>
    <t>1791年
特定の目的のために任命する</t>
  </si>
  <si>
    <t>dict</t>
  </si>
  <si>
    <t>contra（〜に対して）＋dicere（言う, 話す）
contradicere（反対を述べる）
&lt;span class="spacer"&gt;&lt;/span&gt;過去分詞contradictus</t>
  </si>
  <si>
    <t>1570年代
&lt;span class="obsolete"&gt;反対して言う（現在は廃用）&lt;/span&gt;
&lt;span class="spacer"&gt;&lt;/span&gt;1580年代
～の反対を主張する
&lt;span class="spacer"&gt;&lt;/span&gt;1600年頃
矛盾したことを言う</t>
  </si>
  <si>
    <t>sican（ため息をつく）
&lt;span class="spacer"&gt;&lt;/span&gt;過去形sighte
おそらく擬音語</t>
  </si>
  <si>
    <t>sighen
&lt;span class="spacer"&gt;&lt;/span&gt;13世紀半ば
ため息をつく</t>
  </si>
  <si>
    <t>dis（離れて）＋rumpere（壊す）
disrumpere（壊して離す, 粉々に壊す）
&lt;span class="spacer"&gt;&lt;/span&gt;過去分詞disruptus</t>
  </si>
  <si>
    <t>1650年代
粉々に壊れる, 強制的に分離する</t>
  </si>
  <si>
    <t>pars（部分, 分け前）</t>
  </si>
  <si>
    <t>de（〜から）＋partire（分ける）
departire（分割する）</t>
  </si>
  <si>
    <t>10世紀
departir（分割する, 自身が分離する, 出発する）</t>
  </si>
  <si>
    <t>departen
&lt;span class="spacer"&gt;&lt;/span&gt;13世紀半ば
&lt;span class="obsolete"&gt;仲間と別れる（現在は廃用）&lt;/span&gt;
&lt;span class="spacer"&gt;&lt;/span&gt;13世紀後期
&lt;span class="obsolete"&gt;部分に分ける（現在は廃用）&lt;/span&gt;
&lt;span class="spacer"&gt;&lt;/span&gt;1300年頃から
立ち去る, 退く
&lt;span class="spacer"&gt;&lt;/span&gt;14世紀後期
去る, 退出する</t>
  </si>
  <si>
    <t>navi</t>
  </si>
  <si>
    <t>ga</t>
  </si>
  <si>
    <t>navis（船）＋agere（動かす）
navigare（航海する, 海を行く, 船を操縦する）
&lt;span class="spacer"&gt;&lt;/span&gt;過去分詞navigatus</t>
  </si>
  <si>
    <t>1580年代
船で場所から場所へ移動する
航海する
&lt;span class="spacer"&gt;&lt;/span&gt;1660年代
操縦する, 指示する
&lt;span class="spacer"&gt;&lt;/span&gt;1784年
気球に関して、操縦する</t>
  </si>
  <si>
    <t>1901年
航空機に関して、操縦する</t>
  </si>
  <si>
    <t>1200年頃
施しを求める
生活手段として習慣的に施しを求める</t>
  </si>
  <si>
    <t>1520年代
好意などを求める
&lt;span class="spacer"&gt;&lt;/span&gt;1600年頃までに
丁寧な依頼表現
beg pardon（お許しを願う）</t>
  </si>
  <si>
    <t>habere（持つ）
&lt;span class="spacer"&gt;&lt;/span&gt;反復形habitare（持ち続ける, 住む）
&lt;span class="spacer"&gt;&lt;/span&gt;in（中に）＋habitare（住む）
inhabitare（〜に住む）</t>
  </si>
  <si>
    <t>enhabiter（〜に住む）</t>
  </si>
  <si>
    <t>14世紀後期
〜に住む</t>
  </si>
  <si>
    <t>gonose</t>
  </si>
  <si>
    <t>dia（間に）＋gignōskein（学ぶ, 知るようになる）
diagignōskein（区別して知る, 識別する, 区別する）
&lt;span class="spacer"&gt;&lt;/span&gt;名詞になって
diagnōsis（識別, 判定）</t>
  </si>
  <si>
    <t>1680年代
科学的な識別
特に症状から病気を診断すること
&lt;span class="spacer"&gt;&lt;/span&gt;1861年、動詞になって
症状から病気を特定する, 診断する</t>
  </si>
  <si>
    <t>hend</t>
  </si>
  <si>
    <t>com（完全に）＋pre（前に）＋hendere（つかむ）
comprehendere（完全に前方でつかむ, 心でしっかりとらえる, 理解する）</t>
  </si>
  <si>
    <t>14世紀半ば
心に取り入れる, 把握する, 理解する</t>
  </si>
  <si>
    <t>partOfSpeech</t>
    <phoneticPr fontId="1"/>
  </si>
  <si>
    <t>noun</t>
  </si>
  <si>
    <t>adjective</t>
  </si>
  <si>
    <t>preposition</t>
  </si>
  <si>
    <t>adverb</t>
  </si>
  <si>
    <t>conjunction</t>
  </si>
  <si>
    <t>lige</t>
  </si>
  <si>
    <t>ob（〜に対して）＋ligare（縛る, 結ぶ）
obligare（縛る, 義務を負わせる）</t>
  </si>
  <si>
    <t>13世紀
obligier（身を拘束する, 約束する）</t>
  </si>
  <si>
    <t>obligen
&lt;span class="spacer"&gt;&lt;/span&gt;1300年頃
約束によって拘束する
道徳的または法的な義務を負わせる</t>
  </si>
  <si>
    <t>1560年代
相手に恩恵や親切を与えることで、その人に恩義を着せる</t>
  </si>
  <si>
    <t>crammian（何かを別のものに押し込む）</t>
  </si>
  <si>
    <t>14世紀初頭
収容できる量を超えて詰め込む</t>
  </si>
  <si>
    <t>1803年までに
テストに合格するために短期間で知識を詰め込む勉強をする</t>
  </si>
  <si>
    <t>flocc（人々の集まり, 仲間）</t>
  </si>
  <si>
    <t>1200年頃
人間以外の動物に対しても使われるようになり、動物の群れ
&lt;span class="spacer"&gt;&lt;/span&gt;1300年頃
家畜に対しても使われるようになり、家畜の群れ
&lt;span class="spacer"&gt;&lt;/span&gt;動詞になって
人や動物が群がる, 集まる</t>
  </si>
  <si>
    <t>under（下に）＋estimate（見積もる）
&lt;span class="spacer"&gt;&lt;/span&gt;1812年
低く見積もる
&lt;span class="spacer"&gt;&lt;/span&gt;1850年代
過小評価する</t>
  </si>
  <si>
    <t>clari</t>
  </si>
  <si>
    <t>clearにすると覚える。</t>
  </si>
  <si>
    <t>clarus（明るい, はっきりした：clearの語源）＋facere（作る, 行う）</t>
  </si>
  <si>
    <t>clarificare（明らかにする）
&lt;span class="spacer"&gt;&lt;/span&gt;過去分詞clarificus（輝かしい）</t>
  </si>
  <si>
    <t>12世紀
clarifiier（浄化する, 明らかにする）</t>
  </si>
  <si>
    <t>14世紀初頭
&lt;span class="obsolete"&gt;際立たせる, 広く知らせる（現在は廃用）&lt;/span&gt;
&lt;span class="spacer"&gt;&lt;/span&gt;15世紀初頭
酒などを清める</t>
  </si>
  <si>
    <t>1823年から
曖昧さを取り除き、理解しやすくする</t>
  </si>
  <si>
    <t>spearca（燃える木や熱せられた鉄などから飛び散る発光粒子）
&lt;span class="spacer"&gt;&lt;/span&gt;動詞spearcian</t>
  </si>
  <si>
    <t>sparken
&lt;span class="spacer"&gt;&lt;/span&gt;1200年頃
火花を発する
&lt;span class="spacer"&gt;&lt;/span&gt;1300年頃
きらめく, 輝く</t>
  </si>
  <si>
    <t>1889年から
電気火花を与える</t>
  </si>
  <si>
    <t>1912年までに
刺激する, 誘発する, 引き起こす</t>
  </si>
  <si>
    <t>8世紀
sacire（所有する, 占有する）</t>
  </si>
  <si>
    <t>12世紀
seisir（所有する, 力ずくで奪う）</t>
  </si>
  <si>
    <t>seisen
&lt;span class="spacer"&gt;&lt;/span&gt;13世紀半ば
力や権力で土地・財産を所有する, 占有する
&lt;span class="spacer"&gt;&lt;/span&gt;1300年頃
手や口でつかむ
都市などを武力によって奪う
&lt;span class="spacer"&gt;&lt;/span&gt;14世紀後期
病気や恐怖などが襲いかかる</t>
  </si>
  <si>
    <t>ex（外に）＋aura（空気）</t>
  </si>
  <si>
    <t>*exaurare（空中へ上がる）</t>
  </si>
  <si>
    <t>12世紀
essorer（舞い上がる, 高く飛ぶ）</t>
  </si>
  <si>
    <t>14世紀後期
鳥に関して、羽ばたかずに高く舞い上がる</t>
  </si>
  <si>
    <t>1590年代
魂や野心などが高く高揚する
&lt;span class="spacer"&gt;&lt;/span&gt;1812年までに
山や建物に関して、高くそびえ立つ</t>
  </si>
  <si>
    <t>1929年までに
価格が急上昇する</t>
  </si>
  <si>
    <t>glowan（熱や光を放つ, 赤く輝く）</t>
  </si>
  <si>
    <t>glouen（炎なしに輝く, 赤く光, 強い感情で紅潮する）</t>
  </si>
  <si>
    <t>guise</t>
  </si>
  <si>
    <t>11世紀
des（離れて）＋guise（方法, 外見）
desguiser（離れた外見にする, 変装させる）</t>
  </si>
  <si>
    <t>1300年頃
欺くために衣服や通常の容姿を変えることで個人の正体を隠す
&lt;span class="spacer"&gt;&lt;/span&gt;14世紀半ば
偽りの外見によって本来の性質を隠す</t>
  </si>
  <si>
    <t>tort</t>
  </si>
  <si>
    <t>dis（完全に）＋torquere（ねじる, トルク）
distorquere（様々な方向へねじる, 歪める）
&lt;span class="spacer"&gt;&lt;/span&gt;過去分詞distortus</t>
  </si>
  <si>
    <t>1580年代
事実を歪める, 意味を歪める
&lt;span class="spacer"&gt;&lt;/span&gt;1630年代
物理的に形を歪める</t>
  </si>
  <si>
    <t>minera（鉱石）</t>
  </si>
  <si>
    <t>mine（鉱石, 鉱山, 鉱物採掘のためのトンネル）
&lt;span class="spacer"&gt;&lt;/span&gt;miner（掘る, 鉱山から取り出す）</t>
  </si>
  <si>
    <t>minen
&lt;span class="spacer"&gt;&lt;/span&gt;1300年頃
掘る, トンネルを掘る
&lt;span class="spacer"&gt;&lt;/span&gt;under（下に）＋minen （掘る）
下を掘る
&lt;span class="spacer"&gt;&lt;/span&gt;15世紀初頭
比喩的に、目に見えない手段で損なう, むしばむ</t>
  </si>
  <si>
    <t>olish</t>
  </si>
  <si>
    <t>ab（離れて）＋adolere（成長する）
abolere（成長から離れる, 破壊する, 消し去る）</t>
  </si>
  <si>
    <t>15世紀
abolir（廃止する）
&lt;span class="spacer"&gt;&lt;/span&gt;現在分詞の一部aboliss</t>
  </si>
  <si>
    <t>15世紀半ば
終わらせる, 廃止する</t>
  </si>
  <si>
    <t>-striepan（略奪する, 奪い取る）</t>
  </si>
  <si>
    <t>strepen
&lt;span class="spacer"&gt;&lt;/span&gt;13世紀初頭
覆いを取り除く, 服を脱がせる</t>
  </si>
  <si>
    <t>dis（離れて）＋ponere（置く）
disponere（順番に置く, 整える）</t>
  </si>
  <si>
    <t>13世紀
disposer（配置する, 秩序立てる, 調整する）</t>
  </si>
  <si>
    <t>disposen
&lt;span class="spacer"&gt;&lt;/span&gt;14世紀後期
順序立てる, 特定の順序で置く
方向づける, 心や意思を傾けさせる</t>
  </si>
  <si>
    <t>14世紀初頭
力任せに投げ下ろす, 不意に落とす</t>
  </si>
  <si>
    <t>1784年までに
大量に荷を下ろす
荷車などを傾けて中身を落とす</t>
  </si>
  <si>
    <t>1919年
捨てる, 見捨てる</t>
  </si>
  <si>
    <t>wefan（糸を交差させて形作る, 織物を織る, 考案する）</t>
  </si>
  <si>
    <t>weven
&lt;span class="spacer"&gt;&lt;/span&gt;14世紀後期
全体へと結合させる</t>
  </si>
  <si>
    <t>finis（終わり, 境界）</t>
  </si>
  <si>
    <t>fin（完成された, 最高品質の）</t>
  </si>
  <si>
    <t>13世紀半ば
洗練された, 高品質の</t>
  </si>
  <si>
    <t>re（強意）＋fine（洗練させる, 精製する）
&lt;span class="spacer"&gt;&lt;/span&gt;1580年代
金属について、可能な限り純粋な状態にする, 精製する
&lt;span class="spacer"&gt;&lt;/span&gt;1590年頃
マナーについて、洗練させる</t>
  </si>
  <si>
    <t>rich</t>
  </si>
  <si>
    <t>en（〜にする）＋riche（豊かな）
enrichir（豊かにする）</t>
  </si>
  <si>
    <t>14世紀後期
豊かにする</t>
  </si>
  <si>
    <t>1590年代
望ましいものを豊富に供給する</t>
  </si>
  <si>
    <t>1945年
ある物質中の特定の同位体の含有率を高める, 濃縮化する</t>
  </si>
  <si>
    <t>co</t>
  </si>
  <si>
    <t>ordo（列, 階級, 配置：orderの語源）
&lt;span class="spacer"&gt;&lt;/span&gt;動詞になって
ordinare（並べる, 整える, 秩序づける）
&lt;span class="spacer"&gt;&lt;/span&gt;名詞を作る-ioが付いて
ordinatio（配置, 秩序だて）
&lt;span class="spacer"&gt;&lt;/span&gt;com（共に）＋ordinatio（配置, 秩序だて）
&lt;span class="spacer"&gt;&lt;/span&gt;動詞になって
coordinare（同じ秩序に置く, 整列させる）</t>
  </si>
  <si>
    <t>1660年代
同じ階級に置く
&lt;span class="spacer"&gt;&lt;/span&gt;1847年から
互いに対して適切な位置に配置する</t>
  </si>
  <si>
    <t>head</t>
  </si>
  <si>
    <t>1200年頃
head（本や章の見出し）</t>
  </si>
  <si>
    <t>head＋line
&lt;span class="spacer"&gt;&lt;/span&gt;1670年代
本や章の見出し
元々は印刷業者の用語で、タイトルとページ番号が含まれるページ最上部の行を指した
&lt;span class="spacer"&gt;&lt;/span&gt;1890年から
新聞記事のタイトルが書かれた行</t>
  </si>
  <si>
    <t>intern</t>
  </si>
  <si>
    <t>ship</t>
  </si>
  <si>
    <t>internus（内部の）</t>
  </si>
  <si>
    <t>interne（補助医師）</t>
  </si>
  <si>
    <t>1899年
intern（研修医, 実習生）＋ship（状態, 地位）</t>
  </si>
  <si>
    <t>let</t>
  </si>
  <si>
    <t>out（外へ）＋let（許す, 放す）
&lt;span class="spacer"&gt;&lt;/span&gt;13世紀半ば
河口
あらゆるものが外に出されたり逃げたりする場所</t>
  </si>
  <si>
    <t>1620年代
はけ口
&lt;span class="spacer"&gt;&lt;/span&gt;1892年から
電源に接続するコンセント
&lt;span class="spacer"&gt;&lt;/span&gt;1899年までに
あらゆる製品の販売市場（製品を流す場）</t>
  </si>
  <si>
    <t>1933年までに
製品を処分するアウトレット店</t>
  </si>
  <si>
    <t>med</t>
  </si>
  <si>
    <t>re（強意）＋mederi（癒す）
&lt;span class="spacer"&gt;&lt;/span&gt;名詞を作る-umが付いて
remedium（治療, 薬, 健康を回復させるもの）</t>
  </si>
  <si>
    <t>12世紀
remede（治療法, 救済）</t>
  </si>
  <si>
    <t>remedie
&lt;span class="spacer"&gt;&lt;/span&gt;1200年頃
罪や悪を打ち消す手段
誘惑や悪徳から人々を切り離す治療法
&lt;span class="spacer"&gt;&lt;/span&gt;1300年頃
比喩的に、問題を解決する手段
&lt;span class="spacer"&gt;&lt;/span&gt;14世紀後期
病気の治療法
健康を回復させる薬
&lt;span class="spacer"&gt;&lt;/span&gt;15世紀半ばまでに
法的救済</t>
  </si>
  <si>
    <t>pila（玉）
&lt;span class="spacer"&gt;&lt;/span&gt;小さいことを表す-ulaが付いて
pilula（小さい玉, 丸薬）</t>
  </si>
  <si>
    <t>pile（丸薬）</t>
  </si>
  <si>
    <t>pille</t>
  </si>
  <si>
    <t>pille
&lt;span class="spacer"&gt;&lt;/span&gt;1400年頃
飲み込みやすい丸い薬</t>
  </si>
  <si>
    <t>receiveの名詞として覚える。</t>
  </si>
  <si>
    <t>re（再び, 後ろへ）＋capere（取る）
recipere（取り戻す, 自分のものにする, 受け取る）
&lt;span class="spacer"&gt;&lt;/span&gt;名詞を作る-ioが付いて
receptio（受け取ること）</t>
  </si>
  <si>
    <t>recepcion
&lt;span class="spacer"&gt;&lt;/span&gt;14世紀後期
&lt;span class="obsolete"&gt;占星術において、ふたつの惑星が互いに与える影響&lt;/span&gt;
&lt;span class="spacer"&gt;&lt;/span&gt;15世紀後期
受け取ること, 受け入れ</t>
  </si>
  <si>
    <t>1660年代
人々を迎え入れること
&lt;span class="spacer"&gt;&lt;/span&gt;1865年までに
迎えられたり挨拶を受けたりする人々のための集まり, レセプション</t>
  </si>
  <si>
    <t>1907年までに
ラジオにおけるで放送信号の受信</t>
  </si>
  <si>
    <t>trans（越えて, 通して）＋agere（動かす, 行う）
transigere（やり遂げる）</t>
  </si>
  <si>
    <t>名詞を作る-ioが付いて
transactio（合意, 取り決め, 完了）</t>
  </si>
  <si>
    <t>transaccion（交換, 取引, 合意）</t>
  </si>
  <si>
    <t>transaccion
&lt;span class="spacer"&gt;&lt;/span&gt;15世紀半ば
民法において、相互の譲歩による紛争の調整, 交渉による合意</t>
  </si>
  <si>
    <t>1640年代
完了または解決した取引</t>
  </si>
  <si>
    <t>mutat</t>
  </si>
  <si>
    <t>*mei-（変化する, 移動する）
&lt;span class="spacer"&gt;&lt;/span&gt;&lt;span class="obsolete"&gt;この印欧祖語からはcommute（通勤・通学する）やcommunicate（意思疎通する）も生まれている&lt;/span&gt;</t>
  </si>
  <si>
    <t>mutare（変える）
&lt;span class="spacer"&gt;&lt;/span&gt;名詞を作る-ioが付いて
mutatio（変化, 変動）</t>
  </si>
  <si>
    <t>13世紀
mutacion</t>
  </si>
  <si>
    <t>mutacioun
&lt;span class="spacer"&gt;&lt;/span&gt;14世紀後期
変化する行為, 変化の過程</t>
  </si>
  <si>
    <t>1894年から
遺伝学において、DNAの突然変異</t>
  </si>
  <si>
    <t>dæge（パンをこねる人, 女中, 家政婦）</t>
  </si>
  <si>
    <t>1300年頃
daie（酪農場の女中, 牛の搾乳を行う人）＋erie（場所を示す）
daerie（バターやチーズなどの乳製品を作る建物, 酪農場）</t>
  </si>
  <si>
    <t>1670年代
牛乳・バター・チーズの生産に関わる農業分野
乳製品を売る店</t>
  </si>
  <si>
    <t>pati（苦しむ, 耐える）</t>
  </si>
  <si>
    <t>com（共に）＋pati（苦しむ, 耐える）
compati（共に苦しむ, 哀れみを感じる）
&lt;span class="spacer"&gt;&lt;/span&gt;名詞を作る-ioが付いて
compassio（共感, 同情）
&lt;span class="spacer"&gt;&lt;/span&gt;compassioは、ギリシャ語sympatheia（sympathyの語源）をキリスト教的に直訳したもの</t>
  </si>
  <si>
    <t>12世紀
compassion（同情, 哀れみ）</t>
  </si>
  <si>
    <t>compassioun
&lt;span class="spacer"&gt;&lt;/span&gt;14世紀半ば
苦しんでいる者や不幸に見舞われている者に対する、悲しみや深い慈しみの感情</t>
  </si>
  <si>
    <t>position（ポジション）と関連させて覚える。</t>
  </si>
  <si>
    <t>ponere（置く）
&lt;span class="spacer"&gt;&lt;/span&gt;過去分詞positus
&lt;span class="spacer"&gt;&lt;/span&gt;名詞を作る-uraが付いて
positura（位置, 配置）</t>
  </si>
  <si>
    <t>postura（位置, 姿勢）</t>
  </si>
  <si>
    <t>16世紀
posture</t>
  </si>
  <si>
    <t>1600年頃
位置, 配置, 身体のポーズ
&lt;span class="spacer"&gt;&lt;/span&gt;1640年代
状況に関連した態度, 心構え</t>
  </si>
  <si>
    <t>curs（災いが降りかかるよう祈ること, 呪い）</t>
  </si>
  <si>
    <t>14世紀初頭
誰かに呼び起こされた災い</t>
  </si>
  <si>
    <t>funer</t>
  </si>
  <si>
    <t>funus（葬儀, 葬式, 葬列）</t>
  </si>
  <si>
    <t>形容詞を作る-alisが付いて
funeralis（葬儀に関する）</t>
  </si>
  <si>
    <t>funeralia（葬式）</t>
  </si>
  <si>
    <t>14世紀後期
死体の埋葬に関する</t>
  </si>
  <si>
    <t>1510年代
死者を埋葬する儀式, 葬式
（おそらくfuneral serviceなどの短縮形）</t>
  </si>
  <si>
    <t>censere（評価する）
&lt;span class="spacer"&gt;&lt;/span&gt;過去分詞census（全ローマ市民の名前の登録および資産評価）</t>
  </si>
  <si>
    <t>1610年代
古代ローマにおける市民と財産の登録
&lt;span class="spacer"&gt;&lt;/span&gt;1790年、アメリカ
国または州の住民の公式な数え上げ</t>
  </si>
  <si>
    <t>cyclo</t>
  </si>
  <si>
    <t>pedia</t>
  </si>
  <si>
    <t>1530年代
教育の一般的な課程, 学問の体系
&lt;span class="spacer"&gt;&lt;/span&gt;1640年代
知識をまとめた書物
百科事典</t>
  </si>
  <si>
    <t>cere</t>
  </si>
  <si>
    <t>Ceres（ローマ神話の農業や穀物の女神ケレス）
&lt;span class="spacer"&gt;&lt;/span&gt;形容詞を作る-alisが付いて
Cerealis（ケレスの, 穀物の）</t>
  </si>
  <si>
    <t>céréale
&lt;span class="spacer"&gt;&lt;/span&gt;16世紀
ケレスの
&lt;span class="spacer"&gt;&lt;/span&gt;18世紀
穀物の</t>
  </si>
  <si>
    <t>frag</t>
  </si>
  <si>
    <t>frag部分はbreakと関係する。</t>
  </si>
  <si>
    <t>frangere（壊す）
&lt;span class="spacer"&gt;&lt;/span&gt;名詞を作る-mentumが付いて
fragmentum（壊れて離れた一部分, 断片）</t>
  </si>
  <si>
    <t>15世紀初頭
小さな断片あるいは部分</t>
  </si>
  <si>
    <t>pacche
&lt;span class="spacer"&gt;&lt;/span&gt;14世紀後期
別の素材を修繕するために用いられる布の一片</t>
  </si>
  <si>
    <t>1570年代
地面のひとつの区域, 特に畑
&lt;span class="spacer"&gt;&lt;/span&gt;1590年代
周囲のものとは表面が異なる部分
顔の貼り薬</t>
  </si>
  <si>
    <t>rubb</t>
  </si>
  <si>
    <t>robous
&lt;span class="spacer"&gt;&lt;/span&gt;1400年頃
廃材, 壊れた材料, 特に建物の解体で出る瓦礫
&lt;span class="spacer"&gt;&lt;/span&gt;15世紀初頭
スペルに-ishが付く</t>
  </si>
  <si>
    <t>1600年頃
価値のないもの, くだらないもの</t>
  </si>
  <si>
    <t>*mæs（混乱, 当惑：amazeに含まれる）</t>
  </si>
  <si>
    <t>1300年頃
錯乱, 困惑, 思考の混乱
&lt;span class="spacer"&gt;&lt;/span&gt;14世紀後期
迷宮, 困惑させる入り組んだ道や通路</t>
  </si>
  <si>
    <t>out（外へ）＋look（見る）
&lt;span class="spacer"&gt;&lt;/span&gt;1660年代
外を見渡す場所, 見張りのための場所
&lt;span class="spacer"&gt;&lt;/span&gt;1742年
心の中での見通し
精神的な見方
&lt;span class="spacer"&gt;&lt;/span&gt;1851年
将来の見通し</t>
  </si>
  <si>
    <t>through</t>
  </si>
  <si>
    <t>break（壊す）＋through（通って）
&lt;span class="spacer"&gt;&lt;/span&gt;1400年頃、動詞句で
障壁を克服する, 障壁を突き破る</t>
  </si>
  <si>
    <t>1918年
軍事において、重大な進展, 突然の進展
&lt;span class="spacer"&gt;&lt;/span&gt;1930年代
突然の解決, 急激な進歩, 画期的な発見</t>
  </si>
  <si>
    <t>triumphus（勝利, 成功, 勝利した将軍の祝賀行進）</t>
  </si>
  <si>
    <t>12世紀
triumphe</t>
  </si>
  <si>
    <t>triumphe
&lt;span class="spacer"&gt;&lt;/span&gt;14世紀後期
戦いの勝利, 成功, 偉業, 精神的勝利</t>
  </si>
  <si>
    <t>ad（〜へ）＋ligare（結ぶ, 縛る）
alligare（〜に結びつける, 〜に結合させる）</t>
    <phoneticPr fontId="1"/>
  </si>
  <si>
    <t>alier（結合する, 結びつける）</t>
  </si>
  <si>
    <t>allien
&lt;span class="spacer"&gt;&lt;/span&gt;13世紀後期
結婚によって結びつける
&lt;span class="spacer"&gt;&lt;/span&gt;14世紀後期
同盟を結ぶ
&lt;span class="spacer"&gt;&lt;/span&gt;名詞になって
&lt;span class="obsolete"&gt;親族, 親戚（現在は廃用）&lt;/span&gt;
&lt;span class="spacer"&gt;&lt;/span&gt;15世紀半ば
条約や同盟で結ばれたもの</t>
    <phoneticPr fontId="1"/>
  </si>
  <si>
    <t>spectat</t>
  </si>
  <si>
    <t>specere（見る）
&lt;span class="spacer"&gt;&lt;/span&gt;反復形spectare（繰り返し見る, 観察する）
&lt;span class="spacer"&gt;&lt;/span&gt;名詞を作る-or（〜する人）が付いて
spectator（見る人, 観客）</t>
  </si>
  <si>
    <t>1580年代
見物人, 観客</t>
  </si>
  <si>
    <t>sphaira（球体）</t>
  </si>
  <si>
    <t>sphaera（球体）</t>
  </si>
  <si>
    <t>13世紀
espere</t>
  </si>
  <si>
    <t>espiere</t>
  </si>
  <si>
    <t>1300年頃
spere（世界を取り囲む空洞の球体, 天球＝当時考えられていた宇宙）
&lt;span class="spacer"&gt;&lt;/span&gt;14世紀後期
一般的な球体
&lt;span class="spacer"&gt;&lt;/span&gt;15世紀半ば
スペルがラテン語風になる</t>
  </si>
  <si>
    <t>1600年頃
活動や知識の領域</t>
  </si>
  <si>
    <t>comes（伯爵）</t>
  </si>
  <si>
    <t>comitatus（伯爵の管轄区域）</t>
  </si>
  <si>
    <t>counte</t>
  </si>
  <si>
    <t>14世紀半ば
国を構成する行政区
州（イギリス）</t>
  </si>
  <si>
    <t>1848年までに
郡（アメリカ）</t>
  </si>
  <si>
    <t>halh</t>
  </si>
  <si>
    <t>behalve
&lt;span class="spacer"&gt;&lt;/span&gt;1300年頃
〜の利益のために
〜のために
〜の立場で</t>
  </si>
  <si>
    <t>vallus（杭）
vallum（杭の柵, 防壁）</t>
  </si>
  <si>
    <t>inter（〜の間に）＋vallum（杭柵, 城壁）
intervallum（杭柵や城壁の間の空間. 時間の間隔）</t>
    <phoneticPr fontId="1"/>
  </si>
  <si>
    <t>14世紀
intervalle（間隔, 合間）</t>
  </si>
  <si>
    <t>14世紀初頭
2つの行為や出来事の間に経過した時間
&lt;span class="spacer"&gt;&lt;/span&gt;1400年頃
時間の空白, 休止, 中断</t>
  </si>
  <si>
    <t>circ</t>
  </si>
  <si>
    <t>ulat</t>
  </si>
  <si>
    <t>circus（円, 輪）
&lt;span class="spacer"&gt;&lt;/span&gt;小さいことを表す-ulusが付いて
circulus（小さな輪）
&lt;span class="spacer"&gt;&lt;/span&gt;動詞になって
circulare（円を作る）
&lt;span class="spacer"&gt;&lt;/span&gt;名詞を作る-ioが付いて
circulatio（循環, 回転）</t>
  </si>
  <si>
    <t>circulacioun
&lt;span class="spacer"&gt;&lt;/span&gt;15世紀半ば
錬金術で、ある元素を別の元素へ変化させる過程</t>
  </si>
  <si>
    <t>1620年代
血液の循環
&lt;span class="spacer"&gt;&lt;/span&gt;1680年代
分配、流通している状態
&lt;span class="spacer"&gt;&lt;/span&gt;1847年
新聞や雑誌などの発行部数</t>
  </si>
  <si>
    <t>blæd（葉, 船のオールなどの葉のような部分）</t>
  </si>
  <si>
    <t>1300年頃
肩甲骨の平たい骨
&lt;span class="spacer"&gt;&lt;/span&gt;14世紀初頭
ナイフや剣の刃</t>
  </si>
  <si>
    <t>thef</t>
  </si>
  <si>
    <t>þeofð（窃盗）</t>
  </si>
  <si>
    <t>13世紀初頭
不正な手段によって他人の金銭や財産を取得または保持すること
&lt;span class="spacer"&gt;&lt;/span&gt;13世紀半ば
常習的な窃盗行為</t>
  </si>
  <si>
    <t>vacation（空いている日, 休暇）, evacuate（避難する）, vain（虚しい）, vanish（消える）などと関連させて覚える。</t>
  </si>
  <si>
    <t>vacuus（空の, 占有されていない）
&lt;span class="spacer"&gt;&lt;/span&gt;名詞になって
vacuum（空いている場所, 空虚な空間）</t>
  </si>
  <si>
    <t>1540年代
空虚な空間, 物質を含まない空間
&lt;span class="spacer"&gt;&lt;/span&gt;1650年代
空気を抜いた空間</t>
  </si>
  <si>
    <t>1474</t>
  </si>
  <si>
    <t>lis</t>
  </si>
  <si>
    <t>com（共に）＋laedere（打つ）
collidere（共に打ち当てる）</t>
  </si>
  <si>
    <t>collidereに名詞を作る-ioが付いて
collisio（激しくぶつかり合う）</t>
  </si>
  <si>
    <t>15世紀初頭
共に叩くこと, 激しくぶつかり合うこと</t>
  </si>
  <si>
    <t>bargaignier（値段について交渉する）
&lt;span class="spacer"&gt;&lt;/span&gt;名詞になって
bargaine（商取引, 取引契約）</t>
  </si>
  <si>
    <t>14世紀半ば
ビジネス取引, 交渉によって獲得されたもの</t>
  </si>
  <si>
    <t>1899年から
特別セールの価格がついた品物, お買い得品</t>
  </si>
  <si>
    <t>land（土地）＋mearc（目印）
landmearc（王国や領地などの境界を示すために置かれた物体）</t>
  </si>
  <si>
    <t>londes mark（境界, 領域の目印）</t>
  </si>
  <si>
    <t>1560年代までに
旅行者の道しるべとなる目立つ物
&lt;span class="spacer"&gt;&lt;/span&gt;1859年までに
比喩的に、歴史における象徴的な出来事</t>
  </si>
  <si>
    <t>venue</t>
  </si>
  <si>
    <t>re（後ろへ, 戻って）＋venire（来る）
revenire（戻ってくる）</t>
    <rPh sb="8" eb="9">
      <t>モド</t>
    </rPh>
    <phoneticPr fontId="1"/>
  </si>
  <si>
    <t>10世紀
revenir（戻ってくる）
&lt;span class="spacer"&gt;&lt;/span&gt;名詞になって
revenue（戻り, 返り）</t>
  </si>
  <si>
    <t>15世紀初頭
財産や所有物からの収入</t>
  </si>
  <si>
    <t>1680年代
政府や国家の年間収入</t>
  </si>
  <si>
    <t>traitié（議論, 取引, 合意）</t>
  </si>
  <si>
    <t>treté</t>
  </si>
  <si>
    <t>trēte
&lt;span class="spacer"&gt;&lt;/span&gt;14世紀後期
議論, 交渉, 合意
&lt;span class="spacer"&gt;&lt;/span&gt;15世紀初頭
国家間の正式に批准された条約や協定</t>
  </si>
  <si>
    <t>supre</t>
  </si>
  <si>
    <t>super（上に）
&lt;span class="spacer"&gt;&lt;/span&gt;形容詞を作る-usが付いて
superus（上の, 上にある）
&lt;span class="spacer"&gt;&lt;/span&gt;最上級になって
supremus（最高の）</t>
  </si>
  <si>
    <t>15世紀
suprême</t>
  </si>
  <si>
    <t>1520年代
最高の, 権威や権力において最高の
&lt;span class="spacer"&gt;&lt;/span&gt;1590年代
可能な限り最大の
&lt;span class="spacer"&gt;&lt;/span&gt;1689年から
Supreme Court（最高裁判所）</t>
  </si>
  <si>
    <t>þurh / þurg / þuruh / þorh / þorch / þerh（通り抜けて：throughの語源）</t>
  </si>
  <si>
    <t>nacod（裸の）</t>
  </si>
  <si>
    <t>1200年頃
剥き出しの, 隠されていない</t>
  </si>
  <si>
    <t>naked eye（裸眼）</t>
  </si>
  <si>
    <t>sincerus（純粋な, 傷のない, 混じり気のない, 率直な, 正直な）</t>
  </si>
  <si>
    <t>16世紀
sincere</t>
  </si>
  <si>
    <t>1530年代
純粋な, 混じり気のない, 不純物のない, 偽善や虚偽のない</t>
  </si>
  <si>
    <t>tam（飼い慣らされた）</t>
  </si>
  <si>
    <t>1200年頃
人について、服従した状態にある, 行動が抑制された
&lt;span class="spacer"&gt;&lt;/span&gt;13世紀半ば
動物について、飼い慣らされた</t>
  </si>
  <si>
    <t>1600年頃
退屈な, 刺激のない</t>
  </si>
  <si>
    <t>in（否定）＋sufficientem（十分な）
insufficientem（十分ではない）</t>
  </si>
  <si>
    <t>14世紀
insufficient（十分ではない）</t>
  </si>
  <si>
    <t>14世紀後期
人について、不十分な, 能力が足りない
&lt;span class="spacer"&gt;&lt;/span&gt;15世紀後期
物について、必要とされるものが欠けている, 不十分な</t>
  </si>
  <si>
    <t>dimm（暗い, 薄暗い, 不明瞭な）</t>
  </si>
  <si>
    <t>13世紀初頭
目について、はっきりと見えない
&lt;span class="spacer"&gt;&lt;/span&gt;14世紀初頭
音について、かすかな
光について、かすかに光</t>
  </si>
  <si>
    <t>acuere（鋭くする）
&lt;span class="spacer"&gt;&lt;/span&gt;過去分詞actus（鋭い, 尖った）</t>
  </si>
  <si>
    <t>14世紀後期
病気について、急速に危機的状況に至る（対義語：chronic慢性の）</t>
  </si>
  <si>
    <t>1560年代
鋭い, 先端で終わる
&lt;span class="spacer"&gt;&lt;/span&gt;1580年代
知性が鋭い, 洞察力のある
&lt;span class="spacer"&gt;&lt;/span&gt;1727年から
痛みや感情などが激しい</t>
  </si>
  <si>
    <t>metro</t>
  </si>
  <si>
    <t>meter（母）＋polis（都市）
metropolis（母都市, 中心都市, 首都）</t>
  </si>
  <si>
    <t>metropolitanus（中心都市に属する）</t>
  </si>
  <si>
    <t>15世紀初頭
教会の都に属する, 大司教座の都市に属する</t>
  </si>
  <si>
    <t>1550年代
主要都市の, 首都の
&lt;span class="spacer"&gt;&lt;/span&gt;1867年から
地下の都市鉄道（メトロ）</t>
  </si>
  <si>
    <t>moneta</t>
  </si>
  <si>
    <t>moneyと関連させて覚える。</t>
  </si>
  <si>
    <t>moneta（造幣所, 貨幣, 鋳造された硬貨）</t>
  </si>
  <si>
    <t>形容詞を作る-ariusが付いて
monetarius（金銭に関する）</t>
  </si>
  <si>
    <t>1802年
硬貨や通貨に関する
&lt;span class="spacer"&gt;&lt;/span&gt;1860年
金銭に関する</t>
  </si>
  <si>
    <t>*al-（〜の向こうに）＋比較級-tero
*al-tero-（2つのうちの他の方）
&lt;span class="spacer"&gt;&lt;/span&gt;&lt;span class="obsolete"&gt;この印欧祖語からはother（他の）も生まれている&lt;/span&gt;</t>
  </si>
  <si>
    <t>alter（もう一方の）
&lt;span class="spacer"&gt;&lt;/span&gt;形容詞を作る-nusが付いて
alternus（次から次へと, 交互の）
&lt;span class="spacer"&gt;&lt;/span&gt;動詞になって
alternare（交互に行う）
&lt;span class="spacer"&gt;&lt;/span&gt;過去分詞alternatus（交互の）</t>
  </si>
  <si>
    <t>1510年代
交互に続く, 相互の</t>
  </si>
  <si>
    <t>15世紀初頭
生み出す</t>
    <rPh sb="2" eb="4">
      <t>セイキ</t>
    </rPh>
    <rPh sb="4" eb="6">
      <t>ショトウ</t>
    </rPh>
    <rPh sb="7" eb="8">
      <t>ウ</t>
    </rPh>
    <rPh sb="9" eb="10">
      <t>ダ</t>
    </rPh>
    <phoneticPr fontId="1"/>
  </si>
  <si>
    <t>pars（部分：partの語源）</t>
  </si>
  <si>
    <t>中英ラテン語</t>
  </si>
  <si>
    <t>parsに形容詞を作る-alisが付いて
partialis（分割できる, 部分的な）</t>
  </si>
  <si>
    <t>14世紀
parcial</t>
  </si>
  <si>
    <t>14世紀後期
全体的ではない, 不完全な
&lt;span class="spacer"&gt;&lt;/span&gt;15世紀初頭
一方に偏った</t>
  </si>
  <si>
    <t>1640年代
一部分にのみ影響を及ぼし、普遍的または一般的ではない</t>
  </si>
  <si>
    <t>dev</t>
  </si>
  <si>
    <t>12世紀
divin</t>
  </si>
  <si>
    <t>14世紀後期
神に関する, 神の性質を持つ, 神から発せられた</t>
  </si>
  <si>
    <t>drast</t>
  </si>
  <si>
    <t>1690年代
薬品について、強力な
&lt;span class="spacer"&gt;&lt;/span&gt;1808年までに
極端な, 過酷な</t>
  </si>
  <si>
    <t>ferus（野生の, 耕されていない, 野蛮な）</t>
  </si>
  <si>
    <t>fiers（激しい, 猛烈な, 野生の）</t>
  </si>
  <si>
    <t>13世紀半ば
&lt;span class="obsolete"&gt;誇り高い, 大胆な, 傲慢な（現在は廃用）&lt;/span&gt;
&lt;span class="spacer"&gt;&lt;/span&gt;1300年頃から
人について、凶暴な, 野生の, 野蛮な
&lt;span class="spacer"&gt;&lt;/span&gt;14世紀後期
動物について、凶暴な, 野生の</t>
  </si>
  <si>
    <t>solus（単独の, 唯一の）</t>
  </si>
  <si>
    <t>soul（唯一の, 単独の）</t>
  </si>
  <si>
    <t>14世紀後期
単一の, 単独の</t>
  </si>
  <si>
    <t>spont</t>
  </si>
  <si>
    <t>aneous</t>
  </si>
  <si>
    <t>*spons（意志）
&lt;span class="spacer"&gt;&lt;/span&gt;フレーズsua sponte（自分の意志で, 自発的に）</t>
  </si>
  <si>
    <t>spontaneus（自発的に, 自らの意志で）</t>
  </si>
  <si>
    <t>1650年代
行動について、外部の刺激なしに起こる
&lt;span class="spacer"&gt;&lt;/span&gt;1732年までに
人について、自発的かつ自然に行動する</t>
  </si>
  <si>
    <t>spati</t>
  </si>
  <si>
    <t>spatium（空間, 広がり）</t>
  </si>
  <si>
    <t>1838年から
spaceに形容詞を作る-alが付いてspacial
&lt;span class="spacer"&gt;&lt;/span&gt;1840年
空間を占める
&lt;span class="spacer"&gt;&lt;/span&gt;1857年から
空間の</t>
  </si>
  <si>
    <t>nitere（輝く）
&lt;span class="spacer"&gt;&lt;/span&gt;形容詞を作る-idusが付いて
nitidus（輝いている, 上品な, 整った）</t>
  </si>
  <si>
    <t>12世紀
net（清らかな, 純粋な）</t>
  </si>
  <si>
    <t>neit</t>
  </si>
  <si>
    <t>1540年代
清潔な, 汚れのない
&lt;span class="spacer"&gt;&lt;/span&gt;1570年代から
形のよい, 均衡の取れた, 整頓を好む, きちんとしている
&lt;span class="spacer"&gt;&lt;/span&gt;1590年代
秩序正しい状態にある</t>
  </si>
  <si>
    <t>tid</t>
  </si>
  <si>
    <t>tīd（時間, 時期, 季節）</t>
  </si>
  <si>
    <t>tidiに形容詞を作る-yが付いて
&lt;span class="spacer"&gt;&lt;/span&gt;13世紀半ば
良好な状態の, 健康な
（これはおそらく時期にあった, 適切なという意味からの発展）</t>
  </si>
  <si>
    <t>1706年から
人について、きちんと整頓された習慣を持つ</t>
  </si>
  <si>
    <t>loy</t>
  </si>
  <si>
    <t>lex（法）
&lt;span class="spacer"&gt;&lt;/span&gt;形容詞を作る-alisが付いて
legalis / legalem（法律に関する）</t>
  </si>
  <si>
    <t>loial（法を遵守する, 忠実な）</t>
  </si>
  <si>
    <t>1530年代
政府や君主に対して忠実な
&lt;span class="spacer"&gt;&lt;/span&gt;1600年頃から
一般的な意味で、忠実な</t>
  </si>
  <si>
    <t>creare（作る, 育てる, 生産する, 引き起こす）
&lt;span class="spacer"&gt;&lt;/span&gt;過去分詞creatus</t>
  </si>
  <si>
    <t>mean to do（〜することを意図する）という表現を覚えておく。</t>
  </si>
  <si>
    <t>consider「星を観察してものごとをよく考える」というイメージ。</t>
  </si>
  <si>
    <t>decideは「決心や決断によって頭や心から考え事を切り離す」というイメージ。</t>
  </si>
  <si>
    <t>ob（～に対して）+ferre（運ぶ）
offerre（差し出す, 与える, 前に持ってくる）</t>
  </si>
  <si>
    <t>requireはrequest（リクエスト）と同じ語源にさかのぼる語なので関連させて覚える。</t>
  </si>
  <si>
    <t>日本語でも使われるシェアする（共有する）やシェアハウスと関連させて覚える。</t>
  </si>
  <si>
    <t>tend（伸ばす）系はまとめて覚える。</t>
  </si>
  <si>
    <t>bearは「何かを抱えこむ」というイメージ。
bearの過去分詞はborn（子を抱えこんで生まれる）。</t>
  </si>
  <si>
    <t>1520年代
カードゲームでカードを配る</t>
  </si>
  <si>
    <t>1942年
deal (someone) in（事業などに参加させる）</t>
  </si>
  <si>
    <t>動詞化するize系はまとめて覚える。</t>
  </si>
  <si>
    <t>動詞化するen系はまとめて覚える。</t>
  </si>
  <si>
    <t>計測する道具であるメジャーと関連させて覚える。</t>
  </si>
  <si>
    <t>日本語でも使われるマーク（印）と関連させて覚える。</t>
  </si>
  <si>
    <t>challengeは「相手とは違う意見をぶつける」というイメージ。スポーツのチャレンジ（審判の判定に異議を唱える）はまさにこれを表している。</t>
  </si>
  <si>
    <t>pend（ぶら下がる）系はまとめて覚える。
pend部分は、首にぶら下がるペンダントの語源でもある。</t>
  </si>
  <si>
    <t>15世紀半ば
吊り下がっている
&lt;span class="spacer"&gt;&lt;/span&gt;
1500年頃から
頼る
&lt;span class="spacer"&gt;&lt;/span&gt;
1540年代から
依存している</t>
  </si>
  <si>
    <t>objecten
&lt;span class="spacer"&gt;&lt;/span&gt;1400年頃
反対する</t>
  </si>
  <si>
    <t>mand（命じる, 委ねる）系はまとめて覚える。</t>
  </si>
  <si>
    <t>ラテン語fundus（底, 基礎）系はまとめて覚える。</t>
  </si>
  <si>
    <t>日本語でも使われるコンプリート（完成させる）と同じ。
ラテン語plare（満たす）系はまとめて覚える。</t>
  </si>
  <si>
    <t>中学英語で習うbe interested inから「興味」という意味が思い浮かぶが、そもそもは「自分に関わる利害や利子」という意味だった。</t>
  </si>
  <si>
    <t>ラテン語circus（円）系はまとめて覚える。</t>
  </si>
  <si>
    <t>1530年代
recerche（調査）</t>
  </si>
  <si>
    <t>1570年代
特定の人や物を注意深く探すこと
&lt;span class="spacer"&gt;&lt;/span&gt;1630年代
科学的な研究, 調査
&lt;span class="spacer"&gt;&lt;/span&gt;1690年代
一般的な事物に関する調査</t>
  </si>
  <si>
    <t>becauseと関連させて覚える。原因・理由を述べるときに使うbecauseは、by cause（原因によって）が1語になったもの。</t>
  </si>
  <si>
    <t>1200年頃
決定理由, 根拠
&lt;span class="spacer"&gt;&lt;/span&gt;14世紀半ば
結果に対する原因
&lt;span class="spacer"&gt;&lt;/span&gt;14世紀後期
何かが起こる理由
行為を正当化する大義
&lt;span class="spacer"&gt;&lt;/span&gt;bi cause（＝by cause：原因によって）
これが1語になったものがbecause</t>
  </si>
  <si>
    <t>reas</t>
  </si>
  <si>
    <t>raison（思考, 経過）</t>
  </si>
  <si>
    <t>日本語でも使われるインフルエンサー（influencer, 影響力を持つ人）と関連させて覚える。</t>
  </si>
  <si>
    <t>14世紀後期
占星術用語で、星々から流れ出る力で人間の性格や運命に作用する力</t>
  </si>
  <si>
    <t>situat</t>
  </si>
  <si>
    <t>日本語でも使われるシチュエーション（状況, 立場）と同じ。</t>
  </si>
  <si>
    <t>situacioun
&lt;span class="spacer"&gt;&lt;/span&gt;15世紀初頭
位置, 場所</t>
  </si>
  <si>
    <t>1600年頃
environ+ment（名詞化）
取り囲まれている状態
&lt;span class="spacer"&gt;&lt;/span&gt;1827年までに
人や物が存在する条件の集合
&lt;span class="spacer"&gt;&lt;/span&gt;1956年
生きていく環境</t>
  </si>
  <si>
    <t>日本語でも使われるクリエイター（creator, 作り手）と関連させて覚える。</t>
    <phoneticPr fontId="1"/>
  </si>
  <si>
    <t>increaseは「中が膨らんで成長する＝大きくなる＝増える」というイメージ。</t>
  </si>
  <si>
    <t>improveは「プラスにする」というイメージ。</t>
  </si>
  <si>
    <t>日本語でも使われるオーナー（所有者, owner）と関連させて覚える。ownerからer（〜する人, 〜するもの）を消せば動詞own「所有する」となる。</t>
    <phoneticPr fontId="1"/>
  </si>
  <si>
    <t>ネット検索で文字を入力すると出る関連ワード、ショッピングサイトやSNSで出るおすすめ。これらはsuggestion（サジェスション, 提案, 示唆）と呼ばれる。suggestionはsuggest（提案する, 示唆する）の名詞。</t>
  </si>
  <si>
    <t>日本語でも使われるプロダクト（生産されたもの, 製品, product）やプロデューサー（生産者, producer）と関連させて覚える。</t>
    <rPh sb="24" eb="26">
      <t>セイヒン</t>
    </rPh>
    <phoneticPr fontId="1"/>
  </si>
  <si>
    <t>日本語でも使われるオファーする（相手に申し出る, 提供する）と関連させて覚える。</t>
  </si>
  <si>
    <t>storeは「店」という名詞が思い浮かぶが、店という意味は「保管する, 蓄える」場所という意味から発展した。</t>
    <phoneticPr fontId="1"/>
  </si>
  <si>
    <t>concernは「一緒にふるいにかけられて残る＝関係する」というイメージ。</t>
    <rPh sb="21" eb="22">
      <t>ノコ</t>
    </rPh>
    <rPh sb="24" eb="26">
      <t>カンケイ</t>
    </rPh>
    <phoneticPr fontId="1"/>
  </si>
  <si>
    <t>scribeやscriptは「書く」に関わる意味だと覚えておく。</t>
    <phoneticPr fontId="1"/>
  </si>
  <si>
    <t>volve部分は「巻く」という意味で、involveは「中に巻き込む＝関わらせる」というイメージ。</t>
    <phoneticPr fontId="1"/>
  </si>
  <si>
    <t>duce（導く）系はまとめて覚える。
reduceは「後ろに導く＝マイナスになる」というイメージ。</t>
  </si>
  <si>
    <t>日本語でも使われるデザインすると同じ。服のデザインや家のデザインから「設計や計画」という意味になる。
またsign（印）系の語はまとめて覚える。</t>
    <rPh sb="58" eb="59">
      <t>シルシ</t>
    </rPh>
    <phoneticPr fontId="1"/>
  </si>
  <si>
    <t>日本語のリミッターやタイムリミット(時間制限)と関連させて覚える。</t>
    <phoneticPr fontId="1"/>
  </si>
  <si>
    <t>affectはeffectと一緒に覚える。
affect：〜へ（a）行う
effect：行なって外へ（e）出たもの</t>
  </si>
  <si>
    <t>日本語でも使われるディーラー（dealer）と関連させて覚える。
トランプの手札を配るディーラー＝分配する人。
車などを販売するディーラー＝商う人。</t>
    <phoneticPr fontId="1"/>
  </si>
  <si>
    <t>avoidは「今いる場所を空にしてかわす＝避ける」というイメージ。</t>
  </si>
  <si>
    <t>compareは「共に等しいか比較する, 共に等しいものとして扱う＝たとえる」というイメージ。</t>
    <phoneticPr fontId="1"/>
  </si>
  <si>
    <t>sist（立つ）系はまとめて覚える。
exsistは「見えないところから外に立つ＝存在する」というイメージ。</t>
  </si>
  <si>
    <t>ject（投げる）系はまとめて覚える。
objectは「相手に対して投げつけて反対する」というイメージ。</t>
  </si>
  <si>
    <t>cor（心）系はまとめて覚える。
accordは「自分の心と相手の心がひとつになる＝一致」というイメージ。</t>
  </si>
  <si>
    <t>companyは「共にパン（食事）を食べる仲間」というイメージ。</t>
  </si>
  <si>
    <t>reasonは「頭で考えること＝理性, 理由」というイメージ。</t>
  </si>
  <si>
    <t>effectはaffectと一緒に覚える。
effect：行なって外へ（e）出たもの
affect：〜へ（a）行う</t>
  </si>
  <si>
    <t xml:space="preserve">environmentは「取り囲むもの＝環境」というイメージ。
</t>
    <phoneticPr fontId="1"/>
  </si>
  <si>
    <t>日本語でも使われるスキルと同じ。</t>
  </si>
  <si>
    <t>matter, material, motherはすべて同じ語源にさかのぼる。「母＝根源＝中心となるもの」というイメージ。</t>
  </si>
  <si>
    <t>mater（母, 起源, 源）
&lt;span class="spacer"&gt;&lt;/span&gt;名詞を作る-iaが付いて
materia（木の芯, 何かが作られるもととなる物質）</t>
  </si>
  <si>
    <t>1200年頃
思考・発話・表現の対象
文学作品の主題
&lt;span class="spacer"&gt;&lt;/span&gt;1300年頃
物語
&lt;span class="spacer"&gt;&lt;/span&gt;14世紀半ば
一般的な物質
&lt;span class="spacer"&gt;&lt;/span&gt;14世紀後期
特定の物体を構成する物質
事柄, 議論の問題</t>
  </si>
  <si>
    <t>日本語でも使われるオーシャンビュー（海が見える眺め）と関連させて覚える。</t>
    <rPh sb="18" eb="19">
      <t>ウミ</t>
    </rPh>
    <rPh sb="20" eb="21">
      <t>ミ</t>
    </rPh>
    <rPh sb="23" eb="24">
      <t>ナガ</t>
    </rPh>
    <phoneticPr fontId="1"/>
  </si>
  <si>
    <t>日本語でも使われるネームバリュー（名前の価値）と関連させて覚える。</t>
  </si>
  <si>
    <t>speciesは「全体の中の一部分＝生物全体の中の種」というイメージ。</t>
  </si>
  <si>
    <t>thinkから生まれた名詞として覚えればよい。</t>
  </si>
  <si>
    <t>þencan（考える）
&lt;span class="spacer"&gt;&lt;/span&gt;sþoht / geþoht（考え）
&lt;span class="spacer"&gt;&lt;/span&gt;&lt;span class="obsolete"&gt;"þ"は現代英語の"th"&lt;/span&gt;</t>
  </si>
  <si>
    <t>know（知っている）の名詞として覚えればよい。
印欧祖語*gno-（知る）系はまとめて覚える。</t>
  </si>
  <si>
    <t>日本語でも使われるメモリー（記憶, 思い出）と同じ。
memor（覚える）系はまとめて覚える。</t>
    <phoneticPr fontId="1"/>
  </si>
  <si>
    <t>practiceは「実際に行うこと＝実践」で、それを繰り返せば「練習, 慣習」になるというイメージ。</t>
    <rPh sb="26" eb="27">
      <t>ク</t>
    </rPh>
    <rPh sb="28" eb="29">
      <t>カエ</t>
    </rPh>
    <phoneticPr fontId="1"/>
  </si>
  <si>
    <t>bene部分は「良く」を意味する「プラスのイメージ」で、フランス語bonjour（＝good morning）のbonや英語bonus（ボーナス, よい物）と関連する。</t>
    <phoneticPr fontId="1"/>
  </si>
  <si>
    <t>日本語でも使われるセオリー（理論）と同じ。</t>
  </si>
  <si>
    <t>issueは「表に出てきたもの」というイメージ。</t>
    <phoneticPr fontId="1"/>
  </si>
  <si>
    <t>experimentは「試してみて結果を外に出すこと」というイメージ。</t>
  </si>
  <si>
    <t>articleは「全体を小さく分けたパーツ」というイメージ。</t>
  </si>
  <si>
    <t>artus（関節）
&lt;span class="spacer"&gt;&lt;/span&gt;小さいことを表す-culusが付いて
articulus（部分, 関節）</t>
  </si>
  <si>
    <t>focusは「集中させる一箇所の点」というイメージ。
日本語でもカメラのフォーカス（焦点）や何かにフォーカスを当てるという使い方をする。</t>
    <phoneticPr fontId="1"/>
  </si>
  <si>
    <t>ject（投げる）系はまとめて覚える。
subjectは「下に投げられたもの」というイメージ。</t>
  </si>
  <si>
    <t>12世紀
subget（従属する人や物）</t>
  </si>
  <si>
    <t>subget
&lt;span class="spacer"&gt;&lt;/span&gt;14世紀初期
他者の支配や統治下にある人</t>
  </si>
  <si>
    <t>ject（投げる）系はまとめて覚える。
projectは「時間的に前方（未来）に投げられたもの」というイメージ。</t>
    <rPh sb="36" eb="38">
      <t>ミライ</t>
    </rPh>
    <phoneticPr fontId="1"/>
  </si>
  <si>
    <t>日本語のクオリティと同じ。
quantity（量）とセットで覚える。</t>
  </si>
  <si>
    <t>rota（車輪）
&lt;span class="spacer"&gt;&lt;/span&gt;小さなこと表す-ulaが付いて
rotula（小さな車輪）</t>
  </si>
  <si>
    <t>termは「範囲が定められているもの」というイメージ。</t>
  </si>
  <si>
    <t>statementは「述べる（state）こと（ment）」と覚える。</t>
  </si>
  <si>
    <t>material, matter, motherはすべて同じ語源にさかのぼる。「母＝根源＝中心となるもの」というイメージ。</t>
  </si>
  <si>
    <t>evidenceは「はっきり見えるもの」というイメージ。</t>
  </si>
  <si>
    <t>source</t>
  </si>
  <si>
    <t>日本語でも使われる情報のソース（源）と関連させて覚える。</t>
  </si>
  <si>
    <t>日本語でも使われるコミュニティ＝「人の集まり」として覚えればよい。</t>
    <phoneticPr fontId="1"/>
  </si>
  <si>
    <t>com（共に）+munis（義務）
communis（義務を共有する, 共通の）
&lt;span class="spacer"&gt;&lt;/span&gt;名詞を作る-tasが付いて
communitas（社交的な関係, 共同体）</t>
  </si>
  <si>
    <t>日本語のテクノロジーと同じ。</t>
  </si>
  <si>
    <t>cultureは「畑を耕して土壌を育てるように時間をかけて作られていくもの」というイメージ。</t>
  </si>
  <si>
    <t>ge（共に）lic（体, 形）
gelic（対応する体を持つ, 同じ形を持つ, 似ている）
&lt;span class="spacer"&gt;&lt;/span&gt;形容詞を作る-licが付いて
geliclic（似ている, 同様の）</t>
    <rPh sb="3" eb="4">
      <t>トモ</t>
    </rPh>
    <rPh sb="10" eb="11">
      <t>カラダ</t>
    </rPh>
    <rPh sb="13" eb="14">
      <t>カタチ</t>
    </rPh>
    <rPh sb="74" eb="77">
      <t>ケイヨウシ</t>
    </rPh>
    <rPh sb="104" eb="106">
      <t>ドウヨウ</t>
    </rPh>
    <phoneticPr fontId="1"/>
  </si>
  <si>
    <t>1520年代
考えや提案を他人の前に置く
提案する
&lt;span class="spacer"&gt;&lt;/span&gt;&lt;span class="obsolete"&gt;1600年頃&lt;/span&gt;
&lt;span class="obsolete"&gt;名詞suggestionでは、あるアイデアが別のアイデアを連想させること、という意味で使われる&lt;/span&gt;
&lt;span class="spacer"&gt;&lt;/span&gt;1709年から
示唆する</t>
    <rPh sb="81" eb="83">
      <t>ネンコロ</t>
    </rPh>
    <rPh sb="114" eb="116">
      <t>メイシ</t>
    </rPh>
    <rPh sb="136" eb="137">
      <t>ベツ</t>
    </rPh>
    <rPh sb="143" eb="145">
      <t>レンソウ</t>
    </rPh>
    <rPh sb="154" eb="156">
      <t>イミ</t>
    </rPh>
    <rPh sb="157" eb="158">
      <t>ツカ</t>
    </rPh>
    <rPh sb="205" eb="207">
      <t>シサ</t>
    </rPh>
    <phoneticPr fontId="1"/>
  </si>
  <si>
    <t>memor</t>
  </si>
  <si>
    <t>roleは「巻物に書かれた演劇の役」というイメージ。スペルは異なるがroll（巻く, ロールする）と同じ語源にさかのぼる。
&lt;span class="spacer"&gt;&lt;/span&gt;RPG（ロール・プレイング・ゲーム）は、プレイヤーが操作キャラクターの役割を演じるゲームのこと。</t>
    <rPh sb="116" eb="118">
      <t>ソウサ</t>
    </rPh>
    <rPh sb="125" eb="127">
      <t>ヤクワリ</t>
    </rPh>
    <rPh sb="128" eb="129">
      <t>エン</t>
    </rPh>
    <phoneticPr fontId="1"/>
  </si>
  <si>
    <t>appropriateは
pro＝for（～のために）
pri＝private（自分の）
からできていると考えればよい。自分のために＝自分専用だから自分にとって「適切な, ふさわしい」というイメージ。
&lt;span class="spacer"&gt;&lt;/span&gt;ただしこの「自分にとって」というのはあくまで語源の話であり、現代英語appropriate自体には「自分にとって」という意味は残っていない。</t>
    <rPh sb="40" eb="42">
      <t>ジブン</t>
    </rPh>
    <rPh sb="53" eb="54">
      <t>カンガ</t>
    </rPh>
    <rPh sb="60" eb="62">
      <t>ジブン</t>
    </rPh>
    <rPh sb="67" eb="71">
      <t>ジブンセンヨウ</t>
    </rPh>
    <rPh sb="74" eb="76">
      <t>ジブン</t>
    </rPh>
    <rPh sb="81" eb="83">
      <t>テキセツ</t>
    </rPh>
    <rPh sb="135" eb="137">
      <t>ジブン</t>
    </rPh>
    <rPh sb="151" eb="153">
      <t>ゴゲン</t>
    </rPh>
    <rPh sb="154" eb="155">
      <t>ハナシ</t>
    </rPh>
    <rPh sb="159" eb="163">
      <t>ゲンダイエイゴ</t>
    </rPh>
    <rPh sb="174" eb="176">
      <t>ジタイ</t>
    </rPh>
    <rPh sb="179" eb="181">
      <t>ジブン</t>
    </rPh>
    <rPh sb="189" eb="191">
      <t>イミ</t>
    </rPh>
    <rPh sb="192" eb="193">
      <t>ノコ</t>
    </rPh>
    <phoneticPr fontId="1"/>
  </si>
  <si>
    <t>likelyは前置詞like（～のような）と関連させ、「現実のような＝ありそうな」と覚える。</t>
  </si>
  <si>
    <t>ssi</t>
  </si>
  <si>
    <t>possibleは「力があるから実際に可能」というイメージ。</t>
  </si>
  <si>
    <t>potis（力強い）+esse（存在する）
posse（力がある）
&lt;span class="spacer"&gt;&lt;/span&gt;形容詞を作る-bilisが付いて
possibilis（～できる）</t>
  </si>
  <si>
    <t>individualは「それ以上分けられない物や人」というイメージ。</t>
    <phoneticPr fontId="1"/>
  </si>
  <si>
    <t>publicのpubl部分はpeopleと同じ語源にさかのぼり、「人々に開かれている」というイメージ。</t>
    <phoneticPr fontId="1"/>
  </si>
  <si>
    <t>populus（民衆）
&lt;span class="spacer"&gt;&lt;/span&gt;形容詞を作る-icusが付いて
poplicus（民衆の）</t>
  </si>
  <si>
    <t>poplicusがpubes（成人）の影響を受けて
publicus（民衆の, 民衆全体の, 共同の）</t>
  </si>
  <si>
    <t>commonは「大勢が共有している, 特別ではない」というイメージ。</t>
  </si>
  <si>
    <t>certainは「ふるいにかけられて決定している」というイメージ。</t>
  </si>
  <si>
    <t>cernere（ふるいにかける）
&lt;span class="spacer"&gt;&lt;/span&gt;過去分詞certus（ふるいにかけられた, 決定された, 確定した, 確実な）</t>
  </si>
  <si>
    <t>simを見たらまず「同じ」と考える。sim部分は英語のsameと同じ語源にさかのぼる。</t>
    <rPh sb="21" eb="23">
      <t>ブブン</t>
    </rPh>
    <rPh sb="24" eb="26">
      <t>エイゴ</t>
    </rPh>
    <rPh sb="32" eb="33">
      <t>オナ</t>
    </rPh>
    <rPh sb="34" eb="36">
      <t>ゴゲン</t>
    </rPh>
    <phoneticPr fontId="1"/>
  </si>
  <si>
    <t>日本語で使われるメジャーと同じ。</t>
  </si>
  <si>
    <t>名詞ptient（患者：病気や治療に耐える人）と関連させて覚える。</t>
  </si>
  <si>
    <t>particularは「全体ではなく小さい部分の」というイメージ。</t>
    <phoneticPr fontId="1"/>
  </si>
  <si>
    <t>日本語ではフィジカルはメンタルの対義語として「体の, 肉体の」という意味で使われる。精神に対して肉体は物質なのでそこから「物質的な, 物理の」というイメージを持てばよい。</t>
  </si>
  <si>
    <t>日本語でも使われるバラエティ番組（色々な要素が盛り込まれた番組）と関連させる。</t>
  </si>
  <si>
    <t>availableは価値あるものが「手に入る, 使える」というイメージ。vail部分はvalue（価値）と同じ。</t>
    <rPh sb="40" eb="42">
      <t>ブブン</t>
    </rPh>
    <rPh sb="49" eb="51">
      <t>カチ</t>
    </rPh>
    <rPh sb="53" eb="54">
      <t>オナ</t>
    </rPh>
    <phoneticPr fontId="1"/>
  </si>
  <si>
    <t>valere（価値がある）</t>
  </si>
  <si>
    <t>a（～へ）+valoir（価値がある）</t>
  </si>
  <si>
    <t>印欧祖語*gene-（生む, 生み出す）系はまとめて覚える。
nativeのnaは「生まれる」と関係する要素。</t>
  </si>
  <si>
    <t>nasci（生まれる）
&lt;span class="spacer"&gt;&lt;/span&gt;過去分詞
natus（生まれた）
&lt;span class="spacer"&gt;&lt;/span&gt;形容詞を作る-ivusが付いて
nativus（生まれつきの）</t>
  </si>
  <si>
    <t>politicalのpoliは古代ギリシャの都市国家＝ポリスに由来する。都市国家やその市民の統治＝「政治の」となる。</t>
    <rPh sb="36" eb="40">
      <t>トシコッカ</t>
    </rPh>
    <rPh sb="43" eb="45">
      <t>シミン</t>
    </rPh>
    <rPh sb="46" eb="48">
      <t>トウチ</t>
    </rPh>
    <rPh sb="50" eb="52">
      <t>セイジ</t>
    </rPh>
    <phoneticPr fontId="1"/>
  </si>
  <si>
    <t>polis（都市国家）
&lt;span class="spacer"&gt;&lt;/span&gt;polites（市民）
&lt;span class="spacer"&gt;&lt;/span&gt;形容詞を作る-ikosが付いて
politikos（市民の, 国家の, 国家統治に関する）</t>
  </si>
  <si>
    <t>1550年代
politic（政治の）+形容詞を作る-al
political（政治の）
&lt;span class="obsolete"&gt;politic自体が形容詞だったが、politicalの方が使われるようになった&lt;/span&gt;</t>
  </si>
  <si>
    <t>dueは「当然そうなるだろう」というイメージ。</t>
  </si>
  <si>
    <t>ante（前に）系はまとめて覚える。</t>
  </si>
  <si>
    <t>15世紀初頭
はるか昔に存在した
&lt;span class="spacer"&gt;&lt;/span&gt;1600年頃
medieval（中世）とmodern（近代）に対してancient（古代の）</t>
  </si>
  <si>
    <t>despiteは「対象を見下していて、それがあってもなくてもどうでもよい」というイメージ。</t>
    <phoneticPr fontId="1"/>
  </si>
  <si>
    <t>ラテン語ferre（運ぶ）に由来する~fer系と~late系はまとめて覚える。
relateは「AとBを行き来して、その2つを結びつける」というイメージ。</t>
  </si>
  <si>
    <t>印欧祖語*gno-（知る）系はまとめて覚える。これらを見たらまず「知る系の意味だ」と考える。</t>
  </si>
  <si>
    <t>ラテン語ferre（運ぶ）に由来する~fer系と~late系はまとめて覚える。
referは「別のところに情報を取りに行って戻る, ある情報に話を向けてそのあとに元の話へ戻る」というイメージ。</t>
    <phoneticPr fontId="1"/>
  </si>
  <si>
    <t>re（再び, 後ろへ）+ferre（運ぶ）
referre（持ち帰る, 報告する, 参照する, 言及する）</t>
  </si>
  <si>
    <t>referer
&lt;span class="spacer"&gt;&lt;/span&gt;14世紀
言及する, 関連付ける</t>
  </si>
  <si>
    <t>referren
&lt;span class="spacer"&gt;&lt;/span&gt;14世紀後期
原因や起源にさかのぼる
～に帰属させる</t>
  </si>
  <si>
    <t>approachは「接近」というイメージ。</t>
  </si>
  <si>
    <t>prope（近くに）</t>
  </si>
  <si>
    <t>Alice in Wonderland（不思議の国のアリス）のWonderと同じ語。wonderは「不思議」というイメージ。</t>
  </si>
  <si>
    <t>image（イメージ）の動詞と覚えればよい。</t>
  </si>
  <si>
    <t>imitārī（模倣する）
&lt;span class="spacer"&gt;&lt;/span&gt;imāgō（像, 姿）
&lt;span class="spacer"&gt;&lt;/span&gt;imāginārī（心に像を描く, 想像する）</t>
  </si>
  <si>
    <t>印欧祖語*gno-（知る）系はまとめて覚える。特にcoが付いたcogniは「認知」に関わる意味。</t>
    <phoneticPr fontId="1"/>
  </si>
  <si>
    <t>com（強意）+gnōscere（知る）
cognōscere（共に知る, 認識する）
&lt;span class="spacer"&gt;&lt;/span&gt;re（再び）+cognōscere（認識する）
recognōscere（再び知る）</t>
  </si>
  <si>
    <t>solveは「からまったものをほどく」イメージ。</t>
  </si>
  <si>
    <t>occurのcur部分は、carryやcarと同じ語源にさかのぼり、「走る」という意味。</t>
  </si>
  <si>
    <t>argueは「銀（元素記号Ag）」と関係する。
&lt;span class="spacer"&gt;&lt;/span&gt;argueの元になったラテン語arguereと、白く輝く銀を表すラテン語argentum（Ag）はどちらも印欧祖語*arg-（光る, 白い）にさかのぼる。</t>
  </si>
  <si>
    <t>*arg-（光る, 白い）</t>
  </si>
  <si>
    <t>日本語のクレーム（不満）は、英語ではcomplain（不満を言う）なので注意。</t>
    <phoneticPr fontId="1"/>
  </si>
  <si>
    <t>expressは「押し出す」というイメージ。</t>
  </si>
  <si>
    <t>日本語でも使われるドロー（draw, 引き分け）と関連させて覚える。</t>
  </si>
  <si>
    <t>wasteは「荒れた土地のように無駄使いする」というイメージ。</t>
  </si>
  <si>
    <t>vastus（空の, 荒れ果てた）
&lt;span class="spacer"&gt;&lt;/span&gt;vastare（荒廃させる, 無駄にする）</t>
  </si>
  <si>
    <t>spreは「まき散らす」というイメージ。spray（スプレーする）のspraと同じ。</t>
  </si>
  <si>
    <t>prepareのpreは「前もって」という意味。</t>
  </si>
  <si>
    <t>gainは「狩りや採集のように何かを得る」というイメージ。</t>
  </si>
  <si>
    <t>1520年代
利益として得る
&lt;span class="spacer"&gt;&lt;/span&gt;1540年代
努力や追求によって得る
&lt;span class="spacer"&gt;&lt;/span&gt;1861年までに
時計に関して、時計の時間が進む</t>
  </si>
  <si>
    <t>achieveは「頭（端の部分）＝終わりに到達する」というイメージ。</t>
  </si>
  <si>
    <t>印欧祖語*sta-（立つ, 固定する）系はまとめて覚える。</t>
  </si>
  <si>
    <t>stabilis（安定した, 固定された）
&lt;span class="spacer"&gt;&lt;/span&gt;動詞になって
stabilire（安定させる, 確立する）</t>
  </si>
  <si>
    <t>supplyは「不足を下から満たす」というイメージ。</t>
  </si>
  <si>
    <t>sub（下から）+plere（満たす）
supplere（満たす, 補充する）</t>
  </si>
  <si>
    <t>supposeは「下に置く＝話の土台（前提）とする」というイメージ。</t>
  </si>
  <si>
    <t>sub（下に）+ponere（置く）
supponere（下に置く, 下に置くことで仮定する）</t>
  </si>
  <si>
    <t xml:space="preserve">日本語のパフォーマンスと関連させて覚える。performのform部分は、furnish（備え付ける）やfurniture（家具）と同じ語源にさかのぼる。
</t>
  </si>
  <si>
    <t>determineのterm部分は、term（用語, 期間, 学期, 条件）と同じで「終わり, 境界」という意味。</t>
  </si>
  <si>
    <t>terminus（終わり, 境界, 限界）
&lt;span class="spacer"&gt;&lt;/span&gt;動詞になって
terminare（終わりや境界を示す, 限界を定める）
&lt;span class="spacer"&gt;&lt;/span&gt;de（離れて）+terminare（終わりや境界を示す）
determinare（終わりを定める）</t>
  </si>
  <si>
    <t>ラテン語trahere（引く） に由来するtract系はまとめて覚える。
treatは、ハロウィンのtrick or treat（イタズラorもてなす扱い）と関連させて覚える。</t>
  </si>
  <si>
    <t>trahere（引く, 引きずる）
&lt;span class="spacer"&gt;&lt;/span&gt;反復形tractare（繰り返し引く, 引きずり回す, 取り扱う）</t>
  </si>
  <si>
    <t>proveは「試して、証明して、判明する」。</t>
  </si>
  <si>
    <t>probus（善良な, 立派な, 正直な）
&lt;span class="spacer"&gt;&lt;/span&gt;動詞になって
probare（信頼できるものと示す, 試す）</t>
  </si>
  <si>
    <t>applyは「to / forで示す対象にぴったり折り重ねる」イメージ。</t>
  </si>
  <si>
    <t>日本語でも使われるLINEのメンション（特定の人に発言を送る＝言う）と関連させて覚える。</t>
  </si>
  <si>
    <t>mens（心, 知性）に関連する動詞
minisci（思い出す, 考える）
&lt;span class="spacer"&gt;&lt;/span&gt;mentio（思い起こすこと, 言及すること）</t>
  </si>
  <si>
    <t>日本語の「コミュニケーションする」と覚えればよい。</t>
  </si>
  <si>
    <t>com（共に）+munis（義務）
communis（義務を共有する, 共通の）
&lt;span class="spacer"&gt;&lt;/span&gt;動詞になって
communicare（共通のものにする, 共有する, 伝える）
&lt;span class="spacer"&gt;&lt;/span&gt;過去分詞communicatus（共有された, 伝達された）</t>
  </si>
  <si>
    <t>ラテン語tenere（保つ）系はまとめて覚える。
&lt;span class="spacer"&gt;&lt;/span&gt;何かを入れるコンテナ（container）からer（〜するもの）を消せばcontain（内側に入れる）となる。
&lt;div class="sample_image container"&gt;&lt;/div&gt;</t>
    <phoneticPr fontId="1"/>
  </si>
  <si>
    <t>ラテン語rangers（触れる）系はまとめて覚える。
日本語でも使われるコンタクト（接触）と同じ。</t>
  </si>
  <si>
    <t>regardは「対象を注意して見る」というイメージ。</t>
  </si>
  <si>
    <t>*gardan / wardōn 系
守る, 見張る, 注意する</t>
  </si>
  <si>
    <t>spect（見る）系はまとめて覚える。</t>
  </si>
  <si>
    <t>circus（円）
&lt;span class="spacer"&gt;&lt;/span&gt;動詞になって
circare（ぐるぐる歩き回る）</t>
  </si>
  <si>
    <t>日本語でも使われるコネは、connectの名詞connection（コネクション, 繋がり）のこと。</t>
  </si>
  <si>
    <t>declineは「下に傾く, 何かを横にそらす」というイメージ。
&lt;span class="spacer"&gt;&lt;/span&gt;日本語でも座席の背もたれを傾けることをリクライニング（reclining, recline）というが、このクラインはdeclineのcline（傾く）と同じ。</t>
  </si>
  <si>
    <t>de（離れて, 下へ）+clinare（傾ける, 曲げる）
declinare（曲げる, 低くする）</t>
  </si>
  <si>
    <t>preventは「先回りして防ぐ」というイメージ。</t>
  </si>
  <si>
    <t>ラテン語ferre（運ぶ）に由来する~fer系と~late系はまとめて覚える。
sufferは「下に来るものを受けるように苦しむ」というイメージ。</t>
    <rPh sb="48" eb="49">
      <t>シタ</t>
    </rPh>
    <rPh sb="50" eb="51">
      <t>ク</t>
    </rPh>
    <rPh sb="55" eb="56">
      <t>ウ</t>
    </rPh>
    <rPh sb="61" eb="62">
      <t>クル</t>
    </rPh>
    <phoneticPr fontId="1"/>
  </si>
  <si>
    <t>sur部分はsuper（越えて）で、vive部分は「命に関係する」要素。
名詞suvivalは、日本語でも使われるサバイバル（生き残り, 生存。</t>
    <rPh sb="3" eb="5">
      <t>ブブン</t>
    </rPh>
    <rPh sb="12" eb="13">
      <t>コ</t>
    </rPh>
    <rPh sb="22" eb="24">
      <t>ブブン</t>
    </rPh>
    <rPh sb="26" eb="27">
      <t>イノチ</t>
    </rPh>
    <rPh sb="28" eb="30">
      <t>カンケイ</t>
    </rPh>
    <rPh sb="33" eb="35">
      <t>ヨウソ</t>
    </rPh>
    <rPh sb="37" eb="39">
      <t>メイシ</t>
    </rPh>
    <rPh sb="69" eb="71">
      <t>セイゾン</t>
    </rPh>
    <phoneticPr fontId="1"/>
  </si>
  <si>
    <t>publishのpubl部分はpeopleと同じ語源にさかのぼり、「人々に広める」というイメージ。</t>
    <rPh sb="37" eb="38">
      <t>ヒロ</t>
    </rPh>
    <phoneticPr fontId="1"/>
  </si>
  <si>
    <t>opportunity</t>
  </si>
  <si>
    <t>portuni</t>
  </si>
  <si>
    <t>opportunityは「港に風が吹いていきて港に入るチャンス」というイメージ。</t>
  </si>
  <si>
    <t>ob（〜に向かって）+portus（港）+venire（来る）
からなるフレーズ
&lt;span class="spacer"&gt;&lt;/span&gt;ob portum veniens
港に向かって来る風（追い風を表す）
&lt;span class="spacer"&gt;&lt;/span&gt;1単語になって
opportunus（好都合な, 好機の）
&lt;span class="spacer"&gt;&lt;/span&gt;名詞を作る-tasが付いて
opportunitas（好都合, 好機）</t>
  </si>
  <si>
    <t>taskはtax（課税）と関連させて覚える。</t>
  </si>
  <si>
    <t>taxa（評価額, 課税額）</t>
  </si>
  <si>
    <t>industryは「コツコツ中に積み上げる勤勉さ、その勤勉さが支える産業」というイメージ。</t>
  </si>
  <si>
    <t>日本語でも使われるメディアの単数形がmedium。
mid / med（中間）系はまとめて覚える。</t>
  </si>
  <si>
    <t>economyは「家計のやりくりから、国家レベルの経済になる」というイメージ。</t>
  </si>
  <si>
    <t>polis（都市国家）に由来する語はまとめて覚える。</t>
  </si>
  <si>
    <t>policie（行政, 政治組織）</t>
  </si>
  <si>
    <t xml:space="preserve">
policie
&lt;span class="spacer"&gt;&lt;/span&gt;14世紀後期
統治の研究, 統治の実践
良い統治
&lt;span class="spacer"&gt;&lt;/span&gt;15世紀初頭
国家の統治制度
行動の方針
行動において守るべき原則
&lt;span class="spacer"&gt;&lt;/span&gt;国内や外交において、国家の利益のために、政府や政党が最善と考えて採用する政策</t>
  </si>
  <si>
    <t>accountは「お金の計算、お金の計算を記した口座、やり取りの説明」というイメージ。</t>
  </si>
  <si>
    <t>1640年代
on account of（〜のために, 〜を理由として）
&lt;span class="spacer"&gt;&lt;/span&gt;1680年代
take into account（考慮に入れる）
&lt;span class="spacer"&gt;&lt;/span&gt;1833年
銀行口座</t>
  </si>
  <si>
    <t>日本語でも使われるトレード（取引, 交換）と同じ。</t>
  </si>
  <si>
    <t>中低地ドイツ語・中オランダ語</t>
  </si>
  <si>
    <t>14世紀後期
道, 進路
&lt;span class="spacer"&gt;&lt;/span&gt;15世紀半ば
習慣的な行動, 生き方, 生活様式</t>
  </si>
  <si>
    <t>日本語のプラモデルやファッションモデルと同じ。
modelは「縮尺を合わせて作られた型, 模範」というイメージ。</t>
  </si>
  <si>
    <t>modus（方法, 尺度）
&lt;span class="spacer"&gt;&lt;/span&gt;小さいことを表す-ulusが付いて
modulus（小さな尺度, 基準）</t>
  </si>
  <si>
    <t>figureは「線で表せる形や姿」というイメージ。</t>
  </si>
  <si>
    <t>cellは「小さい部屋」というイメージ。</t>
  </si>
  <si>
    <t>日本語のイメージと同じ。</t>
  </si>
  <si>
    <t>imitari（写す, 模倣する）
&lt;span class="spacer"&gt;&lt;/span&gt;imago（写し, 像, 観念）</t>
  </si>
  <si>
    <t>emotionは「心の動き」というイメージ。</t>
  </si>
  <si>
    <t>ラテン語stringere系はまとめて覚える。
&lt;span class="spacer"&gt;&lt;/span&gt;日本語のストレスは精神的な面で使われがちだが、stressは「糸やゴムを引っ張って圧をかける」イメージ。</t>
  </si>
  <si>
    <t>decadeのdec部分は、Decemberやデシリットルのdecと同じで「10」を意味する。</t>
  </si>
  <si>
    <t>déca（10）+ade（～の集まり）
décade（10をひとつの単位とした集まり）</t>
  </si>
  <si>
    <t>rangeは「人の列が広がる範囲」というイメージ。</t>
  </si>
  <si>
    <t>renge（列, 隊列）</t>
  </si>
  <si>
    <t>characterは「何かを刻み込んで特徴づける」というイメージ。</t>
  </si>
  <si>
    <t>kharax（尖った杭）
&lt;span class="spacer"&gt;&lt;/span&gt;kharassein（刻む）
&lt;span class="spacer"&gt;&lt;/span&gt;kharaktēr（刻印する道具, 刻まれた印）</t>
  </si>
  <si>
    <t>ante（前に）系はまとめて覚える。
advantageは「他よりも前にいる状態」というイメージ。</t>
  </si>
  <si>
    <t>avant（前に）
&lt;span class="spacer"&gt;&lt;/span&gt;avantage（有利, 利益）</t>
  </si>
  <si>
    <t>日本語のフレーズと同じ。</t>
  </si>
  <si>
    <t>日本語のダメージと同じ。</t>
  </si>
  <si>
    <t>impactは「衝突→伝わる衝撃→その影響」という一連のイメージ。</t>
  </si>
  <si>
    <t>methodは「複数の方法（way）を規則化してまとめたもの」というイメージ。</t>
  </si>
  <si>
    <t>日本語でも使われるりソースを割く（人的資源, 物的資源, 資金）という形で使われる。</t>
  </si>
  <si>
    <t>regere（まっすぐ導く）
&lt;span class="spacer"&gt;&lt;/span&gt;sub（下から）+regere（まっすぐ導く）
surgere（立ち上がる）
&lt;span class="spacer"&gt;&lt;/span&gt;re（再び）+surgere（立ち上がる）
resurgere（再び立ち上がる）</t>
  </si>
  <si>
    <t>regionは「地図に線を引いて分けられた部分」イメージ。</t>
  </si>
  <si>
    <t>regere（まっすぐ導く, 支配する）
&lt;span class="spacer"&gt;&lt;/span&gt;名詞を作る-ioが付いて
regio（地区, 領域, 境界線）</t>
  </si>
  <si>
    <t>medicineは「薬」と覚えるが、もとは患者に対する処置に関わる語。</t>
  </si>
  <si>
    <t>*med-（適切に測る, 適切に処置する）</t>
  </si>
  <si>
    <t>detailのtail部分は「切る」というイメージ。
日本語でもディテール（細部）という言葉は使われる。</t>
  </si>
  <si>
    <t>日本語で使われる「〜をフィーチャーする」は動詞feature（際立たせる）に由来する。</t>
  </si>
  <si>
    <t>facere（作る, 行う）
&lt;span class="spacer"&gt;&lt;/span&gt;名詞を作る-uraが付いて
factura（形成, 作業）</t>
  </si>
  <si>
    <t>feture
&lt;span class="spacer"&gt;&lt;/span&gt;14世紀後期
顔の線や特徴
&lt;span class="obsolete"&gt;外形, 身体の形（現在は廃用）&lt;/span&gt;</t>
  </si>
  <si>
    <t>functionは「何かを実行する機能」というイメージ。</t>
  </si>
  <si>
    <t>fungi（実行する）
&lt;span class="spacer"&gt;&lt;/span&gt;名詞を作る-ioが付いて
functio（実行, 遂行）</t>
  </si>
  <si>
    <t>日本語のアクセスと同じだが、物にアクセスなら「利用・入手」で、場所にアクセスなら「接近」となる。</t>
  </si>
  <si>
    <t>ad（～へ）+cedere（行く）
accedere（近づく, 接近する）
&lt;span class="spacer"&gt;&lt;/span&gt;名詞を作る-usが付いて
accessus（接近, 入り口）</t>
  </si>
  <si>
    <t>14世紀初頭
発熱の発作
&lt;span class="spacer"&gt;&lt;/span&gt;14世紀後期
人や物の前に出ることができる力</t>
  </si>
  <si>
    <t>日本語のアイテムと同じ。文脈で「アイテム」の日本語訳を考えればよい。</t>
  </si>
  <si>
    <t>incomeは「入ってくるもの」というイメージ。</t>
  </si>
  <si>
    <t>ウェブサイトのサイトやWorld Heritage Site（世界遺産）のようにsiteは「場所を示す」というイメージ。</t>
  </si>
  <si>
    <t>sinere（動かさずに置いておく）
&lt;span class="spacer"&gt;&lt;/span&gt;過去分詞situs（置かれる場所, 位置）</t>
  </si>
  <si>
    <t>spect（見る）系はまとめて覚える。
aspectは「何かを見るときの観点と見えている側面」のこと。</t>
  </si>
  <si>
    <t>ad（～へ）+specere（見る）
aspicere（見る, 注視する）
&lt;span class="spacer"&gt;&lt;/span&gt;名詞を作る-tusが付いて
aspectus（見ること, 見え方, 外見）</t>
  </si>
  <si>
    <t>structureは「積み上げられたもの」というイメージ。</t>
  </si>
  <si>
    <t>struere（積み上げる, 築く）
&lt;span class="spacer"&gt;&lt;/span&gt;過去分詞structus
&lt;span class="spacer"&gt;&lt;/span&gt;名詞を作る-uraが付いて
structura（積み上げられたもの, 建築）</t>
  </si>
  <si>
    <t>habitは「ずっと持っている癖や習慣」という意味。</t>
  </si>
  <si>
    <t>habere（持つ）
&lt;span class="spacer"&gt;&lt;/span&gt;過去分詞habitus（状態, 性質, 外見, 服装）</t>
  </si>
  <si>
    <t>linkは「鎖でつなぐ」というイメージ。</t>
  </si>
  <si>
    <t>for example / for instance（たとえば）をもとに「例」という意味を覚える。</t>
  </si>
  <si>
    <t>現在分詞instans（近くに立つこと, 切迫している状態）
&lt;span class="spacer"&gt;&lt;/span&gt;名詞を作る-iaが付いて
instantia
存在, 緊急性
論理学における事例, 例（これはギリシャ語enstasisの翻訳でinstantiaを使用したことに由来する）</t>
  </si>
  <si>
    <t>日本語のポジティブと同じ。</t>
  </si>
  <si>
    <t>ponere（置く）
&lt;span class="spacer"&gt;&lt;/span&gt;過去分詞positus（置かれた）
&lt;span class="spacer"&gt;&lt;/span&gt;形容詞を作る-ivusが付いて
positivus（人為的に置かれた, 権力によって定められた）</t>
  </si>
  <si>
    <t>日本語のネガティブと同じ。</t>
  </si>
  <si>
    <t>negare（否定する）
&lt;span class="spacer"&gt;&lt;/span&gt;過去分詞negatus（否定された）
&lt;span class="spacer"&gt;&lt;/span&gt;形容詞を作る-ivusが付いて
negativus（否定的な）</t>
  </si>
  <si>
    <t>complexは「複数のものが編みこまれている」というイメージ。</t>
  </si>
  <si>
    <t>com（共に）+plectere（編む）
complecti（取り囲む, 包み込む）
&lt;span class="spacer"&gt;&lt;/span&gt;過去分詞complexus（取り囲んだ, 包含した）</t>
    <phoneticPr fontId="1"/>
  </si>
  <si>
    <t>currentは「いま走っている、流れている」というイメージ。</t>
  </si>
  <si>
    <t>日本語のメンタルと同じ。</t>
  </si>
  <si>
    <t>mensに形容詞を作る-alisが付いて
mentalis（心の, 精神の）</t>
  </si>
  <si>
    <t>specificのspeci部分はspeciesと同じ。種類を構成するには「特定の」性質がある。</t>
  </si>
  <si>
    <t>1630年代
特別な性質を持つ
&lt;span class="spacer"&gt;&lt;/span&gt;1740年までに
明確に特定された, 具体的な</t>
  </si>
  <si>
    <t>significantは「印をつけるくらい重要な」というイメージ。</t>
  </si>
  <si>
    <t>essentialは「何かの存在に関わる根本的な」というイメージ。</t>
  </si>
  <si>
    <t>名詞を作る-iaが付いてessentia（存在, 本質）
これはギリシャ語のousia（存在, 本質）を翻訳するために作られた名詞
&lt;span class="spacer"&gt;&lt;/span&gt;形容詞を作る-alisが付いて
essentialis（本質的な）</t>
  </si>
  <si>
    <t>日本語でも使うオフィシャルサイト（公式サイト）やオフィシャルグッズ（公式グッズ）と同じと考えればよい。</t>
  </si>
  <si>
    <t>ops（力, 資源）+facere（作る, 行う）
officium（力や資源を使って行うこと, 奉仕, 義務, 職務）</t>
  </si>
  <si>
    <t>financialのfin部分は「支払いで終わらせる」という金銭面に関わる意味だった。</t>
  </si>
  <si>
    <t>finis（終わり）</t>
  </si>
  <si>
    <t>finis（支払いによる和解, 罰金, 税金）</t>
  </si>
  <si>
    <t>fin（終わり）
&lt;span class="spacer"&gt;&lt;/span&gt;動詞になって
finer（終わる）
&lt;span class="spacer"&gt;&lt;/span&gt;名詞になって
finance（結末, 支払い, 決算）</t>
  </si>
  <si>
    <t>1400年頃
終わり, 決済
&lt;span class="spacer"&gt;&lt;/span&gt;15世紀半ば
身代金の支払い
&lt;span class="spacer"&gt;&lt;/span&gt;15世紀後期
税金の徴収
&lt;span class="spacer"&gt;&lt;/span&gt;1770年
金銭管理, 財政</t>
  </si>
  <si>
    <t>日本でも専門学校や予備校などの名前に「アカデミー」が使われることがある。</t>
  </si>
  <si>
    <t>be aware of ~（〜に気づいている, 〜を知っている）として覚える。</t>
  </si>
  <si>
    <t>gewær（用心深い, 警戒している）</t>
  </si>
  <si>
    <t>worth doing（〜する価値がある）として覚える。</t>
  </si>
  <si>
    <t>日本語でも使われるポテンシャル（潜在能力がある）と同じ。
potentialのpo部分は、possibleのpo部分と同じ。どちらの語も「可能, 可能性」に関連する。</t>
  </si>
  <si>
    <t>potis（力のある）
&lt;span class="spacer"&gt;&lt;/span&gt;potens（力のある）
&lt;span class="spacer"&gt;&lt;/span&gt;名詞を作る-iaが付いて
potentia（力）</t>
  </si>
  <si>
    <t>act（行う）や日本語のアクティブと関連させて覚える。</t>
  </si>
  <si>
    <t>日本語のデジタルと同じ。</t>
  </si>
  <si>
    <t>mobileはmo(ve)＋(a)ble＝「動かせる」と考えればよい。</t>
  </si>
  <si>
    <t>movere（動かす）
&lt;span class="spacer"&gt;&lt;/span&gt;形容詞を作る-bilis（〜できる）が付いて
*movibilis（動かすことができる）
&lt;span class="spacer"&gt;&lt;/span&gt;短縮形mobilis（可動の, 変わりやすい）</t>
  </si>
  <si>
    <t>形容詞novelのnov部分はnewと同じだと考えればよい。
&lt;span class="spacer"&gt;&lt;/span&gt;また同じ語源にさかのぼる名詞novel（小説）と関連させて覚える。名詞novelはもともと「新しい物語」という意味だった。</t>
  </si>
  <si>
    <t>日本語のプラスチックと同じ。プラスチックは柔らかい。</t>
  </si>
  <si>
    <t>日本語の化学的を意味するケミカルと同じ。</t>
  </si>
  <si>
    <t>3世紀頃
khemeioa（錬金術）</t>
  </si>
  <si>
    <t>14世紀半ば
中世における化学（錬金術, 卑金属を銀や金に変成させるとされる学問）</t>
  </si>
  <si>
    <t>necessaryは「避けて通れないほど不可欠＝必要な」というイメージ。</t>
  </si>
  <si>
    <t>eventuallyは「色々あってその結果…」というイメージ。</t>
  </si>
  <si>
    <t>identifyは「イコールにする」というイメージ。
日本語でも使うID（ログインIDなど）はidentifyの名詞identification（同一である証明）から来ている。</t>
  </si>
  <si>
    <t>id（それ）
&lt;span class="spacer"&gt;&lt;/span&gt;idem（前述のそれ, 前に出てきたものと同じ）</t>
  </si>
  <si>
    <t>idemに名詞を作る-itasが付いて
identitas（同一であること, 同一性）</t>
  </si>
  <si>
    <t>representは「目の前に存在する, 他よりも前に存在する」というイメージ。
presenceの「出席, 現在」と関連させて覚える。</t>
  </si>
  <si>
    <t>indicateは「指をさして示す」というイメージ。</t>
  </si>
  <si>
    <t>日本語でも使われるマネージャー（manager, 管理する人）と関連させて覚える。</t>
  </si>
  <si>
    <t>manus（手）</t>
  </si>
  <si>
    <t>tend（伸ばす）系はまとめて覚える。
attendは「心や労力を対象へ伸ばす、何かへ足を伸ばす」というイメージ。</t>
  </si>
  <si>
    <t>14世紀半ば
世話をする
&lt;span class="spacer"&gt;&lt;/span&gt;15世紀初頭
注意を払う
&lt;span class="spacer"&gt;&lt;/span&gt;15世紀半ば
誰かに付き添って奉仕する
出席する</t>
  </si>
  <si>
    <t>tain（保つ）系はまとめて覚える。
状態を保つためのメンテナンスはmaintainの名詞。</t>
  </si>
  <si>
    <t>surveyは「上から全体を見渡す」イメージ。</t>
  </si>
  <si>
    <t>このplaceは「その場所に置く」というイメージ。</t>
  </si>
  <si>
    <t>スマホの写真を並び替える、データを日付順やアルファベット順に並べることを「ソート」と言う。</t>
  </si>
  <si>
    <t>sorten
&lt;span class="spacer"&gt;&lt;/span&gt;14世紀半ば
種類や性質に従って配列する
&lt;span class="spacer"&gt;&lt;/span&gt;1400年頃
分類する</t>
  </si>
  <si>
    <t>conductの「ある物事が行われるように導く」というイメージ。
&lt;span class="spacer"&gt;&lt;/span&gt;or（〜する人, 〜するもの）が付いたconductorは、音楽の指揮者やツアーコンダクター（旅を目的地まで導く添乗員）を意味する。</t>
  </si>
  <si>
    <t>associateは「何かと何かを結びつける」というイメージ。
soci部分はsociety（社会）と同じ。社会は人と人が結びついてできることから「結びつける」というイメージを持っておく。</t>
  </si>
  <si>
    <t>promoteは「前へ動かす」というイメージ。</t>
  </si>
  <si>
    <t>earnian（労働する, 稼ぐ, 得る）</t>
  </si>
  <si>
    <t>universe / university / United Statesなどのuni系と関連させて覚える。</t>
  </si>
  <si>
    <t>uniten
&lt;span class="spacer"&gt;&lt;/span&gt;15世紀初頭
結合させる</t>
  </si>
  <si>
    <t>1610年までに
一つになる</t>
  </si>
  <si>
    <t>feedは、foodと関連させて覚える。</t>
  </si>
  <si>
    <t>英語でかくれんぼをhide and seek（隠れる＆追い求める, ハイド&amp;シーク）と言う。</t>
  </si>
  <si>
    <t>observeは「注意深く見る」というイメージ。</t>
  </si>
  <si>
    <t>ob（～に対して）+servare（守る）
observare（見守る, 注意深く見る）</t>
    <rPh sb="5" eb="6">
      <t>タイ</t>
    </rPh>
    <rPh sb="18" eb="19">
      <t>マモ</t>
    </rPh>
    <rPh sb="32" eb="34">
      <t>ミマモ</t>
    </rPh>
    <rPh sb="37" eb="40">
      <t>チュウイブカ</t>
    </rPh>
    <rPh sb="41" eb="42">
      <t>ミ</t>
    </rPh>
    <phoneticPr fontId="1"/>
  </si>
  <si>
    <t>revealは「ヴェールをとって隠れているものを表に出す」イメージ。</t>
  </si>
  <si>
    <t>velum（ヴェール）
&lt;span class="spacer"&gt;&lt;/span&gt;動詞になって
velare（ヴェールをかける, 覆う）
&lt;span class="spacer"&gt;&lt;/span&gt;re（反対）+velare（ヴェールをかける, 覆う）
revelare（覆いを取る, 明らかにする）</t>
    <rPh sb="40" eb="42">
      <t>ドウシ</t>
    </rPh>
    <rPh sb="99" eb="101">
      <t>ハンタイ</t>
    </rPh>
    <rPh sb="120" eb="121">
      <t>オオ</t>
    </rPh>
    <rPh sb="133" eb="134">
      <t>オオ</t>
    </rPh>
    <rPh sb="136" eb="137">
      <t>ト</t>
    </rPh>
    <rPh sb="140" eb="141">
      <t>アキ</t>
    </rPh>
    <phoneticPr fontId="1"/>
  </si>
  <si>
    <t>esteemと一緒に覚える。</t>
  </si>
  <si>
    <t>reflectは「鏡で映す」というイメージ。</t>
  </si>
  <si>
    <t>日本語でも使われるアトラクション（客を引きつけるもの）と関連させて覚える。</t>
  </si>
  <si>
    <t>increase（増える, 増やす）とセットで覚える。</t>
  </si>
  <si>
    <t>印欧祖語*gno-（知る）系はまとめて覚える。</t>
  </si>
  <si>
    <t>日本語のマッチする（合う）と同じ。</t>
  </si>
  <si>
    <t>defineのfineは、finishと同じで「境界, 終わり」を意味し、「境界を定めてきっちり線引きする」というイメージ。</t>
  </si>
  <si>
    <t>be apt to do（〜する傾向がある, 〜しがちである）のaptとセットで覚える。</t>
  </si>
  <si>
    <t>contributeのtribute部分は「与える」と覚えておく。</t>
  </si>
  <si>
    <t>exchangeは「相互にものを与え合う交換」というイメージ。</t>
  </si>
  <si>
    <t>1600年頃から
お互いに与え合う</t>
  </si>
  <si>
    <t>画面＝ディスプレイから「示す」という意味を覚える。</t>
  </si>
  <si>
    <t>be responsible for（〜に責任がある）
responsibility（責任）
これらは相手に対して答える義務があることから「責任がある」という意味になる。</t>
  </si>
  <si>
    <t>hydan（隠す）</t>
  </si>
  <si>
    <t>doubtのdoub部分は、double（ダブル）と同じと考えればよい。「2つの間で揺れて疑う」というイメージ。</t>
  </si>
  <si>
    <t>removeは「視界の外へ動かす」というイメージ。</t>
  </si>
  <si>
    <t>re（後ろへ）+movere（動かす）
removere（後ろへ動かす, 視界から外す, 取り除く）</t>
  </si>
  <si>
    <t>日本語で早く終わらせることを「巻きで終わらせる」と言うが、英語のwind upも「終わらせる, 結局〜になる」という意味がある。
&lt;span class="spacer"&gt;&lt;/span&gt;名詞wind（風）とは発音が異なるので注意。</t>
  </si>
  <si>
    <t>日本語のリラックスと同じ。</t>
  </si>
  <si>
    <t>satisfyのsatisは「十分足りている」というイメージ。</t>
  </si>
  <si>
    <t>desireは「星に強い願いを込める」というイメージ。</t>
  </si>
  <si>
    <t>succeedは「後に続いて行く」というイメージで、それが「継承」と「成功という結果」になった。</t>
  </si>
  <si>
    <t>sub（後に, 下に）+sedere（行く, 進む）
succedere（後に続く）</t>
  </si>
  <si>
    <t>ceive（つかむ）系はまとめて覚える。
またconceive（考える）の名詞として覚える。</t>
  </si>
  <si>
    <t>fash</t>
  </si>
  <si>
    <t>日本語のファッションは主に服装という意味で使われるが、fashionは「流行」という意味まで広がる。</t>
  </si>
  <si>
    <t>facere（する, 作る）
&lt;span class="spacer"&gt;&lt;/span&gt;名詞を作る-ioが付いて
factio（作ること, 行うこと, 共通の行動をとる人々の集団）</t>
  </si>
  <si>
    <t>日本語のデバイス（特定の目的に合った装置）と同じ。</t>
  </si>
  <si>
    <t>chargeは、carやcarryと関連する語で、「荷車に荷物を乗せること」から様々な意味に発展した。</t>
  </si>
  <si>
    <t>日本語のコントラストと同じで対比を表す。</t>
  </si>
  <si>
    <t>colleagueは、college（カレッジ）と同じ語源。カレッジは職務を共にする教授（＝同僚）や学生の集まりという意味から発展している。</t>
  </si>
  <si>
    <t>com（共に）+legare（任命して派遣する）
&lt;span class="spacer"&gt;&lt;/span&gt;collega
働くために共に送られた者
共同の職務にある者</t>
  </si>
  <si>
    <t>billは「文書」というイメージ。文脈で何が書いてある紙なのかを考えればよい。</t>
  </si>
  <si>
    <t>日本語のコンテンツと同じ。contain（含む）/ container（コンテナ）と関連させて覚える。コンテンツは「中に含まれるもの」。</t>
  </si>
  <si>
    <t>日本語でも使われるセクションと同じ。英語のテキストやテストのセクション1・セクション2のように、全体を分けた「部分」のこと。</t>
  </si>
  <si>
    <t>secare（切る）
&lt;span class="spacer"&gt;&lt;/span&gt;過去分詞に名詞を作る-ioが付いて
sectio（切断, 切り離し, 分割）</t>
  </si>
  <si>
    <t>日本語のオーディエンスと同じ。audio（オーディオ）と同じく「聴く」ことと関連する。</t>
  </si>
  <si>
    <t>surは「上の（super）」で、faceは「顔や面」。</t>
  </si>
  <si>
    <t>日本語のトピックと同じ。トピックで覚えればよい。</t>
  </si>
  <si>
    <t>日本語のテクニックと同じ。</t>
  </si>
  <si>
    <t>日本語のステータス（地位, 状態）と同じ。
sta（立つ）系はまとめて覚える。</t>
  </si>
  <si>
    <t>stare（立つ）
&lt;span class="spacer"&gt;&lt;/span&gt;名詞になって
status（立つ位置, 立場, 状態）</t>
  </si>
  <si>
    <t>日本語のオプション（選択肢）と同じ。</t>
  </si>
  <si>
    <t>optare（選ぶ, 望む）
&lt;span class="spacer"&gt;&lt;/span&gt;名詞を作る-ioが付いて
optio（選択）</t>
  </si>
  <si>
    <t>rewardは「相手の行動をよく見てそれに応じて与えるもの」というイメージ。</t>
  </si>
  <si>
    <t>crimeは「善悪のふるいにかけたときの悪＝犯罪」と覚える。</t>
  </si>
  <si>
    <t>conflictは「共に叩き合う」イメージ。</t>
  </si>
  <si>
    <t>コンテクストは日本語でも使われるため、そのまま文脈や状況として覚えておく。</t>
  </si>
  <si>
    <t>日本語のディベートと同じ。
debateは「言葉で戦う」というイメージ。</t>
  </si>
  <si>
    <t>focusとセットで覚える。</t>
  </si>
  <si>
    <t>focus（暖炉）
&lt;span class="spacer"&gt;&lt;/span&gt;形容詞を作る-alisが付いて
focalis（炉に関する）
&lt;span class="spacer"&gt;&lt;/span&gt;名詞になって
focalia（燃料用の小枝）</t>
  </si>
  <si>
    <t>feel / feul
&lt;span class="spacer"&gt;&lt;/span&gt;1200年頃
燃料</t>
  </si>
  <si>
    <t>pollut</t>
  </si>
  <si>
    <t>pollutionは「何かを塗った結果汚す」イメージ。</t>
  </si>
  <si>
    <t>pollucioun
&lt;span class="spacer"&gt;&lt;/span&gt;14世紀後期
汚染</t>
  </si>
  <si>
    <t>日本語のトレンド（傾向）と同じ。</t>
  </si>
  <si>
    <t>日本語のバランスと同じ。</t>
  </si>
  <si>
    <t>trafficはイタリア語の「商売する」という動詞から派生したので「不正取引」という意味がある。</t>
  </si>
  <si>
    <t>strategyはもともとは「将軍が考える軍事戦略」だった。</t>
  </si>
  <si>
    <t>strat</t>
  </si>
  <si>
    <t>egy</t>
  </si>
  <si>
    <t>basisとbaseはセットで覚える。</t>
  </si>
  <si>
    <t>sequence（連続）と関連させて覚える。con（共に）が付いているので、何かにくっついて連続するイメージ。</t>
  </si>
  <si>
    <t>consequiに名詞を作る-iaが付いて
consequentia（結果, 帰結）</t>
  </si>
  <si>
    <t>aimは「対象までの道筋や距離を計算して狙うこと」というイメージ。</t>
  </si>
  <si>
    <t>1300年頃
&lt;span class="obsolete"&gt;計算する（現在は廃用）&lt;/span&gt;
&lt;span class="spacer"&gt;&lt;/span&gt;14世紀初頭
意図する
&lt;span class="spacer"&gt;&lt;/span&gt;14世紀後期
行動を考慮して計画する
攻撃の目標や狙いを定める
&lt;span class="spacer"&gt;&lt;/span&gt;15世紀初頭
狙うこと, 目的, 目標</t>
  </si>
  <si>
    <t>印欧祖語*gene-（生む, 産む）系はまとめて覚える。</t>
  </si>
  <si>
    <t>genea（世代, 人種, 血統）</t>
  </si>
  <si>
    <t>運動場のトラック（線を引かれた一周のコース）と同じ。</t>
  </si>
  <si>
    <t>trak
&lt;span class="spacer"&gt;&lt;/span&gt;15世紀後期
馬（特に馬蹄）の跡
足跡
何かが残した跡</t>
  </si>
  <si>
    <t>volut</t>
  </si>
  <si>
    <t>revolutionのvol部分は「回転, ひっくり返す」というイメージ。</t>
  </si>
  <si>
    <t>名詞を作る-ioが付いて
revolutio（回転すること）</t>
  </si>
  <si>
    <t>progressは「前に歩を進めること」というイメージ。</t>
  </si>
  <si>
    <t>印欧祖語*gno-（知る）系はまとめて覚える。
cogniとあれば「認知」に関わる意味。</t>
  </si>
  <si>
    <t>1900年以降
無駄なく結果を生み出す, 効率的な</t>
  </si>
  <si>
    <t>universalのuniは「ひとつ」という意味。</t>
  </si>
  <si>
    <t>vastは「言葉にできないスケール感を両手をひろげて広い！おっきい！」と表すイメージ。</t>
  </si>
  <si>
    <t>vastus（広大な）</t>
  </si>
  <si>
    <t>tra</t>
  </si>
  <si>
    <t>extraはex（外の）から「超え出ている」というイメージ。</t>
  </si>
  <si>
    <t>ex（外の）
&lt;span class="spacer"&gt;&lt;/span&gt;exterus（内ではなく外側の）
&lt;span class="spacer"&gt;&lt;/span&gt;extra（外側に）</t>
  </si>
  <si>
    <t>entireは「一切触れられていない完全な状態」というイメージ。</t>
  </si>
  <si>
    <t>familiarはfamily（お互いをよく知る家族）と関連させて覚える。</t>
  </si>
  <si>
    <t>via（道）系はまとめて覚える。</t>
  </si>
  <si>
    <t>mor</t>
  </si>
  <si>
    <t>日本語のモラルと同じ。個々人の善悪の価値観。</t>
  </si>
  <si>
    <t>14世紀半ば
正しい行動に関する
道徳的原則に関する
&lt;span class="spacer"&gt;&lt;/span&gt;14世紀後期
正しい行動のルールに関する
道徳的に善い</t>
  </si>
  <si>
    <t>1630年代
習慣的に道徳ルールに従う
&lt;span class="spacer"&gt;&lt;/span&gt;1680年代
道徳に基づいている</t>
  </si>
  <si>
    <t>ord部分はorder（順序, 秩序）と同じ。ordinaryは「順番通りで普通」というイメージ。</t>
  </si>
  <si>
    <t>ordo（列, 秩序）
&lt;span class="spacer"&gt;&lt;/span&gt;形容詞を作る-ariusが付いて
ordinarius（規則的な, 秩序だった, 通常の）</t>
  </si>
  <si>
    <t>日本語のイコールと同じ。</t>
  </si>
  <si>
    <t>vio</t>
  </si>
  <si>
    <t>正しいものにはTを、間違っているものにはFを書かせるテストがあるが、このFはfalseのこと。</t>
  </si>
  <si>
    <t>fallere（欺く, だます）
&lt;span class="spacer"&gt;&lt;/span&gt;過去分詞falsus（欺くような, 偽の）</t>
  </si>
  <si>
    <t>日本語のレアと同じ。</t>
  </si>
  <si>
    <t>ラテン語lex（法）系はまとめて覚える。</t>
  </si>
  <si>
    <t>dependと関連させて覚える。
pend部分は、首にぶら下げるペンダントと同じで「ぶら下がる」というイメージ。</t>
  </si>
  <si>
    <t>de（下へ）+pendere（吊るす）
dependere（ぶら下がる）</t>
  </si>
  <si>
    <t>deprendre（垂れ下がる, 依存する）
&lt;span class="spacer"&gt;&lt;/span&gt;現在分詞dependant（依存している）</t>
  </si>
  <si>
    <t>dependant
&lt;span class="spacer"&gt;&lt;/span&gt;14世紀後期
依存している</t>
  </si>
  <si>
    <t>もとになったラテン語はex（外の）の最上級。</t>
  </si>
  <si>
    <t>act（何かを行う）の形容詞として考えればよい。現実の行為の形容詞なので「実際の, 現実の」となる。</t>
  </si>
  <si>
    <t>be willing to do A（Aすることをいとわない）という表現で覚える。</t>
  </si>
  <si>
    <t>suburbとセットで覚える。urban / suburbのurb部分は、ラテン語で「都市」という意味。</t>
  </si>
  <si>
    <t>whereasは「対比」と覚えればよい。日本語訳の仕方は読むときに考える。文章問題でも穴埋め問題でも「対比」として覚えていれば対応できる。</t>
  </si>
  <si>
    <t>覚えるときのイメージ</t>
  </si>
  <si>
    <t>in（中に）+volvere（巻く, 回す, 転がす）
involvere（中に巻き込む, 包む）</t>
  </si>
  <si>
    <t>re（再び）+volvere（巻く, 回す, 転がす）
revolvere（回す, 転がして戻す）</t>
  </si>
  <si>
    <t>efficientは「何かを無駄なく効率的に作り出せて有能」というイメージ。</t>
  </si>
  <si>
    <t>dict（言う）系には、cotradict（矛盾する）やdictate（書きとらせる, 命じる）などがある。英語のリスニング練習で、話している内容を書き取るdictation（ディクテーション）はdictateの名詞。</t>
  </si>
  <si>
    <t>1300年頃
人を問いただす
資格や能力を調べる
&lt;span class="spacer"&gt;&lt;/span&gt;14世紀半ば
物事を注意深く調べる
あらゆる側面から観察して正確な判断をする
&lt;span class="spacer"&gt;&lt;/span&gt;15世紀初頭
証人を尋問する</t>
  </si>
  <si>
    <t>日本語のスティック（突き棒）と関連させて覚える。</t>
  </si>
  <si>
    <t>医療において、緊急時に医療スタッフを呼び出すエマージェンシーコールというものがある。emergencyは、emergeの名詞で「突然現れた緊急事態」を意味する。</t>
  </si>
  <si>
    <t>varyはvarious（様々な）や名詞variety（多様性）と関連させて覚える。</t>
  </si>
  <si>
    <t>日本語で使われる「歌手が曲をリリースする」のイメージから覚える。</t>
  </si>
  <si>
    <t>laxare（ゆるめる, 伸ばす）
&lt;span class="spacer"&gt;&lt;/span&gt;re（再び, 後ろに）+laxare（ゆるめる）
relaxare（ゆるめる, 伸ばす）</t>
  </si>
  <si>
    <t>individualと関連させて覚える。divideは「分けて離す」というイメージ。</t>
  </si>
  <si>
    <t>動詞化en系はまとめて覚える。</t>
  </si>
  <si>
    <t>日本語の「ジャッジする」や審判を意味する「ジャッジ」と同じ。</t>
  </si>
  <si>
    <t>relyは対象を信頼して「頼りにする」というイメージ。</t>
  </si>
  <si>
    <t>婚約指輪のことをエンゲージリングと呼ぶ。このエンゲージは結婚という約束の中に相手を置くというニュアンスが残っている。
engageは、be engaged in A（Aに従事する）で覚えておく。</t>
  </si>
  <si>
    <t>日本語のシフト（移る）と同じ。</t>
  </si>
  <si>
    <t>adoptのopt部分は、option（選択肢）と同じで「選ぶ」というイメージ。</t>
  </si>
  <si>
    <t>quire部分は、requireと同じで「求める」という意味。</t>
  </si>
  <si>
    <t>expandは、exがあるので「外に何かする＝外に広げる」と覚えておく。
expandは範囲やサイズの拡大。
extendは長さの延長。</t>
  </si>
  <si>
    <t>refuseは「自分の方に流れてくる水を流し返す＝拒む」というイメージ。</t>
  </si>
  <si>
    <t>re（後ろに, 逆に）+fundere（注ぐ）
refundere（後ろへ注ぐ, 逆に流す, 返す）</t>
  </si>
  <si>
    <t>stroke（脳卒中：語源は神の一撃）と関連させて覚える。</t>
  </si>
  <si>
    <t>strican
&lt;span class="obsolete"&gt;なでる, こする（現在は廃用）&lt;/span&gt;
（なでるという表面をこする動きから）移動する, 進む, 向かう
&lt;span class="spacer"&gt;&lt;/span&gt;進むという意味はstrike for 〜（〜に向かう）に残っている</t>
  </si>
  <si>
    <t>日本語のリピート（繰り返す）と同じ。</t>
  </si>
  <si>
    <t>日本語でも使われるコンシューマー（消費者, consumer）と関連させて覚える。
またsume（取る）系はまとめて覚える。</t>
  </si>
  <si>
    <t>sub（下から）+emere（取る）
sumere（取る）
&lt;span class="spacer"&gt;&lt;/span&gt;com（強意）+sumere（取る）
consumere
完全に取る
取り尽くす
使い尽くす
食べ尽くす</t>
  </si>
  <si>
    <t>日本語のセレクト（選ぶ）と同じ。</t>
  </si>
  <si>
    <t>evolveは「巻物を広げるように進化・発展していく」というイメージ。</t>
  </si>
  <si>
    <t>ex（外へ）+volvere（巻く, 回す, 転がす）
evolvere（外へ転がす, 巻物を広げる, 発展させる）</t>
  </si>
  <si>
    <t>convinceのvince部分は、victory（勝利）と同じ語源にさかのぼる。convinceは「言葉で相手を負かして納得させる」というイメージ。</t>
  </si>
  <si>
    <t>recallはre+callの通りの意味。</t>
  </si>
  <si>
    <t>destroyのdeは「否定」で、str部分はstructureのような「積み上げる」。ここから積み上げたものを「破壊する」というイメージ。</t>
  </si>
  <si>
    <t>このserveは「保つ」という意味。これはreserve（予約する） / conserve（保護する） / observe（観察する）などと同じ。</t>
  </si>
  <si>
    <t>名詞organ（臓器, 楽器のオルガン）と関連させて覚える。臓器もオルガンも複数のパーツが集まって全体として機能する。このようにorganizeは、各部分を整え、全体を機能させる感じ。</t>
  </si>
  <si>
    <t>1590年代
システムの配置や構成を整える
&lt;span class="spacer"&gt;&lt;/span&gt;1630年代
相互に依存し、互いに支え合う部分から成り立つ全体として作り上げ、機能する状態にする</t>
  </si>
  <si>
    <t>warnian（注意する, 用心する）</t>
  </si>
  <si>
    <t>addressは「まっすぐ届ける, まっすぐに（正常な状態に）する」というイメージ。</t>
  </si>
  <si>
    <t>dis（強意）+regere（まっすぐ導く）
dirigere（まっすぐにする）
&lt;span class="spacer"&gt;&lt;/span&gt;過去分詞directus（まっすぐな, 直接の, 正しい）</t>
  </si>
  <si>
    <t>14世紀初頭
導く, 狙いを定める
&lt;span class="spacer"&gt;&lt;/span&gt;14世紀半ば
整える, 訂正する, 修理する
&lt;span class="spacer"&gt;&lt;/span&gt;15世紀半ば
送付先を指定する, 宛先を書く
&lt;span class="spacer"&gt;&lt;/span&gt;15世紀後期
人に向けて話す</t>
  </si>
  <si>
    <t>手術のことをオペと言うが、これはoperateの名詞operation（オペレーション, 手術）のこと。</t>
  </si>
  <si>
    <t>opus（仕事, 成果）
&lt;span class="spacer"&gt;&lt;/span&gt;動詞になって
operari（働く, 努力する）</t>
  </si>
  <si>
    <t>part（部分）と、cipate部分（取る）が組み合わさった語。</t>
  </si>
  <si>
    <t>flowan（流れる）</t>
  </si>
  <si>
    <t>語源不明なので、穴を開けるドリルに由来するという説と関連させて覚える。</t>
  </si>
  <si>
    <t>complainは「苦しみや悲しみでバンバン胸を叩く」イメージ。</t>
  </si>
  <si>
    <t>留学のホストファミリーのホストと同じで、もてなす側・主催者側。</t>
  </si>
  <si>
    <t>combineの名詞combination（コンビネーション, 組み合わせ）と関連させて覚える。</t>
  </si>
  <si>
    <t>tend（伸ばす）系はまとめて覚える。
extendは長さの延長。
expandは範囲やサイズの拡大。</t>
  </si>
  <si>
    <t>appreciateのpreci部分は、price（価格, 価値）と同じ。価値を正しく評価し、価値あるものを鑑賞し、価値ある物事を享受できることに感謝する。</t>
  </si>
  <si>
    <t>日本語のターゲットと同じ。</t>
  </si>
  <si>
    <t>elementは「基本となる構成要素」というイメージ。elementary school（小学校, 初等教育）のelementary（初等の, 基本的な）と関連させて覚える。</t>
  </si>
  <si>
    <t>pri（第一の）系はまとめて覚える。
principleは「一番目の土台となるもの」というイメージ。</t>
  </si>
  <si>
    <t>primus（第一の）+capere（取る）
princeps（第一を取っている）
&lt;span class="spacer"&gt;&lt;/span&gt;名詞を作る-iumが付いて
principium（始まり, 起源, 最初の部分）</t>
  </si>
  <si>
    <t>phenomenonのpheは光。光のように何かが現れる＝「現象」というイメージ。</t>
  </si>
  <si>
    <t>atmosは「蒸気」でsphereは「球体」として覚える。</t>
  </si>
  <si>
    <t>atmos（蒸気, 煙）
sphaira（球体）</t>
  </si>
  <si>
    <t>形容詞オリジナルと関連させて覚える。</t>
  </si>
  <si>
    <t>person（個人）と関連させて覚える。</t>
  </si>
  <si>
    <t>&lt;span class="spacer"&gt;&lt;/span&gt;personalisに名詞を作る-tasが付いて
personalitas（人であるという性質）</t>
  </si>
  <si>
    <t>cap（取る）系はまとめて覚える。
日本語のキャパ・キャパオーバーと同じで、抱え込める容量や能力のこと。</t>
  </si>
  <si>
    <t>capere（取る）
&lt;span class="spacer"&gt;&lt;/span&gt;形容詞になって
capax（多くを収めることができる）
&lt;span class="spacer"&gt;&lt;/span&gt;名詞を作る-tasが付いて
capacitas（容量, 多くを収容できる能力）</t>
  </si>
  <si>
    <t>benefitはざっくりとした「いいこと」で、profitは「金銭や成果などのプラス」というイメージ。</t>
  </si>
  <si>
    <t>pro（前へ）+facere（行う, 作る）
proficere（成し遂げる, 役に立つ, 利益を得る）
&lt;span class="spacer"&gt;&lt;/span&gt;過去分詞profectus（進展, 成功, 成長）</t>
  </si>
  <si>
    <t>circum（周囲に）+stare（立つ）
circumstare（周囲に立つ, 取り囲む）
&lt;span class="spacer"&gt;&lt;/span&gt;現在分詞circumstans
&lt;span class="spacer"&gt;&lt;/span&gt;名詞を作る-iaが付いて
circumstantia（取り巻く状態, 周囲の条件）</t>
  </si>
  <si>
    <t>日本語のマナーと同じ。</t>
  </si>
  <si>
    <t>residentは「繰り返し同じところに座る＝定住者」というイメージ。</t>
  </si>
  <si>
    <t>wealthのwealは、wellと関連する。</t>
  </si>
  <si>
    <t>wele（幸せ）+th（名詞化）
welth
&lt;span class="spacer"&gt;&lt;/span&gt;12世紀半ば
&lt;span class="obsolete"&gt;幸福（現在は廃用）&lt;/span&gt;
価値ある物の所有, 豊かな繁栄
&lt;span class="spacer"&gt;&lt;/span&gt;1590年代までに
豊富さ, 富</t>
  </si>
  <si>
    <t>stitut</t>
  </si>
  <si>
    <t>institutionは「社会の中に（in）立てられた（st）仕組み」や「仕組みを持つ組織」というイメージ。</t>
  </si>
  <si>
    <t>in（中に）+statuere（立てる, 設置する）
instituere（設ける, 確立する）
&lt;span class="spacer"&gt;&lt;/span&gt;過去分詞institutus（設立された, 定められた）
&lt;span class="spacer"&gt;&lt;/span&gt;名詞を作る-ioが付いて
institutio（配置, 制度の確立）</t>
  </si>
  <si>
    <t>author（著者）と関連させて覚える。authorは何かを創り出す人。authorityはそういった人が持つ影響力や決定する力というイメージ。</t>
  </si>
  <si>
    <t>augere（増やす, 成長させる）
&lt;span class="spacer"&gt;&lt;/span&gt;過去分詞auctus（増やされた, 成長した）
&lt;span class="spacer"&gt;&lt;/span&gt;名詞を作る-or（～する人, もの）が付いて
auctor（成長させる者, 指導者, 著者）
&lt;span class="spacer"&gt;&lt;/span&gt;名詞を作る-tasが付いて
auctoritas（権威, 影響力）</t>
  </si>
  <si>
    <t>voteは「自分の票をささげること」というイメージ。この「ささげる」という行為はdevoteにも関連する。</t>
  </si>
  <si>
    <t>seeの名詞「見えるもの」と覚えておけばよい。</t>
  </si>
  <si>
    <t>日本語のキャンペーンと同じ。</t>
  </si>
  <si>
    <t>campus（平野）</t>
  </si>
  <si>
    <t>場所に関する名詞を作る-iaが付いて
campania（平野）</t>
  </si>
  <si>
    <t>fund（底, 基礎）系はまとめて覚える。</t>
  </si>
  <si>
    <t>12世紀
fond（底, 地面, 商人の基本的な在庫や資本）</t>
  </si>
  <si>
    <t>webは「糸を張りめぐらした網目上の構造」というイメージ。</t>
  </si>
  <si>
    <t>webb（織られた布）</t>
  </si>
  <si>
    <t>日本語のシンボルと同じ。</t>
  </si>
  <si>
    <t>ballein（投げる）
&lt;span class="spacer"&gt;&lt;/span&gt;名詞になって
bolē（投げること）
&lt;span class="spacer"&gt;&lt;/span&gt;syn（共に）+bolē
symbolon（共に投げ合わされたもの, 合言葉, しるし）</t>
  </si>
  <si>
    <t>analysisは「複雑なものの分解」というイメージ。</t>
  </si>
  <si>
    <t>lyein（ほどく）
&lt;span class="spacer"&gt;&lt;/span&gt;名詞になって
lysis（ほどくこと）
&lt;span class="spacer"&gt;&lt;/span&gt;ana（全体を）+lysis
analysis（分解, 問題を分析によって解決すること）</t>
  </si>
  <si>
    <t>日本語のバージョン（◯◯版）と同じ。</t>
  </si>
  <si>
    <t>vertere（回す, 向ける）</t>
  </si>
  <si>
    <t>名詞を作る-ioが付いて
versio（回転, 翻訳）</t>
  </si>
  <si>
    <t>crisisは「生死を分ける危機」が語源。</t>
  </si>
  <si>
    <t>krinein（分ける）
&lt;span class="spacer"&gt;&lt;/span&gt;名詞を作る-sisが付いて
krisis（病気の分岐点, 回復か死かを分ける点）</t>
  </si>
  <si>
    <t xml:space="preserve">1620年代
医療にかかわらず、重大局面, 危機 </t>
  </si>
  <si>
    <t>disasterのaster部分は「星」のこと。</t>
  </si>
  <si>
    <t>dis（否定）+astro（星）
disastro（星のめぐりが悪い）</t>
  </si>
  <si>
    <t>日本語のレクチャーと同じ。</t>
  </si>
  <si>
    <t>logy部分は「学問」を、psycho部分はサイコパスのサイコと同じで「心」に関連する。</t>
  </si>
  <si>
    <t>psykhē（呼吸, 霊, 心, 魂）+logia（学問, 研究）</t>
  </si>
  <si>
    <t>psychologia（魂・心の研究）</t>
  </si>
  <si>
    <t>1650年代
魂・心の研究
&lt;span class="spacer"&gt;&lt;/span&gt;1748年
心的現象の科学
心理学</t>
  </si>
  <si>
    <t>「ジェンダーの平等」と関連させて覚える。
また印欧祖語*gene-（生む, 産む）系はまとめて覚える。</t>
  </si>
  <si>
    <t>customeからできた動詞accustomを使ったbe accustomed to 名詞と関連させて覚える。</t>
  </si>
  <si>
    <t>スポーツのコートから四方を囲まれた土地→中庭→宮廷→法廷という順で覚えていく。</t>
  </si>
  <si>
    <t>com（共に）+hortus（庭, 囲われた土地）
cohors（囲われた庭, 中庭, 集まった人々）
&lt;span class="spacer"&gt;&lt;/span&gt;cors
囲い地
支配者の周囲に集まる人々
※curia（君主の会議）の影響を受けた意味</t>
  </si>
  <si>
    <t>desertは「捨てられた土地」というイメージ。</t>
  </si>
  <si>
    <t>靴底のソールとsoilの「土地, 土壌」は関連させて覚える。</t>
  </si>
  <si>
    <t>以下の3つが合わって英語となる
&lt;span class="spacer"&gt;&lt;/span&gt;①sol（地面）
&lt;span class="spacer"&gt;&lt;/span&gt;②soeul（場所）
&lt;span class="spacer"&gt;&lt;/span&gt;③soil（泥だらけの場所）</t>
  </si>
  <si>
    <t>agri部分が「畑」で、cultureが「耕作」を意味する。</t>
  </si>
  <si>
    <t>colere（耕す）
&lt;span class="spacer"&gt;&lt;/span&gt;名詞を作る-uraが付いて
cultura（耕作）
&lt;span class="spacer"&gt;&lt;/span&gt;ager（畑）</t>
  </si>
  <si>
    <t>ager（畑）+cultura（耕作）
&lt;span class="spacer"&gt;&lt;/span&gt;agricultura（土地の耕作）</t>
  </si>
  <si>
    <t>日本語のドキュメントと同じ。</t>
  </si>
  <si>
    <t>decere（適切である）
&lt;span class="spacer"&gt;&lt;/span&gt;使役動詞になって
docere（示す, 教える）
&lt;span class="spacer"&gt;&lt;/span&gt;名詞を作る-mentumが付いて
documentum（証拠, 教訓）</t>
  </si>
  <si>
    <t>日本語のボキャブラリー（語彙, 単語の集合）と同じ。</t>
  </si>
  <si>
    <t>vocare（名づける, 呼ぶ）
&lt;span class="spacer"&gt;&lt;/span&gt;名詞を作る-bulum（～するためのもの）が付いて
vocabulum（呼ぶためのもの, 名前, 単語）</t>
  </si>
  <si>
    <t>人工知能＝AIのInteligence（知能）と関連させて覚える。</t>
  </si>
  <si>
    <t>consciousは「内なる自分（意識）が知っている」というイメージ。</t>
  </si>
  <si>
    <t>1600年頃
知っている
&lt;span class="spacer"&gt;&lt;/span&gt;1620年代
conscious to oneself
自分の意識で知っている
&lt;span class="spacer"&gt;&lt;/span&gt;1630年代
意識している
&lt;span class="spacer"&gt;&lt;/span&gt;1650年代
ある事実に気づいている</t>
  </si>
  <si>
    <t>be capable of 名詞（〜できる）という形で覚える。
capableは、capa（つかんで）ble（できる）というイメージ。</t>
  </si>
  <si>
    <t>capere（つかむ, 取る）
&lt;span class="spacer"&gt;&lt;/span&gt;形容詞形になって
capex（受け取る余裕がある, 多くを収容できる）</t>
  </si>
  <si>
    <t>accurateのcura部分は、care（注意）と同じ。何かを注意して行うことから「正確で精密」というイメージ。</t>
  </si>
  <si>
    <t>curs（注意, 配慮）
&lt;span class="spacer"&gt;&lt;/span&gt;ad（～へ）+curare（注意を払う, 世話をする）
accurare（注意深く世話をする, 配慮する）
&lt;span class="spacer"&gt;&lt;/span&gt;過去分詞accuratus（注意深く準備された, 正確な, 念入りな）</t>
  </si>
  <si>
    <t>fundus（底, 基礎）系はまとめて覚える。</t>
  </si>
  <si>
    <t>fundus（底, 基礎）
&lt;span class="spacer"&gt;&lt;/span&gt;動詞になって
fundare（土台を据える, 設立する）
&lt;span class="spacer"&gt;&lt;/span&gt;名詞を作る-mentumが付いて
fundamentum（基礎, 土台）
&lt;span class="spacer"&gt;&lt;/span&gt;形容詞を作る-alisが付いて
fundamentalis（基礎の, 土台に関する）</t>
  </si>
  <si>
    <t>AI（人工知能）のA＝artificial（人工の）</t>
  </si>
  <si>
    <t>facere（する, 作る）
&lt;span class="spacer"&gt;&lt;/span&gt;名詞を作る要素になって
fex（〜する人）
&lt;span class="spacer"&gt;&lt;/span&gt;ars（技術, 芸術）+fex（〜する人）
artifex（職人, 芸術家）
&lt;span class="spacer"&gt;&lt;/span&gt;名詞を作る-iumが付いて
artificium（技術, 芸術作品, 理論）
&lt;span class="spacer"&gt;&lt;/span&gt;形容詞を作る-alisが付いて
artificialis（技術の, 芸術に関する）</t>
  </si>
  <si>
    <t>confirm（確認する）と関連させて覚える。firmは「動かない」というイメージ。</t>
  </si>
  <si>
    <t>roomと関連させて覚える。</t>
  </si>
  <si>
    <t>nuclear weapon（核兵器）から「核の, 原子力の」という意味になる。</t>
  </si>
  <si>
    <t>bio（生物, 生命, バイオ）とlogy（学問）から覚える。</t>
  </si>
  <si>
    <t>日本語のコンスタント（一定の）と同じ。</t>
  </si>
  <si>
    <t>com（強意）+stare（立つ）
constare（しっかり立つ, 堅固である）
&lt;span class="spacer"&gt;&lt;/span&gt;現在分詞constantem（堅固な, 安定した）</t>
  </si>
  <si>
    <t>日本語のシビアと同じ。</t>
  </si>
  <si>
    <t>severus（厳格な, 厳しい）</t>
    <rPh sb="8" eb="10">
      <t>ゲンカク</t>
    </rPh>
    <rPh sb="13" eb="14">
      <t>キビ</t>
    </rPh>
    <phoneticPr fontId="1"/>
  </si>
  <si>
    <t>日本語のビジュアル（見た目の）と同じで「見る」に関わる語。</t>
  </si>
  <si>
    <t>enormousは、e＝ex（外に）とnorm（基準, ノルマ）でできていて「基準を超えて普通じゃない」というイメージ。</t>
  </si>
  <si>
    <t>便利なコンビニ（コンビニエンス・ストア）のconvenienceの形容詞。</t>
  </si>
  <si>
    <t>domは「家」というイメージ。</t>
  </si>
  <si>
    <t>domus（家）
&lt;span class="spacer"&gt;&lt;/span&gt;形容詞を作る-icusが付いて
domesticus（家に関する, 家庭の）</t>
  </si>
  <si>
    <t>大衆に向けて情報発信するマスメディアのマス。</t>
    <phoneticPr fontId="1"/>
  </si>
  <si>
    <t>massa（こねた生地, 塊, 生地のようにまとまりを持つもの）</t>
    <rPh sb="9" eb="11">
      <t>キジ</t>
    </rPh>
    <rPh sb="13" eb="14">
      <t>カタマリ</t>
    </rPh>
    <phoneticPr fontId="1"/>
  </si>
  <si>
    <t>1580年代
大量, 多数
&lt;span class="spacer"&gt;&lt;/span&gt;1600年頃
全体的な量
&lt;span class="spacer"&gt;&lt;/span&gt;1620年代
全体の大部分
&lt;span class="spacer"&gt;&lt;/span&gt;1733年から形容詞として
大衆の, 集団にかかわる</t>
    <rPh sb="4" eb="6">
      <t>ネンダイ</t>
    </rPh>
    <rPh sb="7" eb="9">
      <t>タイリョウ</t>
    </rPh>
    <rPh sb="11" eb="13">
      <t>タスウ</t>
    </rPh>
    <rPh sb="46" eb="48">
      <t>ネンコロ</t>
    </rPh>
    <rPh sb="49" eb="52">
      <t>ゼンタイテキ</t>
    </rPh>
    <rPh sb="53" eb="54">
      <t>リョウ</t>
    </rPh>
    <rPh sb="88" eb="89">
      <t>ダイ</t>
    </rPh>
    <rPh sb="90" eb="92">
      <t>ゼンタイ</t>
    </rPh>
    <rPh sb="93" eb="96">
      <t>ダイブブン</t>
    </rPh>
    <rPh sb="129" eb="130">
      <t>ネン</t>
    </rPh>
    <rPh sb="132" eb="135">
      <t>ケイヨウシ</t>
    </rPh>
    <rPh sb="139" eb="141">
      <t>タイシュウ</t>
    </rPh>
    <rPh sb="144" eb="146">
      <t>シュウダン</t>
    </rPh>
    <phoneticPr fontId="1"/>
  </si>
  <si>
    <t>typicalのtypはタイプ（type, 型）と同じ。</t>
    <rPh sb="22" eb="23">
      <t>カタ</t>
    </rPh>
    <rPh sb="25" eb="26">
      <t>オナ</t>
    </rPh>
    <phoneticPr fontId="1"/>
  </si>
  <si>
    <t>overseasは「海を越えた外国へ」というイメージ。</t>
    <phoneticPr fontId="1"/>
  </si>
  <si>
    <t>confuseは「ごちゃ混ぜになる」というイメージ。</t>
    <phoneticPr fontId="1"/>
  </si>
  <si>
    <t>demonstrateは「証拠や行動で示す」というイメージ。</t>
  </si>
  <si>
    <t>behaveのhaveは「自分の行動を持つ」というイメージ。</t>
  </si>
  <si>
    <t>15世紀初頭
be（強調）+have（特定の方法で持つ）
behave（特定の方法で振る舞う）</t>
  </si>
  <si>
    <t>educateの名詞education（教育）と関連させて覚える。</t>
  </si>
  <si>
    <t>purchaseのchase部分は、chase（追いかける）と同じ。</t>
  </si>
  <si>
    <t>日本語でも使われるレコメンド（おすすめ）と同じ。</t>
  </si>
  <si>
    <t>com（強意）+mandare（任務として委ねる, 任せる）
commendare（世話を委ねる, 託す）</t>
  </si>
  <si>
    <t>admitは「入場ゲートを通す」イメージ。
mit（送る）系はまとめて覚える。</t>
    <rPh sb="26" eb="27">
      <t>オク</t>
    </rPh>
    <rPh sb="29" eb="30">
      <t>ケイ</t>
    </rPh>
    <rPh sb="35" eb="36">
      <t>オボ</t>
    </rPh>
    <phoneticPr fontId="1"/>
  </si>
  <si>
    <t>rate</t>
  </si>
  <si>
    <t>印欧祖語*gene-（生む, 産む）系はまとめて覚える。
generation（世代）やgeneral（一般的な）と関連させて覚える。</t>
  </si>
  <si>
    <t>exploreは「外に向かって叫んで調べる」というイメージ。</t>
    <phoneticPr fontId="1"/>
  </si>
  <si>
    <t>amazing（アメイジング）という驚きの表現と関連させて覚える。</t>
  </si>
  <si>
    <t>a（強意）＋*mæs（迷宮）
amasod（呆然とした）</t>
  </si>
  <si>
    <t>アニメーション追加</t>
    <rPh sb="7" eb="9">
      <t>ツイカ</t>
    </rPh>
    <phoneticPr fontId="1"/>
  </si>
  <si>
    <t>settleのset部分は、sit（座る）やseat（座席）に関連する。</t>
  </si>
  <si>
    <t>affordのford部分は、forth（前へ）と関連する。何かを前へ進めて実現する「余裕がある」となる。
&lt;span class="spacer"&gt;&lt;/span&gt;cannot afford to do（〜する余裕がない）という表現で覚えておく。</t>
  </si>
  <si>
    <t>concludeは「議論をまとめて閉じる」というイメージ。</t>
  </si>
  <si>
    <t>advertiseの名詞advertisement（広告）と関連させて覚える。advertisementは、adという省略形で書かれることがある。</t>
  </si>
  <si>
    <t>ad（〜へ）+vertere（回す, 向ける）
advertere（〜の方へ向きを変える, 注意を向ける）</t>
  </si>
  <si>
    <t>encounterのcounter部分は、contrast（コントラスト, 対照）と関連する。相手と向かい合うイメージ。</t>
    <phoneticPr fontId="1"/>
  </si>
  <si>
    <t>アプリの新着通知や予定をお知らせしてくれる機能をリマインダー（reminder, 思い出させるもの）と言う。</t>
  </si>
  <si>
    <t>テレビ番組のロケは、locateの名詞location（場所, 現場）から来ている。</t>
  </si>
  <si>
    <t>日本語でも使われる商標band-aid（バンドエイド）と関連させて覚える。バンドエイドは応急処置（助ける）のためのもの。</t>
  </si>
  <si>
    <t>日本語でも使われるdeliverの名詞delivery（配達）と関連させて覚える。</t>
  </si>
  <si>
    <t>perceiveのceiveは「つかむ」という意味。ここからperceiveは「心でとらえる」というイメージ。</t>
  </si>
  <si>
    <t>distinguishは、distinct（明確な, 明らかに異なる）とdistinctive（特徴的な, 他とは異なる）と関連させて覚える。</t>
  </si>
  <si>
    <t>implyは、im（中に）とply（包む）というイメージ。</t>
  </si>
  <si>
    <t>日本語でも使われる自転車や車のハンドルからイメージをつかむ。</t>
  </si>
  <si>
    <t>praiseは、price（価値, 価格）と同じ語源に由来する。</t>
    <rPh sb="22" eb="23">
      <t>オナ</t>
    </rPh>
    <rPh sb="24" eb="26">
      <t>ゴゲン</t>
    </rPh>
    <rPh sb="27" eb="29">
      <t>ユライ</t>
    </rPh>
    <phoneticPr fontId="1"/>
  </si>
  <si>
    <t>日本語のアピールからはイメージしづらい法的な意味「訴える, 上訴する」があるので注意。</t>
  </si>
  <si>
    <t>insistのsist部分は、じっと立つというイメージ。</t>
  </si>
  <si>
    <t>日本語でもスポーツやデザインの公募などで「コンペ」という言葉が使われる。これはcompeteの名詞competition（競争）のこと。</t>
  </si>
  <si>
    <t>日本語でも使われるランクづけと同じ。</t>
  </si>
  <si>
    <t>よく使われるシャレが、denyは「〜デナイ」と「否定する」。
denyのny部分は、notと同じ語源にさかのぼる。</t>
  </si>
  <si>
    <t>ject（投げる）系はまとめて覚える。</t>
  </si>
  <si>
    <t>exは「外に」、poseは「置く」というイメージ。</t>
  </si>
  <si>
    <t>favorの核は「対象を好んで支持する」。</t>
  </si>
  <si>
    <t>inspireのspi部分は「息」を表す。古代の人々は息を「生命の根源」と考えていたため、「中に息を吹く」ということは力や新しいアイデアを吹き込むイメージ。
&lt;span class="spacer"&gt;&lt;/span&gt;対義語expireは、息が外に出ることから、命が切れる＝「期限が切れる」という意味になる。</t>
  </si>
  <si>
    <t>pose（置く）系はまとめて覚える。</t>
  </si>
  <si>
    <t>名詞breath（息, ブレス）と関連させて覚える。</t>
  </si>
  <si>
    <t>日本語でもリペア（修理）として使われる。
repairのreは「再び」で、pair部分は、prepareのpare部分と同じく「整える」。再び整える＝「修理する」。</t>
  </si>
  <si>
    <t>consistは、consist of / consist inで覚える。</t>
  </si>
  <si>
    <t>日本語のコメントと同じ。</t>
  </si>
  <si>
    <t>mēns（心）に関連する動詞
meminisse（思い出す）
&lt;span class="spacer"&gt;&lt;/span&gt;com（強意）+minīscī
comminīscī（考え出す）
&lt;span class="spacer"&gt;&lt;/span&gt;過去分詞commentum（考え出されたもの）</t>
  </si>
  <si>
    <t>struct</t>
  </si>
  <si>
    <t>指導する人（インストラクター, instructor）と関連させて覚える。</t>
  </si>
  <si>
    <t>religionのlig部分は、relyと同じく「結ぶ」に由来する可能性があり、「人と神を結びつける」イメージ。</t>
  </si>
  <si>
    <t>neighborhoodのneigh部分は、near（近い）と同じだと考えてよい。</t>
  </si>
  <si>
    <t>日本語でも研究室のことをラボと言う。
laboratoryのlabor部分は、現代英語のlabor（労働）と同じ。</t>
  </si>
  <si>
    <t>labor（労働）
&lt;span class="spacer"&gt;&lt;/span&gt;動詞になって
laborare（働く）
&lt;span class="spacer"&gt;&lt;/span&gt;過去分詞laboratus（働いた）</t>
  </si>
  <si>
    <t>presenceは「目の前にある」というイメージ。</t>
  </si>
  <si>
    <t>Aの害になる
cause harm to A
do harm to A</t>
  </si>
  <si>
    <t>stru</t>
  </si>
  <si>
    <t>in（中に）+struere（積み上げる）
instruere（中に積み上げる, 秩序立てる, 教える）
&lt;span class="spacer"&gt;&lt;/span&gt;名詞を作る-mentumが付いて
instrumentum（道具, 器具）</t>
  </si>
  <si>
    <t>日本語のカテゴリと同じ。</t>
  </si>
  <si>
    <t>capitalのcapt部分は、captain（キャプテン）と同じく「頭」を意味する。</t>
  </si>
  <si>
    <t>outcomeは「出てくるもの」というイメージ。</t>
  </si>
  <si>
    <t>not</t>
  </si>
  <si>
    <t>noscere（知るようになる, 認識する）
&lt;span class="spacer"&gt;&lt;/span&gt;過去分詞から名詞を作る-ioが付いて
notio（知られたこと, 概念, 考え）</t>
  </si>
  <si>
    <t>日本語でも使われるレビューと同じだが、「復習」という意味もある。これはre＋view＝「繰り返し見ること」から理解できる。</t>
  </si>
  <si>
    <t>versi</t>
  </si>
  <si>
    <t>dis（離れて）+vertere（回す, 向ける）
divertere（異なる方向に向ける）
&lt;span class="spacer"&gt;&lt;/span&gt;過去分詞diversus（異なる方向に向いた）
&lt;span class="spacer"&gt;&lt;/span&gt;名詞を作る-tasが付いて
diversitas（対立, 相違, 差異）</t>
  </si>
  <si>
    <t>victima（神に捧げる生贄としての動物や人）</t>
  </si>
  <si>
    <t>ob（〜に向かって）+cadere（落ちる）
occidere（〜に向かって落ちる, 倒れる, 沈む）
&lt;span class="spacer"&gt;&lt;/span&gt;過去分詞occasus
&lt;span class="spacer"&gt;&lt;/span&gt;名詞を作る-ioが付いて
occasio（機会, 適切な時期）</t>
  </si>
  <si>
    <t>facilityは、facultyと関連させて覚える。どちらも「行いやすいこと」に由来する。
facilityは、簡単に行うためのもの＝「施設, 設備」。
facultyは、簡単に行える力＝「能力」。</t>
  </si>
  <si>
    <t>日本語でも使われるストック（在庫, 蓄え）と関連させて覚える。</t>
  </si>
  <si>
    <t>fer（運ぶ）系はまとめて覚える。
日本でも「会議」のことをカンファレンスと言う。</t>
  </si>
  <si>
    <t>humani</t>
  </si>
  <si>
    <t>humanと関連させて覚える。</t>
  </si>
  <si>
    <t>dialogue（ダイアローグ, 対話）と関連させて覚える。</t>
  </si>
  <si>
    <t>proportionは、部分（portion）を前へ（pro）出して他と比較するイメージ。</t>
  </si>
  <si>
    <t>law（法律）＋er（〜する人）として覚える。</t>
  </si>
  <si>
    <t>stuffは「漠然として何かのモノ」というイメージ。</t>
  </si>
  <si>
    <t>estoffer（装備する, 備え付ける）
&lt;span class="spacer"&gt;&lt;/span&gt;estoffe（キルティング素材, 家具, 備品）</t>
  </si>
  <si>
    <t>14世紀初頭
鎖かたびらの下に着るキルティング素材
&lt;span class="spacer"&gt;&lt;/span&gt;1400年頃
職人が加工に用いる素材
&lt;span class="spacer"&gt;&lt;/span&gt;15世紀初頭
軍の補給物資
&lt;span class="spacer"&gt;&lt;/span&gt;15世紀半ば
一般的な所有物, 財産, 食料
さらに抽象的になり、種類を特定しない物や材料</t>
  </si>
  <si>
    <t>comfortは「相手を力づける慰めや快適さ」というイメージ。comfortable（快適な）と関連させて覚える。</t>
  </si>
  <si>
    <t>philo（愛する）＋sophia（知）から成り立つ。</t>
  </si>
  <si>
    <t>quanti</t>
  </si>
  <si>
    <t>land（土地）＋scap（〜の状態）
landscap（地域）</t>
  </si>
  <si>
    <t>tribeのtri部分は、トリプルのtriと同じ。</t>
  </si>
  <si>
    <t>organは「全体を機能させるためのもの」というイメージ。</t>
  </si>
  <si>
    <t>organon（何かを行うためのもの, 道具, 感覚器官, 身体器官, 楽器）</t>
  </si>
  <si>
    <t>trialはtryの名詞で「試すこと」覚える。</t>
  </si>
  <si>
    <t>日本語のノルマと同じ。</t>
  </si>
  <si>
    <t>codeは「ルールを体系的にまとめたもの」というイメージ。</t>
  </si>
  <si>
    <t>caudex（木の幹, 木の板に蝋を流して作った本）
&lt;span class="spacer"&gt;&lt;/span&gt;codex（制定した法の体系的な分類）</t>
  </si>
  <si>
    <t>1946年から
コンピュータのプログラムの言語</t>
  </si>
  <si>
    <t>substanceは「変化しにく本質的なもの」というイメージ。</t>
    <phoneticPr fontId="1"/>
  </si>
  <si>
    <t>multipleのmulti部分は「多数」を意味する。これは日本語でもマルチとして使われる。
ple部分は、doubleやtripleのように「n倍, n重」を意味する。</t>
  </si>
  <si>
    <t>number（数）と関連させて覚える。</t>
  </si>
  <si>
    <t>wide（広い）とspread（広がる）の過去分詞形容詞の組み合わせ。</t>
  </si>
  <si>
    <t>sufficientは「必要な数量足りている」というイメージ。</t>
  </si>
  <si>
    <t>proper, property, appropriateはまとめて、private（プライベート）と関連させて覚える。</t>
  </si>
  <si>
    <t>linguisticのlingu部分は、bilingual（バイリンガル, 2カ国語話者）のlinguと同じで「言語」を意味する。</t>
  </si>
  <si>
    <t>近代英語①</t>
  </si>
  <si>
    <t>近代英語②</t>
  </si>
  <si>
    <t>annualのannu部分は、anniversary（周年記念日）のanniと同じく「年」を意味する。</t>
  </si>
  <si>
    <t>annus（年）</t>
  </si>
  <si>
    <t>com（共に）と、時間に関係する「テンポ」が合わさって「同じ時代の」と覚える。</t>
  </si>
  <si>
    <t>tempus（時間）
&lt;span class="spacer"&gt;&lt;/span&gt;形容詞を作る-ariusが付いて
temporarius（時間の）</t>
  </si>
  <si>
    <t>1630年代
同時の, 同時代の
&lt;span class="spacer"&gt;&lt;/span&gt;1805年から
芸術や文学などに関して、現代の</t>
  </si>
  <si>
    <t>contraryのcontra部分は、コントラストと同じく「反対」というイメージ。</t>
  </si>
  <si>
    <t>strictly speaking（厳密に言えば）と関連させて覚える、
またstrictのstr部分は、stressやstrainなどと同じく「強く引き締める」イメージ。</t>
  </si>
  <si>
    <t>city, civilizeやシビリアンコントロールなど、「市民」に関連する語で合わせて覚える。</t>
  </si>
  <si>
    <t>奇数はodd number / 偶数はeven numberと言う。</t>
  </si>
  <si>
    <t>superioは、super（上に）の比較級で「より上の, より優れた」と覚える。</t>
  </si>
  <si>
    <t>sense（感覚）と関連する語。</t>
  </si>
  <si>
    <t>violent（暴力的な, 激しい）の名詞violence（暴力）は、DV（家庭内暴力, ドメスティック・バイオレンス）で使わられる。</t>
  </si>
  <si>
    <t>vis（力）から派生した動詞violare（力によって踏みにじる）に関連する
&lt;span class="spacer"&gt;&lt;/span&gt;violentus（力の激しい, 荒々しい, 過激な）</t>
  </si>
  <si>
    <t>tu</t>
  </si>
  <si>
    <t>日本語でもヴァーチャル・リアリティ（仮想現実）として使われる。virtualは架空や嘘といった意味に誤解されることがあるが、本質は「実際には存在しないが、本物と同じ力がある」というイメージ。</t>
  </si>
  <si>
    <t>vir（男）
&lt;span class="spacer"&gt;&lt;/span&gt;名詞を作る-tusが付いて
virtus（男らしさ, 男気, 力, 卓越性）</t>
  </si>
  <si>
    <t>14世紀後期
肉体的な能力によって影響を及ぼす
固有の自然な性質に対して効果的な
&lt;span class="spacer"&gt;&lt;/span&gt;15世紀初頭
ある効果を生み出す能力を持つ
&lt;span class="spacer"&gt;&lt;/span&gt;15世紀半ば
実際には存在しないが、実質的に存在していること</t>
  </si>
  <si>
    <t>regardは「注意して目を向ける」イメージ。それが無い（less）から「〜に関係なく, 〜にかかわらず」となる。</t>
  </si>
  <si>
    <t>mediate</t>
  </si>
  <si>
    <t>immediateのim部分は「否定」で、med部分は「中間」を意味し、「間に何もない」というイメージ。</t>
  </si>
  <si>
    <t>medius（中間の）
&lt;span class="spacer"&gt;&lt;/span&gt;動詞になって
mediare（半分にする）
&lt;span class="spacer"&gt;&lt;/span&gt;過去分詞midiatus（中間に置かれた）</t>
  </si>
  <si>
    <t>crucialは、crossと同じ語源に由来する。</t>
  </si>
  <si>
    <t>crucial（十字形の, 膝の十字靭帯の）</t>
    <phoneticPr fontId="1"/>
  </si>
  <si>
    <t>some（いくらかの）+what（もの）から「不特定の程度や量」を意味する。</t>
    <rPh sb="23" eb="26">
      <t>フトクテイ</t>
    </rPh>
    <rPh sb="27" eb="29">
      <t>テイド</t>
    </rPh>
    <rPh sb="30" eb="31">
      <t>リョウ</t>
    </rPh>
    <rPh sb="33" eb="35">
      <t>イミ</t>
    </rPh>
    <phoneticPr fontId="1"/>
  </si>
  <si>
    <t>interpretは「AとBの間に入ってAをBに変換する」イメージ。</t>
  </si>
  <si>
    <t>日本語のリクエストと同じ。</t>
  </si>
  <si>
    <t>以下と関連させて覚える。
criticism（批評, 批判）
critic（批評家, 批判者）
critical（批判的な, 決定的な, クリティカルな）</t>
  </si>
  <si>
    <t>krinein（分ける, 判断する）
&lt;span class="spacer"&gt;&lt;/span&gt;形容詞を作る-ikosが付いて
kritikos（判断を下すことができる）</t>
  </si>
  <si>
    <t>overとcomeから「乗り越える」イメージ。</t>
  </si>
  <si>
    <t>ofer（上に, 越えて）＋cuman（来る）
ofercuman
越えて来る, 追いつく, 追い越す
宗教的または道徳的な悪や罪の誘惑に打ち勝つ</t>
  </si>
  <si>
    <t>obtainは「対象をグッとつかんで離さない」イメージ。</t>
  </si>
  <si>
    <t>ob（強意）＋tenere（保つ）
obtinere（しっかり保つ, つかみ取る, 獲得する）</t>
  </si>
  <si>
    <t>名詞のinformation（情報）と関連させ、「情報を与える」と覚えておけばよい。</t>
  </si>
  <si>
    <t>en（動詞化）とsure（確信, 確実）と関連させて覚える。</t>
  </si>
  <si>
    <t>14世紀後期から英語でも見られる</t>
  </si>
  <si>
    <t>日本語でも使われる場内アナウンス（場内でのお知らせ）や、アナウンサー（announcer, 発表する人, ニュースを知らせる人）と関連させて覚える。</t>
  </si>
  <si>
    <t>take A for granted（Aを当然のことと思う）も覚えておく。</t>
  </si>
  <si>
    <t>日本語でも使われる画面がフリーズする（固まる）と関連させて覚える。また「冷凍庫」のことを英語でfreezer（フリーザー）と言う。</t>
  </si>
  <si>
    <t>ob（〜に対して）＋ponere（置く）
oppnere（相手に対して置く, 反対する）</t>
  </si>
  <si>
    <t>fer（運ぶ）系はまとめて覚える。
different（さまざまな, 異なっている）の動詞と覚えればよい。</t>
  </si>
  <si>
    <t>hatian（激しい悪意をもって嫌う, 強い嫌悪感を抱く, 敵として扱う）</t>
  </si>
  <si>
    <t>emphasis（強調）の動詞として覚える。</t>
  </si>
  <si>
    <t>employは「事業の中に折り込む＝雇う」というイメージ。</t>
  </si>
  <si>
    <t>credere（信じる）系はまとめて覚える。</t>
  </si>
  <si>
    <t>transformは「あるフォームから別のフォームにする」というイメージ。</t>
  </si>
  <si>
    <t>constructは「いろいろなパーツを積み上げて作り上げる」というイメージ。</t>
  </si>
  <si>
    <t>rise（上がる）にa（〜から）が付いた語。</t>
  </si>
  <si>
    <t>音楽の「ズンズンズン」という打ちつけるようなビートと関連させて覚える。</t>
  </si>
  <si>
    <t>alter. alternative, alternateを関連させて覚える。これはotherと同じ印欧祖語にさかのぼる。</t>
  </si>
  <si>
    <t>absorbのsorb部分は「吸い込む」という意味。</t>
  </si>
  <si>
    <t>disappointは、appoint（指名する, 任命する）と関連させて覚える。任命したのに「失望させてがっかり」というイメージで覚える。</t>
  </si>
  <si>
    <t>à point（要点に, 適切に）
&lt;span class="spacer"&gt;&lt;/span&gt;apointer（適切に）
&lt;span class="spacer"&gt;&lt;/span&gt;apointer（配置する, 任命する）
&lt;span class="spacer"&gt;&lt;/span&gt;des（反対）＋apointer（任命する）
desapointer（任命を取り消す）</t>
  </si>
  <si>
    <t>import（輸入する）, export（輸出する）と関連させて覚える。</t>
  </si>
  <si>
    <t>通勤・通学時に交通機関が非常に混雑する時間帯をラッシュアワーと言う。これは人々が急いで行くことに由来する。</t>
  </si>
  <si>
    <t>日本語でも使われるhanger（ハンガー, 服を掛ける物）と関連させて覚える。ここから-er（〜する人, 〜する物）を取ればhang（掛ける）になる。</t>
  </si>
  <si>
    <t>blameは「悪いことを相手に帰属させる」というイメージ。</t>
    <phoneticPr fontId="1"/>
  </si>
  <si>
    <t>blasphemare（悪口を言う, 非難する）</t>
  </si>
  <si>
    <t>recoverのcoverは、ceive系やcaptureの「取る」と関連する。</t>
    <phoneticPr fontId="1"/>
  </si>
  <si>
    <t>有名人のことを指すセレブ（celebrity）と関連する語。celebrate, celebrityに共通するのは「人が集まる」というイメージ。</t>
    <rPh sb="0" eb="3">
      <t>ユウメイジン</t>
    </rPh>
    <rPh sb="7" eb="8">
      <t>サ</t>
    </rPh>
    <rPh sb="24" eb="26">
      <t>カンレン</t>
    </rPh>
    <rPh sb="28" eb="29">
      <t>ゴ</t>
    </rPh>
    <rPh sb="51" eb="53">
      <t>キョウツウ</t>
    </rPh>
    <rPh sb="58" eb="59">
      <t>ヒト</t>
    </rPh>
    <rPh sb="60" eb="61">
      <t>アツ</t>
    </rPh>
    <phoneticPr fontId="1"/>
  </si>
  <si>
    <t>celeber（人の多い, 混雑した, 有名な）
&lt;span class="spacer"&gt;&lt;/span&gt;動詞になって
celebrare（大勢で集まる, 祭典などを執り行う）
&lt;span class="spacer"&gt;&lt;/span&gt;過去分詞celebratus</t>
    <rPh sb="14" eb="16">
      <t>コンザツ</t>
    </rPh>
    <rPh sb="73" eb="74">
      <t>アツ</t>
    </rPh>
    <rPh sb="78" eb="80">
      <t>サイテン</t>
    </rPh>
    <rPh sb="83" eb="84">
      <t>ト</t>
    </rPh>
    <rPh sb="85" eb="86">
      <t>オコナ</t>
    </rPh>
    <phoneticPr fontId="1"/>
  </si>
  <si>
    <t>manufactureのmanu部分は、manualと同じ「手」を意味する。facuture部分は、factoryと同じで「造る」を意味する。</t>
    <rPh sb="16" eb="18">
      <t>ブブン</t>
    </rPh>
    <rPh sb="27" eb="28">
      <t>オナ</t>
    </rPh>
    <rPh sb="30" eb="31">
      <t>テ</t>
    </rPh>
    <rPh sb="33" eb="35">
      <t>イミ</t>
    </rPh>
    <rPh sb="46" eb="48">
      <t>ブブン</t>
    </rPh>
    <rPh sb="58" eb="59">
      <t>オナ</t>
    </rPh>
    <rPh sb="62" eb="63">
      <t>ツク</t>
    </rPh>
    <rPh sb="66" eb="68">
      <t>イミ</t>
    </rPh>
    <phoneticPr fontId="1"/>
  </si>
  <si>
    <t>1560年代
手で作られたもの
&lt;span class="spacer"&gt;&lt;/span&gt;1620年代
原材料または加工材料から、手作業や機械によって製品を作る過程（名詞）
&lt;span class="spacer"&gt;&lt;/span&gt;1680年代
材料を使用に適した形に変える（動詞）
&lt;span class="spacer"&gt;&lt;/span&gt;1755年までに
多くの人手や機械の助けを借りて大量に製造する
&lt;span class="spacer"&gt;&lt;/span&gt;1762年から
人工的に作り上げる, でっちあげる</t>
    <phoneticPr fontId="1"/>
  </si>
  <si>
    <t>inter（間に）とact（行う, 作用する）からイメージをつかむ。</t>
    <rPh sb="6" eb="7">
      <t>アイダ</t>
    </rPh>
    <rPh sb="14" eb="15">
      <t>オコナ</t>
    </rPh>
    <rPh sb="18" eb="20">
      <t>サヨウ</t>
    </rPh>
    <phoneticPr fontId="1"/>
  </si>
  <si>
    <t>日本語のアレンジは工夫というニュアンスだが、英語は異なるので注意。
arrangeのrange部分は、rank（ランク, 地位, 階級）と関連し「並べて整える」というイメージ。</t>
    <rPh sb="0" eb="3">
      <t>ニホンゴ</t>
    </rPh>
    <rPh sb="9" eb="11">
      <t>クフウ</t>
    </rPh>
    <rPh sb="22" eb="24">
      <t>エイゴ</t>
    </rPh>
    <rPh sb="25" eb="26">
      <t>コト</t>
    </rPh>
    <rPh sb="30" eb="32">
      <t>チュウイ</t>
    </rPh>
    <rPh sb="47" eb="49">
      <t>ブブン</t>
    </rPh>
    <rPh sb="61" eb="63">
      <t>チイ</t>
    </rPh>
    <rPh sb="65" eb="67">
      <t>カイキュウ</t>
    </rPh>
    <rPh sb="69" eb="71">
      <t>カンレン</t>
    </rPh>
    <rPh sb="73" eb="74">
      <t>ナラ</t>
    </rPh>
    <rPh sb="76" eb="77">
      <t>トトノ</t>
    </rPh>
    <phoneticPr fontId="1"/>
  </si>
  <si>
    <t>rang（列, 階級, ランク）
&lt;span class="spacer"&gt;&lt;/span&gt;動詞になって
rangier（列に並べる）
&lt;span class="spacer"&gt;&lt;/span&gt;a（〜へ）＋rangier（列に並べる）
arengier（列に並べる, 隊列を整える）</t>
    <phoneticPr fontId="1"/>
  </si>
  <si>
    <t>日本語でも使われるadjuster（アジャスター, 調整するもの）と関連させて覚える。</t>
    <phoneticPr fontId="1"/>
  </si>
  <si>
    <t>ad（〜へ）＋iuxta（隣に, 近くに）
&lt;span class="spacer"&gt;&lt;/span&gt;動詞になって
adiuxtare（近くへ持ってくる）</t>
    <phoneticPr fontId="1"/>
  </si>
  <si>
    <t>firm（確固たる）の動詞としてイメージすればよい。</t>
    <rPh sb="5" eb="7">
      <t>カッコ</t>
    </rPh>
    <rPh sb="11" eb="13">
      <t>ドウシ</t>
    </rPh>
    <phoneticPr fontId="1"/>
  </si>
  <si>
    <t>ferre（運ぶ）系はまとめて覚える。
translateは「ある言葉を別の言葉へ運ぶ」イメージ。</t>
  </si>
  <si>
    <t>concentrateのcentr部分は、center（中心, センター）と同じなので「中心に集める」イメージ。</t>
  </si>
  <si>
    <t>sightはseeの名詞と考えればよい。</t>
  </si>
  <si>
    <t>novat</t>
  </si>
  <si>
    <t>innovationのnov部分は、novel（目新しい）と同じ語源に由来する。</t>
  </si>
  <si>
    <t>16世紀後期
貯蔵, 寄せ集め
&lt;span class="spacer"&gt;&lt;/span&gt;1733年
予算, 歳出入の見積書
（財務大臣が財政計画書を革の袋にいれて持ち歩いたことに由来する）</t>
  </si>
  <si>
    <t>feeは「家畜, 財産→君主に仕える役職→役職の報酬→一般的な報酬や料金」へと発展した。</t>
  </si>
  <si>
    <t>古英語feohとアングロ・フランス語feeが影響し合い、1つの単語として成立する
&lt;span class="spacer"&gt;&lt;/span&gt;1300年頃
封建的な主従関係を条件として与えられる土地や権利
&lt;span class="spacer"&gt;&lt;/span&gt;14世紀後期
土地の所有という意味から、領主に使える世襲的な役職という意味へ発展
&lt;span class="spacer"&gt;&lt;/span&gt;この役職は収益を伴うことがあったため、職務に対する報酬, さらにあらゆる労働やサービスへの報酬という意味へ発展
&lt;span class="spacer"&gt;&lt;/span&gt;またギルドなどへの入会金という意味も追加
&lt;span class="spacer"&gt;&lt;/span&gt;15世紀初頭
手数料</t>
  </si>
  <si>
    <t>形容詞expensive（高価な）と関連させ、何かを出費するイメージを持っておく。
またexpend / spend（費やす）の名詞で「費やすもの」として覚えてもよい。</t>
  </si>
  <si>
    <t>debtは「借りているもの, 借り」と覚えておけばよい。</t>
  </si>
  <si>
    <t>日本語のローンと同じ。
loanはlend（貸す）と同じ語源にさかのぼるのでセットで覚える。</t>
  </si>
  <si>
    <t>alarmのarm部分は「武器」を意味した。</t>
  </si>
  <si>
    <t>a（〜へ）le（その）＋ arme（武器）
all’arme（武装せよ！武器を取れ！）</t>
  </si>
  <si>
    <t>動詞emerge（現れる, 明らかになる）の名詞として覚える。</t>
  </si>
  <si>
    <t>democracyのdemo部分は「民衆」という意味。</t>
  </si>
  <si>
    <t>dēmos（地区, 民衆）＋kratos（支配, 統治）
dēmokratía（民衆による統治）</t>
  </si>
  <si>
    <t>ministerのmini部分は「ミニ, 小さい」と同じ。ministerは「より大きいものの下につく者」というイメージ。</t>
  </si>
  <si>
    <t>minor（より小さい）＋teros（比較級接尾辞）
minister（下位の者, 祭司の助手, 召使い）
&lt;span class="spacer"&gt;&lt;/span&gt;&lt;span class="obsolete"&gt;これは magis（より大きい）＋ter（比較級接尾辞）を真似して作られた語
ちなみにラテン語magisterは、master（長, 師）になった&lt;/span&gt;</t>
  </si>
  <si>
    <t>fellowのfe部分は、fee（料金）と関連して「お金」に由来する。fellowは、共同出資者から仲間という意味になった。</t>
  </si>
  <si>
    <t>fe（お金）＋lag（置くこと）
felagi（共同事業でお金を出し合う者, 仲間）</t>
  </si>
  <si>
    <t>candidateのcand部分は、candle（キャンドル）と同じ。「白く輝く」というイメージ。古代ローマの公職志願者は、白い服を着ていた。</t>
  </si>
  <si>
    <t>candere（白く輝く）
&lt;span class="spacer"&gt;&lt;/span&gt;過去分詞candidus（白く輝いた）
&lt;span class="spacer"&gt;&lt;/span&gt;動詞になって
candidare（白くする）
&lt;span class="spacer"&gt;&lt;/span&gt;過去分詞candidātus（白衣を着た者, 公職を志望する者）
&lt;span class="spacer"&gt;&lt;/span&gt;古代ローマにおいて、公職志望者は目も眩むような白いトガを着用した。これは市政に携わろうとする自らの意図が純潔（潔白）であることを示すためであったと考えられる。</t>
    <phoneticPr fontId="1"/>
  </si>
  <si>
    <t>corporat</t>
  </si>
  <si>
    <t>会社名の「◯◯コーポレーション」から「企業, 法人」というイメージを持つ。</t>
  </si>
  <si>
    <t>日本語でもステレオタイプ（固定観念）は使われるので、そのまま覚える。</t>
    <phoneticPr fontId="1"/>
  </si>
  <si>
    <t>日本語のルートと同じ。</t>
  </si>
  <si>
    <t>order（秩序, 整っている状態）にdis（否定）が付いたと考えればよい。</t>
  </si>
  <si>
    <t>状態をde（下に）press（押す）というイメージ。</t>
  </si>
  <si>
    <t>emigrate / immigrate / emigrateを関係させて覚える。</t>
  </si>
  <si>
    <t>日本語でも使われるバリア（防ぐ物）と関連させて覚える。</t>
  </si>
  <si>
    <t>barra（棒）
&lt;span class="spacer"&gt;&lt;/span&gt;barriere（障害物）</t>
  </si>
  <si>
    <t>advantage（利点, 利益, アドバンテージ）の反対と覚える。</t>
  </si>
  <si>
    <t>日本語でも使われるムード（気分, 雰囲気）と同じ。</t>
  </si>
  <si>
    <t>routineのrout部分は、route（ルート, 道）と同じ。ルーティーンはいつも同じ道を通る感じ。</t>
  </si>
  <si>
    <t xml:space="preserve">disciplineは、ラテン語discipulus（弟子, 学生）から生まれたので「学び」と関係する意味になる。
学ぶ内容→学問分野
指導方法→規律, しつけ, 訓練 </t>
  </si>
  <si>
    <t>mythは「真偽不明な古くから伝えられる物語」というイメージ。</t>
  </si>
  <si>
    <t>mythos（話し言葉, 会話, 語り, 伝承, 神話）</t>
  </si>
  <si>
    <t>hypothesisは「下に置くこと＝前提となる仮説」というイメージ。この発想はsuppose（仮定する）と同じ。</t>
  </si>
  <si>
    <t>physicianとsurgeonはセットで覚える。</t>
  </si>
  <si>
    <t>examine</t>
  </si>
  <si>
    <t>exam / examination（試験）と関連させて覚える。</t>
  </si>
  <si>
    <t>ex（外へ）+agere（動かす, 駆り立てる）
exigere（追い出す, 要求する, 正確に量る）
&lt;span class="spacer"&gt;&lt;/span&gt;examen（秤, 秤の舌, 測定）
&lt;span class="spacer"&gt;&lt;/span&gt;動詞になって
examinare（量る, 試験する）</t>
  </si>
  <si>
    <t>clientのcli部分は、inclined, declineのcli部分と同じで「傾く」という意味。</t>
  </si>
  <si>
    <t>clinare（傾く）に関連する
clientem（家臣, 従者）</t>
  </si>
  <si>
    <t>state（国家, 州）やstatus（ステータス）と同じ語源に由来する。statisticsはもともと「国にかかわる統計を扱う学問」だった。</t>
  </si>
  <si>
    <t>stare（立つ）
&lt;span class="spacer"&gt;&lt;/span&gt;名詞を作る-usが付いて
status（立つこと, 場所, 位置, 状態, 共同体の体制）</t>
  </si>
  <si>
    <t>Statistik
ドイツ人政治学者が著書『国家学入門』（1748年）の中で広めた語
人口、資源、軍事力、税収といった「国家の国力や状態を記述・比較する学問」</t>
  </si>
  <si>
    <t>ingredientのin部分は「中に」で、gredi部分は「歩く」。「中に入る」というイメージ。</t>
  </si>
  <si>
    <t>日本語でも使われるトレジャー（宝物）と同じ。</t>
  </si>
  <si>
    <t>tithenai（置く）に関連する
thēsauros（蓄え, 宝）</t>
  </si>
  <si>
    <t>tract（引く）系はまとめて覚える。</t>
  </si>
  <si>
    <t>welfareをひっくり返したfarewell（別れ）は同じ語源にさかのぼる。またfare部分は、fare（運賃）と同じ語源にさかのぼる。</t>
  </si>
  <si>
    <t>curiousは、cur部分が「注意, 関心」で、ous部分が「満ちた」というイメージ。</t>
  </si>
  <si>
    <t>cura（注意, 関心, 世話）
&lt;span class="spacer"&gt;&lt;/span&gt;形容詞を作る-osus（満ちた）を作る
curiosus（注意深い, 熱心に探りたがる）</t>
  </si>
  <si>
    <t>日本語でも使われるドラマ（劇）やドラマチックと関連させて覚える。</t>
  </si>
  <si>
    <t>distinguish（区別する）の形容詞として覚えればよい。
distinctは「区別されて他と明らかに異なる」というイメージ。</t>
  </si>
  <si>
    <t>dis（離れて）+stinguere（突く, 刺激する）
distinguere（区別する, 分け隔てる）
&lt;span class="spacer"&gt;&lt;/span&gt;過去分詞distinctus（区別された, 明確な）</t>
  </si>
  <si>
    <t>anxiousは「胸を締め付けられる→心配・不安→切望」という流れ。</t>
  </si>
  <si>
    <t>日本語でもバイタリティ（vitality, 活力, 活気）という言葉があるが、vita部分は「生命, 生きる力」に関わる。</t>
  </si>
  <si>
    <t>conventionalはconvention（慣習）と関連させて覚える。
人が集まってconvention（慣習）ができる。そして慣習は「型にはまっていて、従来と変わらない」conventionalとなる。</t>
  </si>
  <si>
    <t>abs</t>
  </si>
  <si>
    <t>truct</t>
  </si>
  <si>
    <t>abstractは「具体的なものから引き離されて抽象的」というイメージ。</t>
  </si>
  <si>
    <t>日本語でも使われるマイナー（小さい, 些細な, メジャーの反対）と同じ。</t>
  </si>
  <si>
    <t>extraordinaryは、order, ordinary（通常）のextra（外）と覚えればよい。</t>
  </si>
  <si>
    <t>staと見たら、まず「立つ」系と考える。</t>
  </si>
  <si>
    <t>flexibleのflex部分は、reflectのflectと同じで「曲げる」という意味。</t>
  </si>
  <si>
    <t>visual, videoなど、vi(s)部分は「見る」に関連する。</t>
  </si>
  <si>
    <t>un（否定）とexpect（期待する）と関連させて覚える。unexpectedは「期待していなくて予想外」というイメージ。</t>
  </si>
  <si>
    <t>specere（見る）
&lt;span class="spacer"&gt;&lt;/span&gt;反復形spectare（繰り返し見る, 注視する）
&lt;span class="spacer"&gt;&lt;/span&gt;ex（外に, 徹底的に）+spectare（注視する）
expectare（徹底的に注視する, 待ち望む, 期待する, 予期する）</t>
  </si>
  <si>
    <t>日本語でも使われるエスニック料理（民族料理）と関連させて覚える。</t>
  </si>
  <si>
    <t>エイリアンと聞くと宇宙人が思い浮かぶが、語源を「自分たち側ではない向こう側」というイメージ。
事件当時の「アリバイ, alibi」という言葉も同じ語源にさかのぼる。</t>
  </si>
  <si>
    <t>iti</t>
  </si>
  <si>
    <t>日本語でも使われるイニシャル（初めの文字, 頭文字）と関連させて覚える。</t>
  </si>
  <si>
    <t>in（中に）+ire（行く）
inire（中に入る, 着手する, 始める）
&lt;span class="spacer"&gt;&lt;/span&gt;名詞を作る-iumが付いて
initium（始まり, 入り口）
&lt;span class="spacer"&gt;&lt;/span&gt;形容詞を作る-alisが付いて
initialis（始まりの, 最初の）</t>
  </si>
  <si>
    <t>exactは「徹底的に行われたから正確な」というイメージ。
exactly（正確に, まさにその通り）も覚えておく。</t>
  </si>
  <si>
    <t>ex（外へ）+agere（動かす, 駆り立てる）
exigere（追い出す, 要求する, 正確に量る）
&lt;span class="spacer"&gt;&lt;/span&gt;過去分詞exactus（正確な, 精密な, 完全に仕上げられた）</t>
  </si>
  <si>
    <t>preciseは「pre（あらかじめ）余分や無駄がcise（切り落とされて）正確な」というイメージ。</t>
  </si>
  <si>
    <t>late（遅い）と関連させて覚える。
latterは、lateの比較級で、2つの内の後の方。</t>
  </si>
  <si>
    <t>日本語でも使われるグラノーラ（穀物である麦を使ったシリアル食品）と関連させて覚える。
&lt;div class="sample_image grain"&gt;&lt;/div&gt;</t>
    <phoneticPr fontId="1"/>
  </si>
  <si>
    <t>mit（送る）系はまとめて覚える。</t>
  </si>
  <si>
    <t>stimulateのsti部分は「突っつく」イメージ。</t>
  </si>
  <si>
    <t>reactの名詞reaction（リアクション, 反応）と関連させて覚える。</t>
  </si>
  <si>
    <t>stareは「視線を対象に硬直させる」というイメージ。</t>
  </si>
  <si>
    <t>quitus（戦争や義務から解放された）</t>
  </si>
  <si>
    <t>&lt;span class="w"&gt;&lt;b&gt;【2.increase：増加する, ～を増やす】&lt;/b&gt;&lt;/span&gt;
&lt;span class="ml"&gt;ラテン語に由来する語で、以下の2つの要素から成る。
&lt;span class="spacer"&gt;&lt;/span&gt;in（中に）
crescere（成長する）
&lt;span class="spacer"&gt;&lt;/span&gt;このまま日本語にすると「中に成長する」となる。これは木の芽（の内部）が膨らんで大きくなっていくことをイメージしてほしい。この成長して膨らんで大きくなっていくことから、大きさや数が膨れあがる＝「増加する, 増やす」という意味になる。
&lt;div class="sample_image increase"&gt;&lt;/div&gt;&lt;/span&gt;</t>
  </si>
  <si>
    <t>&lt;span class="w"&gt;&lt;b&gt;【3.improve：～を良くする, 良くなる】&lt;/b&gt;&lt;/span&gt;
&lt;span class="ml"&gt;古フランス語に由来する語で、以下の2つの要素から成る。
&lt;span class="spacer"&gt;&lt;/span&gt;en（させる）
prou（利益）
&lt;span class="spacer"&gt;&lt;/span&gt;このまま日本語にすると「利益にさせる」となる。つまりプラスの状態にするということで、良い状態や結果になる＝「良くする, 良くなる」という意味になる。&lt;/span&gt;</t>
  </si>
  <si>
    <t>&lt;span class="w"&gt;&lt;b&gt;【4.mean：～を意味する, ～を意図する】&lt;/b&gt;&lt;/span&gt;
&lt;span class="ml"&gt;古英語mænan（何かを意図する, 言葉で特定の意味を伝える）にさかのぼる語。
&lt;span class="spacer"&gt;&lt;/span&gt;meanはもともと意図するという意味。「意図する」から、言葉で何かを伝えようと意図する＝「意味する」となる。
&lt;span class="spacer"&gt;&lt;/span&gt;mean to doが「～するつもり」という意図を表すのは、もともと「意図する」という意味だったから。&lt;/span&gt;</t>
  </si>
  <si>
    <t>&lt;span class="w"&gt;&lt;b&gt;【5.own：～を所有する, ～を認める】&lt;/b&gt;&lt;/span&gt;
&lt;span class="ml"&gt;古英語agan（所有する）にさかのぼる語。
&lt;span class="spacer"&gt;&lt;/span&gt;ownで重要なのは「所有する」という意味。「所有する」から、事実や罪を所有する＝事実や罪を「認める」という意味になる。&lt;/span&gt;</t>
  </si>
  <si>
    <t>&lt;span class="w"&gt;&lt;b&gt;【7.consider：よく考える】&lt;/b&gt;&lt;/span&gt;
&lt;span class="ml"&gt;ラテン語に由来する語で、以下の2つの要素から成る。
&lt;span class="spacer"&gt;&lt;/span&gt;com（共に）
sidus（天体, 星）
&lt;span class="spacer"&gt;&lt;/span&gt;このまま日本語にすると「共に星を観察する」となる。星を観察し、星の動きから運命や将来のことをじっくり考えることから、「考慮する, よく考える」という意味になる。
&lt;span class="spacer"&gt;&lt;/span&gt;consider+O+C「OをCと見なす」と日本語訳されるが、「OをCと考える」という訳でも問題ないので、considerは「よく考える」という訳で覚えればよい。&lt;/span&gt;</t>
  </si>
  <si>
    <t>&lt;span class="w"&gt;&lt;b&gt;【9.suggest：～を提案する, ～を示唆する】&lt;/b&gt;&lt;/span&gt; 
&lt;span class="ml"&gt;ラテン語に由来する語で、以下の2つの要素から成る。
&lt;span class="spacer"&gt;&lt;/span&gt;sub（下に, 下から）
gerere（運ぶ）
&lt;span class="spacer"&gt;&lt;/span&gt;このまま日本語にすると「下に運ぶ, 下から運ぶ」となる。これは火に薪をくべる（＝下に運ぶ）様子や、演劇で舞台の下からセリフを思い出させる（＝下から運ぶ）様子から、相手に何かを差し出すという意味になる。そしてアイデアを差し出す＝「提案する」となる。
&lt;span class="spacer"&gt;&lt;/span&gt;また相手に何かを差し出し、それによって別の何かを連想させたり気づかせたりする場合は「示唆する」となる。
&lt;div class="sample_image suggest"&gt;&lt;/div&gt;&lt;/span&gt;</t>
    <rPh sb="137" eb="138">
      <t>シタ</t>
    </rPh>
    <rPh sb="199" eb="200">
      <t>シタ</t>
    </rPh>
    <rPh sb="202" eb="203">
      <t>ハコ</t>
    </rPh>
    <rPh sb="212" eb="213">
      <t>ヒ</t>
    </rPh>
    <rPh sb="214" eb="215">
      <t>マキ</t>
    </rPh>
    <rPh sb="221" eb="222">
      <t>シタ</t>
    </rPh>
    <rPh sb="223" eb="224">
      <t>ハコ</t>
    </rPh>
    <rPh sb="226" eb="228">
      <t>ヨウス</t>
    </rPh>
    <rPh sb="230" eb="232">
      <t>エンゲキ</t>
    </rPh>
    <rPh sb="233" eb="235">
      <t>ブタイ</t>
    </rPh>
    <rPh sb="236" eb="237">
      <t>シタ</t>
    </rPh>
    <rPh sb="243" eb="244">
      <t>オモ</t>
    </rPh>
    <rPh sb="245" eb="246">
      <t>ダ</t>
    </rPh>
    <rPh sb="251" eb="252">
      <t>シタ</t>
    </rPh>
    <rPh sb="254" eb="255">
      <t>ハコ</t>
    </rPh>
    <rPh sb="257" eb="259">
      <t>ヨウス</t>
    </rPh>
    <rPh sb="262" eb="264">
      <t>アイテ</t>
    </rPh>
    <rPh sb="265" eb="266">
      <t>ナニ</t>
    </rPh>
    <rPh sb="268" eb="269">
      <t>サ</t>
    </rPh>
    <rPh sb="270" eb="271">
      <t>ダ</t>
    </rPh>
    <rPh sb="275" eb="277">
      <t>イミ</t>
    </rPh>
    <rPh sb="289" eb="290">
      <t>サ</t>
    </rPh>
    <rPh sb="291" eb="292">
      <t>ダ</t>
    </rPh>
    <rPh sb="338" eb="339">
      <t>ナニ</t>
    </rPh>
    <rPh sb="341" eb="342">
      <t>サ</t>
    </rPh>
    <rPh sb="343" eb="344">
      <t>ダ</t>
    </rPh>
    <rPh sb="352" eb="353">
      <t>ベツ</t>
    </rPh>
    <phoneticPr fontId="1"/>
  </si>
  <si>
    <t>&lt;span class="w"&gt;&lt;b&gt;【10.produce：～を生産する】&lt;/b&gt;&lt;/span&gt;
&lt;span class="ml"&gt;ラテン語に由来する語で、以下の2つの要素からなる。
&lt;span class="spacer"&gt;&lt;/span&gt;pro（前に）
decere（導く）
&lt;span class="spacer"&gt;&lt;/span&gt;このまま日本語にすると「前に導く」となる。目の前にないものを相手の前に導き出すというイメージから「何かを生産する」という意味になる。&lt;/span&gt;</t>
  </si>
  <si>
    <t>&lt;span class="w"&gt;&lt;b&gt;【12.offer：～を提供する, ～を申し出る】&lt;/b&gt;&lt;/span&gt;
&lt;span class="ml"&gt;ラテン語に由来する語で、以下の2つの要素から成る。
&lt;span class="spacer"&gt;&lt;/span&gt;ob（～に対して）
ferre（運ぶ）
&lt;span class="spacer"&gt;&lt;/span&gt;このまま日本語にすると「～に対して運ぶ」となる。何かを相手に対して運ぶイメージから「提供する, 申し出る」という意味になる。&lt;/span&gt;</t>
  </si>
  <si>
    <t>&lt;span class="w"&gt;&lt;b&gt;【13.require：～を要求する】&lt;/b&gt;&lt;/span&gt;
&lt;span class="ml"&gt;ラテン語に由来する語で、以下の2つの要素から成る。
&lt;span class="spacer"&gt;&lt;/span&gt;re（繰り返し）
quaerere（尋ねる, 求める, 探す）
&lt;span class="spacer"&gt;&lt;/span&gt;このまま日本語にすると「繰り返し求める」となり、ここから「要求する」という意味になる。
&lt;span class="spacer"&gt;&lt;/span&gt;requireはrequest（リクエスト）と同じ語源に遡るため、一緒に覚えておく。
request：依頼
require：規則や条件に基づく要求&lt;/span&gt;</t>
  </si>
  <si>
    <t>&lt;span class="w"&gt;&lt;b&gt;【14.share：～を共有する】&lt;/b&gt;&lt;/span&gt;
&lt;span class="ml"&gt;古英語scearu（切ること）にさかのぼる語。
&lt;span class="spacer"&gt;&lt;/span&gt;「切ること」から、全体を切って「分ける, 共有する」という意味になる。&lt;/span&gt;</t>
  </si>
  <si>
    <t>&lt;span class="w"&gt;&lt;b&gt;【16.tend：傾向がある】&lt;/b&gt;&lt;/span&gt;
&lt;span class="ml"&gt;ラテン語tendere（伸ばす, 引っ張る）に由来する。
&lt;span class="spacer"&gt;&lt;/span&gt;心や注意をある対象に向かって「伸ばす」というイメージから、ある対象の方へ向かいやすい＝「傾向がある」という意味になる。
&lt;span class="spacer"&gt;&lt;/span&gt;tend to do Aは、（他のことではなく）Aする方へ心や注意が伸びる＝「Aしがち, Aする傾向がある」という意味になる。&lt;/span&gt;</t>
  </si>
  <si>
    <t>&lt;span class="w"&gt;&lt;b&gt;【19.involve：～を関与させる】&lt;/b&gt;&lt;/span&gt;
&lt;span class="ml"&gt;ラテン語に由来する語で、以下の2つの要素から成る。
&lt;span class="spacer"&gt;&lt;/span&gt;in（中に）
volvere（巻く, 回す, 転がす）
&lt;span class="spacer"&gt;&lt;/span&gt;このまま日本語にすると「中に巻く」となる。ある事柄に巻き込んでいくイメージから「関与させる」という意味になる。
&lt;span class="spacer"&gt;&lt;/span&gt;involveは関与「させる」という意味なので、受け身のbe involved in ~で関与「している」となる。
&lt;div class="sample_image involve"&gt;&lt;/div&gt;&lt;/span&gt;</t>
  </si>
  <si>
    <t>&lt;span class="w"&gt;&lt;b&gt;【20.reduce：～を減らす】&lt;/b&gt;&lt;/span&gt;
&lt;span class="ml"&gt;ラテン語に由来する語で、以下の2つの要素から成る。
&lt;span class="spacer"&gt;&lt;/span&gt;re（元へ, 後ろへ）
ducere（導く）
&lt;span class="spacer"&gt;&lt;/span&gt;このまま日本語にすると「後ろに導く」となる。現状から後ろに下がる、つまりマイナスになるイメージから「減らす」という意味になる。&lt;/span&gt;</t>
  </si>
  <si>
    <t>&lt;span class="w"&gt;&lt;b&gt;【21.design：～を設計する, ～を計画する】&lt;/b&gt;&lt;/span&gt;
&lt;span class="ml"&gt;ラテン語に由来する語で、以下の2つの要素から成る。
&lt;span class="spacer"&gt;&lt;/span&gt;de（外へ）
signare（印をつける：signの語源）
&lt;span class="spacer"&gt;&lt;/span&gt;このまま日本語にすると「外へ印を付ける」となる。設計図や計画表に印をつけるイメージから「設計する, 計画する」という意味になる。&lt;/span&gt;</t>
  </si>
  <si>
    <t>&lt;span class="w"&gt;&lt;b&gt;【22.force：強いる】&lt;/b&gt;&lt;/span&gt;
&lt;span class="ml"&gt;ラテン語fortis（力強い）に由来する。
&lt;span class="spacer"&gt;&lt;/span&gt;「力強い」から名詞の「力」、さらに力を使って何かをする＝「強いる・強制する」という動詞になる。&lt;/span&gt;</t>
  </si>
  <si>
    <t>&lt;span class="w"&gt;&lt;b&gt;【23.limit：～を制限する】&lt;/b&gt;&lt;/span&gt;
&lt;span class="ml"&gt;ラテン語limitem（境界, 限界）に由来する。
&lt;span class="spacer"&gt;&lt;/span&gt;「境界, 限界」から、限界を設定する＝「制限する」という意味になる。&lt;/span&gt;</t>
  </si>
  <si>
    <t>&lt;span class="w"&gt;&lt;b&gt;【25.affect：～に影響する】&lt;/b&gt;&lt;/span&gt;
&lt;span class="ml"&gt;ラテン語に由来する語で、以下の2つの要素から成る。
&lt;span class="spacer"&gt;&lt;/span&gt;ad（～へ）
facere（する, 作る）
&lt;span class="spacer"&gt;&lt;/span&gt;このまま日本語にすると「～へ何かをする」となる。ここから精神的もしくは物理的に「影響する」という意味になる。&lt;/span&gt;</t>
  </si>
  <si>
    <t>&lt;span class="w"&gt;&lt;b&gt;【27.avoid：～を避ける】&lt;/b&gt;&lt;/span&gt;
&lt;span class="ml"&gt;古フランス語に由来する語で、以下の2つの要素から成る。
&lt;span class="spacer"&gt;&lt;/span&gt;es（外に）
vuidier（空にする）
&lt;span class="spacer"&gt;&lt;/span&gt;このまま日本語にすると「空にして外に」となる。つまり今いる場所をあけて空っぽにするイメージから「避ける」という意味になる。
&lt;span class="spacer"&gt;&lt;/span&gt;&lt;span class="obsolete"&gt;「避ける」という意味は、別の古フランス語eviter（避ける）と混同されたことに由来する。スペルと意味が似ていたことから混同されたと考えられる。&lt;/span&gt;
eviterは英語inevitable（避けられない）の語源でもある。動詞avoid（避ける）と形容詞inevitable（避けられない）はセットで覚える。&lt;/span&gt;</t>
  </si>
  <si>
    <t>&lt;span class="w"&gt;&lt;b&gt;【avoidの目的語は動名詞】&lt;/b&gt;&lt;/span&gt;
&lt;span class="ml"&gt;avoid ～ing「～することを避ける」&lt;/span&gt;</t>
  </si>
  <si>
    <t>&lt;span class="w"&gt;&lt;b&gt;【29.realize：～を実現する, ～に気づく】&lt;/b&gt;&lt;/span&gt;
&lt;span class="ml"&gt;フランス語に由来する語で、以下の2つの要素から成る。
&lt;span class="spacer"&gt;&lt;/span&gt;réal（現実の）
iser（動詞化）
&lt;span class="spacer"&gt;&lt;/span&gt;この語の核は「現実（リアル）にする」ということ。現実にする＝「実現する」、現実として認識する＝「気づく」という意味になる。&lt;/span&gt;</t>
  </si>
  <si>
    <t>&lt;span class="w"&gt;&lt;b&gt;【30.encourage：～を勧める, ～を励ます】&lt;/b&gt;&lt;/span&gt;
&lt;span class="ml"&gt;古フランス語に由来する語で、以下の2つの要素から成る。
&lt;span class="spacer"&gt;&lt;/span&gt;en（させる）
corage（勇気）
&lt;span class="obsolete"&gt;※corはラテン語の「心」&lt;/span&gt;
&lt;span class="spacer"&gt;&lt;/span&gt;この語の核は「勇気を出させる」ということ。勇気を出させる＝「励ます」、勇気づけてある行為の方へ進ませる＝「勧める」という意味になる。&lt;/span&gt;</t>
  </si>
  <si>
    <t>&lt;span class="w"&gt;&lt;b&gt;【31.compare：～を比較する, ～をたとえる】&lt;/b&gt;&lt;/span&gt;
&lt;span class="ml"&gt;ラテン語に由来する語で、以下の2つの要素から成る。
&lt;span class="spacer"&gt;&lt;/span&gt;com（共に）
par（等しい）
&lt;span class="spacer"&gt;&lt;/span&gt;このまま日本語にすると「共に等しい」となる。ここから共に等しいかどうかを「比較する」という意味になる。
&lt;span class="spacer"&gt;&lt;/span&gt;また共に等しいものとして扱う＝「たとえる」という意味になる。たとえば、夕陽をオレンジでたとえるとは、夕陽とオレンジを形や色などが等しいものとして扱えるということ。
&lt;div class="sample_image compare"&gt;&lt;/div&gt;&lt;/span&gt;</t>
  </si>
  <si>
    <t>&lt;span class="w"&gt;&lt;b&gt;【32.measure：～を計測する】&lt;/b&gt;&lt;/span&gt;
&lt;span class="ml"&gt;ラテン語metri（測る）に由来する。
&lt;span class="spacer"&gt;&lt;/span&gt;ラテン語から意味の変化はほとんどない。&lt;/span&gt;</t>
  </si>
  <si>
    <t>&lt;span class="w"&gt;&lt;b&gt;【34.mark：～に印を付ける】&lt;/b&gt;&lt;/span&gt;
&lt;span class="ml"&gt;古英語mearcian / merciga（印を付ける）にさかのぼる語。
&lt;span class="spacer"&gt;&lt;/span&gt;古英語から意味はほとんど変わっていない。&lt;/span&gt;</t>
  </si>
  <si>
    <t xml:space="preserve">&lt;span class="w"&gt;&lt;b&gt;【35.challenge：～に異議を唱える, （人に）挑戦する】&lt;/b&gt;&lt;/span&gt;
&lt;span class="ml"&gt;ラテン語calumniari（虚偽の訴えをする）に由来する。
&lt;span class="spacer"&gt;&lt;/span&gt;虚偽の訴えをするという意味から、溜まった不満を言って抗議する、そして相手に「異議を唱える」や相手に「挑戦する」という意味に発展した。&lt;/span&gt;
&lt;span class="ml"&gt;名詞challengeには難しい課題という意味もあるが、これは1954年に生まれた非常に新しい意味。&lt;/span&gt;
</t>
  </si>
  <si>
    <t>&lt;span class="w"&gt;&lt;b&gt;【36.depend：頼る, ～次第である】&lt;/b&gt;&lt;/span&gt;
&lt;span class="ml"&gt;ラテン語に由来する語で、以下の2つの要素から成る。
&lt;span class="spacer"&gt;&lt;/span&gt;de（下に）
pendere（ぶら下がる）
&lt;span class="spacer"&gt;&lt;/span&gt;このまま日本語にすると「下にぶら下がる」となる。ある対象をつかんでぶら下がる
というイメージから、対象に「頼る」という意味になる。
&lt;span class="spacer"&gt;&lt;/span&gt;対象頼みということは、ぶら下がっている対象によってその後どうなるかが決まる。そのため「～次第である」という意味になる。
&lt;div class="sample_image depend"&gt;&lt;/div&gt;&lt;/span&gt;</t>
  </si>
  <si>
    <t>&lt;span class="w"&gt;&lt;b&gt;【37.object：反対する】&lt;/b&gt;&lt;/span&gt;
&lt;span class="ml"&gt;ラテン語に由来する語で、以下の2つの要素から成る。
&lt;span class="spacer"&gt;&lt;/span&gt;ob（～に対して）
icere（投げる）
&lt;span class="spacer"&gt;&lt;/span&gt;このまま日本語にすると「何かに対して投げつける」となる。行為・提案・決定・状況などを受け入れるのではなく、それに対して投げつけるというイメージから「反対する」という意味になる。
&lt;div class="sample_image object"&gt;&lt;/div&gt;&lt;/span&gt;</t>
  </si>
  <si>
    <t>&lt;span class="w"&gt;&lt;b&gt;【仮定法現在】&lt;/b&gt;&lt;/span&gt;
demand that S (should) do</t>
  </si>
  <si>
    <t>&lt;span class="w"&gt;&lt;b&gt;【39.found：～を設立する, ～を築く】&lt;/b&gt;&lt;/span&gt;
&lt;span class="ml"&gt;ラテン語fundus（底, 基礎）に由来する。
&lt;span class="spacer"&gt;&lt;/span&gt;底, 基礎という名詞から、基礎の上に何かを「設立する, 築く」という動詞になる。
&lt;span class="spacer"&gt;&lt;/span&gt;foundの名詞foundation（ファンデーション）は、化粧の下地や何かの土台という意味で日本語でも使われる。&lt;/span&gt;</t>
  </si>
  <si>
    <t>&lt;span class="w"&gt;&lt;b&gt;【40.complete：～を完成させる】&lt;/b&gt;&lt;/span&gt;
&lt;span class="ml"&gt;ラテン語に由来する語で、以下の2つの要素から成る。
&lt;span class="spacer"&gt;&lt;/span&gt;com（強意）
plere（満たす）
&lt;span class="spacer"&gt;&lt;/span&gt;このまま日本語にすると「完全に満たす」となる。不足や欠陥などが一切なく完全に満たすイメージから「完成させる」という意味になる。&lt;/span&gt;</t>
  </si>
  <si>
    <t>&lt;span class="w"&gt;&lt;b&gt;【41.idea：考え】&lt;/b&gt;&lt;/span&gt;
&lt;span class="ml"&gt;
日本語でも使われるアイデア(考え)として覚えればよいが、下記の内容を知っておくと、哲学に関わる文章が出てきた時に便利かもしれない。
&lt;span class="spacer"&gt;&lt;/span&gt;ideaで重要なのは、本当に現実に存在するわけではなく、頭の中にある概念だということ。
&lt;span class="spacer"&gt;&lt;/span&gt;ideaは、もとは哲学用語（イデア）で、人間が感覚で知る現実世界ではなく、頭（理性）で知る本質的な世界を意味する。
&lt;span class="spacer"&gt;&lt;/span&gt;たとえば、私たちは「三角形」というものを知っているが、現実世界に完璧な三角形は存在しない。実際に三角形を線で描いても、拡大して見れば角は完璧にとがっていないし、直線も完璧なまっすぐな線ではない。しかし人間の頭の中には完璧な三角形がある。この頭で知っている完璧で完全なものがイデアと呼ばれる。（→idealに関係する）&lt;/span&gt;</t>
  </si>
  <si>
    <t>&lt;span class="w"&gt;&lt;b&gt;【44.interest：興味, 利子, 利害】&lt;/b&gt;&lt;/span&gt;
&lt;span class="ml"&gt;ラテン語に由来する語で、以下の2つの要素から成る。
&lt;span class="spacer"&gt;&lt;/span&gt;inter（間に）
esse（存在する）
&lt;span class="spacer"&gt;&lt;/span&gt;このまま日本語にすると「間に存在する」となる。自分と対象の間に存在する重要なことで、特に自分の利益や損害に関わることを指した。ここから「利害, 利子」という意味になる。
&lt;span class="spacer"&gt;&lt;/span&gt;そして自分の利益に関わることには興味がわくので「興味」という意味へと発展する。
&lt;span class="spacer"&gt;&lt;/span&gt;interestは経済的な意味の「利害, 利子」が先に存在し、そこから個人の心理的な「興味」へと発展した。&lt;/span&gt;</t>
  </si>
  <si>
    <t>&lt;span class="w"&gt;&lt;b&gt;【45.research：研究, 調査】&lt;/b&gt;&lt;/span&gt;
&lt;span class="ml"&gt;search部分のもとになったのは、ラテン語circus（円）から派生した動詞circare（ぐるぐる歩き回る）。
&lt;span class="spacer"&gt;&lt;/span&gt;このラテン語が古フランス語のcercher（探し求める）となり、以下の2つの要素からreserchを構成する。
&lt;span class="spacer"&gt;&lt;/span&gt;re（強意）
cercher（探し求める）
&lt;span class="spacer"&gt;&lt;/span&gt;「円」から「ぐるぐる歩き回る」となり、歩き回る様子から何かを「探し求める」、そして名詞の「研究, 調査」となる。&lt;/span&gt;</t>
  </si>
  <si>
    <t>&lt;span class="w"&gt;&lt;b&gt;【46.cause：原因, 理由, 大義】&lt;/b&gt;&lt;/span&gt;
&lt;span class="ml"&gt;ラテン語causa（原因, 理由）に由来する。
&lt;span class="spacer"&gt;&lt;/span&gt;結果を生み出す「原因」や何かが起こる「理由」、行動を正当化する「理由, 大義」という意味になる。
&lt;span class="spacer"&gt;&lt;/span&gt;動詞causeは「〜の原因となる, 何かを引き起こす」となる。&lt;/span&gt;</t>
  </si>
  <si>
    <t>&lt;span class="w"&gt;&lt;b&gt;【47.reason：理由, 根拠, 理性】&lt;/b&gt;&lt;/span&gt;
&lt;span class="ml"&gt;ラテン語reri（考える, 数える）に由来する。
&lt;span class="spacer"&gt;&lt;/span&gt;「考える, 数える」といった思考は、人間と本能で生きる動物を区別する重要なポイント。ここから本能と対比される「理性」という意味になる。
&lt;span class="spacer"&gt;&lt;/span&gt;動物は本能に従って行動するが、理性に基づいた行為には「根拠, 理由」がある。&lt;/span&gt;</t>
  </si>
  <si>
    <t>&lt;span class="w"&gt;&lt;b&gt;【48.effect：影響, 効果】&lt;/b&gt;&lt;/span&gt;
&lt;span class="ml"&gt;ラテン語に由来する語で、以下の2つの要素から成る。
&lt;span class="spacer"&gt;&lt;/span&gt;ex（外へ）
facere（行う）
&lt;span class="spacer"&gt;&lt;/span&gt;このまま日本語にすると「行なって外へ」となる。何かを行なった結果として外に出てきたものというイメージから、「影響, 効果」という意味になる。
&lt;span class="spacer"&gt;&lt;/span&gt;サウンドエフェクトやゲームのエフェクトといった「効果」と関連させて覚える。
&lt;span class="spacer"&gt;&lt;/span&gt;effectは、何かを行なった結果として現実に出てきたものなので、かつては「現実, 事実」という意味があった。この意味はin effect「実際に, 事実上」に残っている。&lt;/span&gt;</t>
  </si>
  <si>
    <t>&lt;span class="w"&gt;&lt;b&gt;【49.influence：影響力】&lt;/b&gt;&lt;/span&gt;
&lt;span class="ml"&gt;ラテン語に由来する語で、以下の2つの要素から成る。
&lt;span class="spacer"&gt;&lt;/span&gt;in（中に）
fluere（流れる）
&lt;span class="spacer"&gt;&lt;/span&gt;このまま日本語にすると「中に流れる」となる。昔は占星術の用語として使われ、星から出る人格や運命に作用する力を意味した。ここから占星術に限定されず、一般的な目に見えない力＝「影響力」という意味になる。&lt;/span&gt;</t>
  </si>
  <si>
    <t>&lt;span class="w"&gt;&lt;b&gt;【50.situation：立場, 状況】&lt;/b&gt;&lt;/span&gt;
&lt;span class="ml"&gt;ラテン語situs（場所, 位置）から派生した動詞situare（置く, 配置する）に由来する。
&lt;span class="spacer"&gt;&lt;/span&gt;「場所や位置」から何かが置かれている場所や位置となり、誰かが置かれている「立場, 状況」という意味になる。&lt;/span&gt;</t>
  </si>
  <si>
    <t>&lt;span class="w"&gt;&lt;b&gt;【51.environment：環境】&lt;/b&gt;&lt;/span&gt;
&lt;span class="ml"&gt;古フランス語に由来する語で、以下の2つの要素から成る。
&lt;span class="spacer"&gt;&lt;/span&gt;en（中に）
viron（円）
&lt;span class="obsolete"&gt;mentは英語で付いた名詞を作る要素&lt;/span&gt;
&lt;span class="spacer"&gt;&lt;/span&gt;このまま日本語にすると「円の中に」となる。円の中に、つまり何かが周囲を取り囲むという意味で、ここに名詞化するmentが付くことで「取り囲んでいるもの」となる。人や生物などを取り囲んでいるもの＝周囲の状況＝「環境」という意味になる。
&lt;span class="spacer"&gt;&lt;/span&gt;environmentは自然環境だけではなく、社会や職場、家庭など様々な環境を意味する。
&lt;div class="sample_image environment"&gt;&lt;/div&gt;&lt;/span&gt;</t>
  </si>
  <si>
    <t>&lt;span class="w"&gt;&lt;b&gt;【52.skill：技術, 技能】&lt;/b&gt;&lt;/span&gt;
&lt;span class="ml"&gt;古ノルド語skil（区別, 見分ける能力）に由来する。
&lt;span class="spacer"&gt;&lt;/span&gt;日本語でも使われるスキル（技能, 技術）で覚えればよい。&lt;/span&gt;</t>
  </si>
  <si>
    <t>&lt;span class="w"&gt;&lt;b&gt;【53.matter：重要な事柄, 肝心なこと, 問題, 物質】&lt;/b&gt;&lt;/span&gt;
&lt;span class="ml"&gt;ラテン語mater（母, 起源, 源）に由来する。このラテン語は、英語mother（母）と同じで印欧祖語*mater-（母）にさかのぼる。
&lt;span class="spacer"&gt;&lt;/span&gt;「母」は生命の源であることから、起源や根源といった何かの「中心」というイメージと結びつく。このイメージからmatterは、中心となる事柄＝「重要な事柄, 肝心なこと, 問題」という意味になる。
&lt;span class="spacer"&gt;&lt;/span&gt;また物体を構成する中心となるもの＝「物質」という意味になる。&lt;/span&gt;</t>
  </si>
  <si>
    <t>&lt;span class="w"&gt;&lt;b&gt;【54.view：眺め, 見解】&lt;/b&gt;&lt;/span&gt;
&lt;span class="ml"&gt;ラテン語videre（見る）に由来する。
&lt;span class="spacer"&gt;&lt;/span&gt;見るという動詞から「眺め」という名詞になった。また視覚的に見えるものから発展して「見解, 考え」という意味になる。
&lt;span class="spacer"&gt;&lt;/span&gt;日本語でも考え方や思考力が独特な人に対して「見ている世界が違う」と表現することがあるように、視覚と思考は密接に結びついている。
&lt;span class="spacer"&gt;&lt;/span&gt;印欧祖語*weid-（見る）から生まれた語は、おおむね視覚系の意味と思考系の意味に分かれる。
&lt;span class="spacer"&gt;&lt;/span&gt;視覚系：video, visit, vision, evidence
&lt;span class="spacer"&gt;&lt;/span&gt;思考系：wise, wisdom, wit, advice
&lt;span class="spacer"&gt;&lt;/span&gt;しかし完全にどちらかに分かれるわけではく、viewのように視覚系の意味「眺め」と、思考系の意味「見解」を持つことがある。
&lt;span class="spacer"&gt;&lt;/span&gt;視覚と思考が結びついていることは、see（見る）とI see（なるほど, 理解）からもわかる。&lt;/span&gt;</t>
  </si>
  <si>
    <t>&lt;span class="w"&gt;&lt;b&gt;【55.value：価値, 評価, 値】&lt;/b&gt;&lt;/span&gt;
&lt;span class="ml"&gt;ラテン語valere（価値がある, 強い）に由来する。
&lt;span class="spacer"&gt;&lt;/span&gt;価値があるという動詞から名詞になり、「価値, 評価, 値」という意味になる。&lt;/span&gt;</t>
  </si>
  <si>
    <t>&lt;span class="w"&gt;&lt;b&gt;【56.species：（生物の）種】&lt;/b&gt;&lt;/span&gt;
&lt;span class="ml"&gt;ラテン語specere（注視する）に由来する。
&lt;span class="spacer"&gt;&lt;/span&gt;何かを注視するということは、全体を見るのではなく、全体の中の特定のものに目を向けるということ。ここから生物全体の中の特定の種類＝「生物の種」という意味になる。
&lt;span class="spacer"&gt;&lt;/span&gt;ラテン語のspeciesが英語になっただけなので、-iesは英語の名詞複数形ではない。&lt;/span&gt;</t>
  </si>
  <si>
    <t>&lt;span class="w"&gt;&lt;b&gt;【57.thought：考え】&lt;/b&gt;&lt;/span&gt;
&lt;span class="ml"&gt;古英語þencan（考える）から派生したþoht（考え）にさかのぼる。
&lt;span class="spacer"&gt;&lt;/span&gt;現代英語thinkと過去分詞thoughtとの関係で覚えればよい。&lt;/span&gt;</t>
  </si>
  <si>
    <t>&lt;span class="w"&gt;&lt;b&gt;【58.knowledge：知識, 認識】&lt;/b&gt;&lt;/span&gt;
&lt;span class="ml"&gt;knowledgeは「knowの名詞」と覚えればよい。
&lt;span class="spacer"&gt;&lt;/span&gt;知っているという動詞から知っていること＝「知識, 認識」という名詞になる。&lt;/span&gt;</t>
  </si>
  <si>
    <t>&lt;span class="w"&gt;&lt;b&gt;【59.memory：記憶, 思い出】&lt;/b&gt;&lt;/span&gt;
&lt;span class="ml"&gt;ラテン語に由来する語で、以下の2つの要素から成る。
&lt;span class="spacer"&gt;&lt;/span&gt;memor（心に留める, 覚えている）
ia（名詞化）
&lt;span class="spacer"&gt;&lt;/span&gt;このまま日本語にすると「覚えていること」となる。つまり「記憶, 思い出」という意味になる。&lt;/span&gt;</t>
  </si>
  <si>
    <t>&lt;span class="w"&gt;&lt;b&gt;【61.benefit：利益】&lt;/b&gt;&lt;/span&gt;
&lt;span class="ml"&gt;ラテン語に由来する語で、以下の2つの要素から成る。
&lt;span class="spacer"&gt;&lt;/span&gt;bene（よく）
facere（行う）
&lt;span class="spacer"&gt;&lt;/span&gt;このまま日本語にすると「良く行う」となる。よい行いは誰かにとって「利益, 恩恵」となる。&lt;/span&gt;</t>
  </si>
  <si>
    <t>&lt;span class="w"&gt;&lt;b&gt;【62.theory：理論, 学説】&lt;/b&gt;&lt;/span&gt;
&lt;span class="ml"&gt;ギリシャ語に由来する語で、以下の2つの要素から成る。
&lt;span class="spacer"&gt;&lt;/span&gt;thea（眺め）
horan（見る）
&lt;span class="spacer"&gt;&lt;/span&gt;viewが眺め（見る系の意味）と見解（思考系の意味）を持っていたように、見ることと考えることは密接に結びついている。これはsee（見る）がI see（わかった）という意味になることからもわかる。
&lt;span class="spacer"&gt;&lt;/span&gt;theoryもviewと同様に見ることから思考系の意味になる。元になったギリシャ語をそのまま日本語にすると「眺めを見る」となる。ここから対象をじっくりと観察し、そこから様々なことを考え、考えた末に出来上がる「理論, 学説」という意味になる。&lt;/span&gt;</t>
  </si>
  <si>
    <t>&lt;span class="w"&gt;&lt;b&gt;【63.issue：問題, 発行（物）, 発表】&lt;/b&gt;&lt;/span&gt;
&lt;span class="ml"&gt;ラテン語に由来する語で、以下の2つの要素から成る。
&lt;span class="spacer"&gt;&lt;/span&gt;ex（外に）
ire（行く）
&lt;span class="spacer"&gt;&lt;/span&gt;このまま日本語にすると「外に行く」となる。この語の核は「内側から表（外）に出る」であり、ここから「発行（物）, 発表」という意味になる。
&lt;span class="spacer"&gt;&lt;/span&gt;また裁判で表に出てきた争点という法的な意味で使われ、決定すべき重要な「問題」という一般的な意味になった。&lt;/span&gt;</t>
  </si>
  <si>
    <t>&lt;span class="w"&gt;&lt;b&gt;【64.experiment：実験】&lt;/b&gt;&lt;/span&gt;
&lt;span class="ml"&gt;ラテン語に由来する語で、以下の3つの要素から成る。
&lt;span class="spacer"&gt;&lt;/span&gt;ex（外に）
periri（試す）
mentum（名詞化）
&lt;span class="spacer"&gt;&lt;/span&gt;このまま日本語にすると「試して外に出すこと」となる。何かを試して外に結果を出すことから「実験」という意味になる。&lt;/span&gt;</t>
  </si>
  <si>
    <t>&lt;span class="w"&gt;&lt;b&gt;【65.article：記事, 憲法などの条項, 品物】&lt;/b&gt;&lt;/span&gt;
&lt;span class="ml"&gt;ラテン語に由来する語で、以下の2つの要素から成る。
&lt;span class="spacer"&gt;&lt;/span&gt;artus（関節）
culus（小さいことを表す要素）
&lt;span class="spacer"&gt;&lt;/span&gt;このまま日本語にすると「小さな関節」となる。関節というのは全体を小さなパーツ＝構成要素に分けるもの。ここから次のような意味になる。
&lt;span class="spacer"&gt;&lt;/span&gt;①雑誌全体の構成要素
＝「記事」
②憲法全体の構成要素
＝「条項」
&lt;span class="spacer"&gt;&lt;/span&gt;また盗賊が盗んだ物の一つひとつをarticleと言ったことから「品物」という意味にもなる。&lt;/span&gt;</t>
  </si>
  <si>
    <t>&lt;span class="w"&gt;&lt;b&gt;【66.focus：焦点】&lt;/b&gt;&lt;/span&gt;
&lt;span class="ml"&gt;ラテン語focus（暖炉, 火）に由来する。
&lt;span class="spacer"&gt;&lt;/span&gt;レンズを使って光を一点に集めると対象に火がつくということから、一か所に集中する点＝「焦点」という意味になる。&lt;/span&gt;</t>
  </si>
  <si>
    <t>&lt;span class="w"&gt;&lt;b&gt;【67.subject：話題, 科目, 主語, 被験者】&lt;/b&gt;&lt;/span&gt;
&lt;span class="ml"&gt;ラテン語に由来する語で、以下の2つの要素から成る。
&lt;span class="spacer"&gt;&lt;/span&gt;sub（下に）
icere（投げる）
&lt;span class="spacer"&gt;&lt;/span&gt;このまま日本語にすると「下に投げる」となる。これは「上下関係の下に位置する」というイメージで、subjectは下記の下段のような意味になる。
&lt;span class="spacer"&gt;&lt;/span&gt;上位［会話］［教科］［一文］
下位［話題］［科目］［主語］&lt;/span&gt;</t>
  </si>
  <si>
    <t>&lt;span class="w"&gt;&lt;b&gt;【68.project：計画】&lt;/b&gt;&lt;/span&gt;
&lt;span class="ml"&gt;ラテン語に由来する語で、以下の2つの要素から成る。
&lt;span class="spacer"&gt;&lt;/span&gt;pro（前方に）
icere（投げる）
&lt;span class="spacer"&gt;&lt;/span&gt;このまま日本語にすると「前方に投げる」となる。この「前方」とは時間的な前方＝未来のことで、未来に投げられたもの＝「計画」という意味になる。&lt;/span&gt;</t>
  </si>
  <si>
    <t>&lt;span class="w"&gt;&lt;b&gt;【69.quality：質】&lt;/b&gt;&lt;/span&gt;
&lt;span class="ml"&gt;ラテン語に由来する語で、以下の2つの要素から成る。
&lt;span class="spacer"&gt;&lt;/span&gt;qualis（どんな種類の）
tas（名詞化）
&lt;span class="spacer"&gt;&lt;/span&gt;このまま日本語にすると「どんな種類かをす示すもの」となる。つまりそのものの「質」という意味になる。&lt;/span&gt;</t>
  </si>
  <si>
    <t>&lt;span class="w"&gt;&lt;b&gt;【70.role：役割, 役】&lt;/b&gt;&lt;/span&gt;
&lt;span class="ml"&gt;ラテン語に由来する語で、以下の2つの要素から成る。
&lt;span class="spacer"&gt;&lt;/span&gt;rota（車輪）
ula（小さいことを表す要素）
&lt;span class="spacer"&gt;&lt;/span&gt;このまま日本語にすると「小さな車輪」となる。車輪はくるくる回るものなので、ここから小さい巻物を指すようになる。昔は演劇の役名とセリフが巻物に書かれたことから「（演劇の）役」という意味になる。さらに演劇に限らず意味が一般化して「（社会における）役割」となる。
&lt;span class="spacer"&gt;&lt;/span&gt;動詞roll（巻く）も同じ語源にさかのぼる。&lt;/span&gt;</t>
  </si>
  <si>
    <t>&lt;span class="w"&gt;&lt;b&gt;【71.term：用語, 期間, 学期, 間柄, 条件】&lt;/b&gt;&lt;/span&gt;
&lt;span class="ml"&gt;ラテン語terminus（終わり, 境界線）に由来する。
&lt;span class="spacer"&gt;&lt;/span&gt;境界線は範囲の終わりを示すものなので、termの核は「範囲の限定」となる。
&lt;span class="spacer"&gt;&lt;/span&gt;①言葉に関して
言葉はさまざまな使い方ができるが、使い方の範囲が定められている言葉は「用語」となる。
&lt;span class="spacer"&gt;&lt;/span&gt;②時間に関して
時間は無限だが、範囲が定められている時間＝は「期間, 学期」となる。
&lt;span class="spacer"&gt;&lt;/span&gt;③関係性に関して
関係性は多様だが、範囲が定められている関係性はterms「間柄」となる。
&lt;span class="spacer"&gt;&lt;/span&gt;④無条件ではなく、範囲が定められている状態はterms「条件」となる。&lt;/span&gt;</t>
  </si>
  <si>
    <t>&lt;span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t>
  </si>
  <si>
    <t>&lt;span class="w"&gt;&lt;b&gt;【73.material：素材, 材料】&lt;/b&gt;&lt;/span&gt;
&lt;span class="ml"&gt;ラテン語mater（母, 起源, 源）に由来する。このラテン語は、英語mother（母）と同じで印欧祖語*mater-（母）にさかのぼる。
&lt;span class="spacer"&gt;&lt;/span&gt;「母」は生命の源であることから、起源や根源といった何かの「中心」というイメージと結びつく。このイメージから、materialは何かを作るときの中心となるもの＝「材料, 素材」という意味になる。&lt;/span&gt;</t>
  </si>
  <si>
    <t>&lt;span class="w"&gt;&lt;b&gt;【74.evidence：証拠】&lt;/b&gt;&lt;/span&gt;
&lt;span class="ml"&gt;ラテン語に由来する語で、以下の2つの要素から成る。
&lt;span class="spacer"&gt;&lt;/span&gt;ex（外へ）
videre（見る）
&lt;span class="spacer"&gt;&lt;/span&gt;このまま日本語にすると「外に見える」となる。つまり隠れているのではなく「はっきり目に見える」というイメージ。ここからはっきり見える物＝明らかな物＝「証拠」という意味になる。
&lt;span class="spacer"&gt;&lt;/span&gt;「はっきり目に見える」というイメージを持っておくと、形容詞evidentが「明らかな」という意味になることも理解できる。&lt;/span&gt;</t>
  </si>
  <si>
    <t>&lt;span class="w"&gt;&lt;b&gt;【75.source：源, 情報源】&lt;/b&gt;&lt;/span&gt;
&lt;span class="ml"&gt;ラテン語に由来する語で、以下の2つの要素から成る。
&lt;span class="spacer"&gt;&lt;/span&gt;sub（下から上に）
regere（まっすぐ導く）
&lt;span class="spacer"&gt;&lt;/span&gt;このまま日本語にすると「下から上にまっすぐ導く」となる。これは地下から水が湧き出てくるイメージ。ここから「源, 情報源」という意味になる。&lt;/span&gt;</t>
  </si>
  <si>
    <t>&lt;span class="w"&gt;&lt;b&gt;【76.community：共同社会, ～界, 地域社会】&lt;/b&gt;&lt;/span&gt;
&lt;span class="ml"&gt;ラテン語に由来する語で、以下の3つの要素から成る。
&lt;span class="spacer"&gt;&lt;/span&gt;com（共に）
munis（義務）
tas（名詞化）
&lt;span class="spacer"&gt;&lt;/span&gt;このまま日本語にすると「共に義務を果たすもの」となる。つまり義務を共有していてそれを果たす集団＝「共同社会, 地域社会」という意味になる。また義務に限らず、趣味や職業などを共有している人の集まりだと「〜界」という訳になる。&lt;/span&gt;</t>
  </si>
  <si>
    <t>&lt;span class="w"&gt;&lt;b&gt;【77.technology：科学技術】&lt;/b&gt;&lt;/span&gt;
&lt;span class="ml"&gt;ギリシャ語に由来する語で、以下の2つの要素から成る。
&lt;span class="spacer"&gt;&lt;/span&gt;tekhnē（技能, 技術）
logia（学問, 論）
&lt;span class="spacer"&gt;&lt;/span&gt;このまま日本語にすると「ある技能や技術に関する論述や学問」となる。~logyは学問名を形成する要素で、もともとは技能や技術を理論的に扱う学問を指したが、そこから科学理論に基づいた技術＝「科学技術」そのものを意味するようになった。&lt;/span&gt;</t>
  </si>
  <si>
    <t>&lt;span class="w"&gt;&lt;b&gt;【78.culture：文化, 教養, 耕作, 培養】&lt;/b&gt;&lt;/span&gt;
&lt;span class="ml"&gt;ラテン語に由来する語で、以下の2つの要素から成る。
&lt;span class="spacer"&gt;&lt;/span&gt;colere（耕す）
ura（名詞化）
&lt;span class="spacer"&gt;&lt;/span&gt;このまま日本語にすると「耕すこと」となる。もともとは土地を耕し、時間をかけて何かを育てることを意味した。ここから「耕作, 培養」といった意味につながる。
&lt;span class="spacer"&gt;&lt;/span&gt;さらにそこから発展して、作物に限らず、時間をかけて作られるものを意味するようになる。ある民族や集団が長い時間をかけて作り上げる「文化」や、人々が長い時間をかけて蓄積し、作り上げていく学問や文明などの「教養」という意味になる。&lt;/span&gt;</t>
  </si>
  <si>
    <t>&lt;span class="w"&gt;&lt;b&gt;【79.appropriate：適切な, ふさわしい】&lt;/b&gt;&lt;/span&gt;
&lt;span class="ml"&gt;ラテン語に由来する語で、以下の3つの要素から成る。
&lt;span class="spacer"&gt;&lt;/span&gt;ad（～へ）
pro（～のために：forと同じ）
privus（自分の：privateの語源）
&lt;span class="spacer"&gt;&lt;/span&gt;もともとは「何かを自分のためのものにする」という動詞。自分のものにするということは、言い換えれば、何かを自分自身に割り当てるということ。ここから「何かを特定のものに割り当てる」へと発展。割り当てられたものは、その状況や目的に対して「適切な, ふさわしい」。
&lt;div class="sample_image appropriate"&gt;&lt;/div&gt;&lt;/span&gt;</t>
    <rPh sb="78" eb="79">
      <t>ゴ</t>
    </rPh>
    <rPh sb="150" eb="151">
      <t>オナ</t>
    </rPh>
    <rPh sb="173" eb="175">
      <t>ゴゲン</t>
    </rPh>
    <rPh sb="211" eb="212">
      <t>ナニ</t>
    </rPh>
    <rPh sb="214" eb="216">
      <t>ジブン</t>
    </rPh>
    <rPh sb="229" eb="231">
      <t>ドウシ</t>
    </rPh>
    <rPh sb="247" eb="248">
      <t>イ</t>
    </rPh>
    <rPh sb="249" eb="250">
      <t>カ</t>
    </rPh>
    <rPh sb="254" eb="255">
      <t>ナニ</t>
    </rPh>
    <rPh sb="257" eb="259">
      <t>ジブン</t>
    </rPh>
    <rPh sb="259" eb="261">
      <t>ジシン</t>
    </rPh>
    <rPh sb="262" eb="263">
      <t>ワ</t>
    </rPh>
    <rPh sb="264" eb="265">
      <t>ア</t>
    </rPh>
    <rPh sb="278" eb="279">
      <t>ナニ</t>
    </rPh>
    <rPh sb="281" eb="283">
      <t>トクテイ</t>
    </rPh>
    <rPh sb="287" eb="288">
      <t>ワ</t>
    </rPh>
    <rPh sb="289" eb="290">
      <t>ア</t>
    </rPh>
    <rPh sb="295" eb="297">
      <t>ハッテン</t>
    </rPh>
    <rPh sb="298" eb="299">
      <t>ワ</t>
    </rPh>
    <rPh sb="300" eb="301">
      <t>ア</t>
    </rPh>
    <phoneticPr fontId="1"/>
  </si>
  <si>
    <t>&lt;span class="w"&gt;&lt;b&gt;【80.likely：ありそうな】&lt;/b&gt;&lt;/span&gt;
&lt;span class="ml"&gt;古英語geliclic（似ている, 同様の）にさかのぼる語で、以下の3つの要素から成る。
&lt;span class="spacer"&gt;&lt;/span&gt;ge（共に）
lic（体, 形）
形容詞を作る-lic
&lt;span class="spacer"&gt;&lt;/span&gt;likelyの意味の核になるのはlike部分。このlikeは前置詞like（～のような）と同じだと考えてよい。
&lt;span class="spacer"&gt;&lt;/span&gt;llikelyのlikeも前置詞のlikeも、geとlicが合わさった「体や形を共にしている」＝「見た目が似ている」がもとになっている。
&lt;span class="spacer"&gt;&lt;/span&gt;likelyは、何かが事実や真実に似ている＝「実際に起こりそう, ありそうな」という意味になる。
&lt;span class="spacer"&gt;&lt;/span&gt;S is likely to do Aは「Aすることが現実のようだ」＝「Aしそうである」ということ。&lt;/span&gt;</t>
  </si>
  <si>
    <t>&lt;span class="w"&gt;&lt;b&gt;【83.public：公の, 公衆の, 公開の】&lt;/b&gt;&lt;/span&gt;
&lt;span class="ml"&gt;ラテン語に由来する語で、以下の2つの要素から成
る。
&lt;span class="spacer"&gt;&lt;/span&gt;populus（民衆：peopleの語源）
icus（形容詞化）
&lt;span class="spacer"&gt;&lt;/span&gt;このまま日本語にすると「民衆の」となる。つまり個人や特定の集団ではなく民衆全体に開かれている＝「公の, 公衆の, 公開の」という意味になる。&lt;/span&gt;</t>
  </si>
  <si>
    <t>&lt;span class="w"&gt;&lt;b&gt;【84.common：共通の, 普通の, ありふれた】&lt;/b&gt;&lt;/span&gt;
&lt;span class="ml"&gt;ラテン語に由来する語で、以下の2つの要素から成る。
&lt;span class="spacer"&gt;&lt;/span&gt;com（共に）
munis（義務）
&lt;span class="spacer"&gt;&lt;/span&gt;このまま日本語にすると「義務を共にする」となる。つまりみんなが同じ義務を共有しているということ。ここから多くが何かを共有している＝「共通の」という意味になる。またみんな共通だから特別なことではなく「普通の, ありふれた」となる。&lt;/span&gt;</t>
  </si>
  <si>
    <t>&lt;span class="w"&gt;&lt;b&gt;【85.certain：確信して, 確かな, ある～】&lt;/b&gt;&lt;/span&gt;
&lt;span class="ml"&gt;ラテン語cernere（ふるいにかける）に由来する。
&lt;span class="spacer"&gt;&lt;/span&gt;ふるいにかけると、落ちていくものと残るものが完全に決定される。ここから何かが確定していて疑いようがない＝「確信している, 確かな」という意味になる。
&lt;span class="spacer"&gt;&lt;/span&gt;また不定冠詞aとcertainがセットになったa certain ~で「ある～」となる。これは、事実は確定している（＝certain）が、読み手や聞き手にはその情報を説明されていない（＝a）ということ。
&lt;div class="sample_image certain"&gt;&lt;/div&gt;&lt;/span&gt;</t>
  </si>
  <si>
    <t>&lt;span class="w"&gt;&lt;b&gt;【86.similar：似ている, 類似した, 同様の】&lt;/b&gt;&lt;/span&gt;
&lt;span class="ml"&gt;ラテン語に由来する語で、以下の2つの要素から成る。
&lt;span class="spacer"&gt;&lt;/span&gt;semol（一緒に）
ilis（形容詞化）
&lt;span class="spacer"&gt;&lt;/span&gt;「一緒に」＝共通の特徴を持っているというところから「似ている, 類似した, 同様の」という意味になる。
&lt;span class="spacer"&gt;&lt;/span&gt;similarのsim部分は、sameと同じ語源にさかのぼる。&lt;/span&gt;</t>
  </si>
  <si>
    <t>&lt;span class="w"&gt;&lt;b&gt;【87.recent：最近の】&lt;/b&gt;&lt;/span&gt;
&lt;span class="ml"&gt;ラテン語recentem（最近行われた, 起源が新しい）に由来する。
&lt;span class="spacer"&gt;&lt;/span&gt;「最近行われた」から遠い昔ではなく「最近の」という意味になる。
&lt;span class="spacer"&gt;&lt;/span&gt;副詞recently（最近は）と一緒に覚える。&lt;/span&gt;</t>
  </si>
  <si>
    <t>&lt;span class="w"&gt;&lt;b&gt;【88.major：主要な, 大きい（方の）】&lt;/b&gt;&lt;/span&gt;
&lt;span class="ml"&gt;ラテン語に由来する語で、以下の2つの要素から成る。
&lt;span class="spacer"&gt;&lt;/span&gt;magnus（大きい, 偉大な）
ior（比較級を作る）
&lt;span class="spacer"&gt;&lt;/span&gt;このまま日本語にすると「より大きい」となる。これはラテン語の比較級で、他と比べてより大きいということから「主要な, 大きい（方の）」という意味になる。
&lt;span class="spacer"&gt;&lt;/span&gt;巨大であることを示すメガや、地震の大きさを示すマグニチュードもラテン語magnusに由来する。
&lt;span class="spacer"&gt;&lt;/span&gt;minor（マイナー, ささいな, 小さい）の対義語。&lt;/span&gt;</t>
  </si>
  <si>
    <t>&lt;span class="w"&gt;&lt;b&gt;【89.patient：忍耐強い】&lt;/b&gt;&lt;/span&gt;
&lt;span class="ml"&gt;ラテン語pati（耐える, 受ける）に由来する。
&lt;span class="spacer"&gt;&lt;/span&gt;「耐える」から、じっと耐えて「忍耐強い」という意味になる。
&lt;span class="spacer"&gt;&lt;/span&gt;ptientは名詞で「患者」という意味もある。これは病気や治療に耐えるというイメージ。&lt;/span&gt;</t>
  </si>
  <si>
    <t>&lt;span class="w"&gt;&lt;b&gt;【91.physical：身体の, 物質的な, 物理の】&lt;/b&gt;&lt;/span&gt;
&lt;span class="ml"&gt;ラテン語に由来する語で、以下の2つの要素から成る。
&lt;span class="spacer"&gt;&lt;/span&gt;physica（自然の研究）
alis（形容詞化）
&lt;span class="spacer"&gt;&lt;/span&gt;「自然の研究」の自然とは、森や川などではなく、けがをしたときに「自然に」治る、生物は「自然に」成長するという意味。存在するもの自体に備わっている自然の力のこと。
&lt;span class="spacer"&gt;&lt;/span&gt;physicaが研究対象とする自然の変化や運動は、精神や道徳などの形のないものではなく、知覚できる形あるもの。ここから形のある「身体の, 物質の」そして「物理の」となる。&lt;/span&gt;</t>
  </si>
  <si>
    <t>&lt;span class="w"&gt;&lt;b&gt;【92.various：様々な】&lt;/b&gt;&lt;/span&gt;
&lt;span class="ml"&gt;ラテン語varius（様々な）に由来する。
&lt;span class="spacer"&gt;&lt;/span&gt;ラテン語から意味の変化はほとんどない。
&lt;span class="spacer"&gt;&lt;/span&gt;variousは動詞vary（様々である, 変わる）や名詞variety（多様性）と関連させて覚える。&lt;/span&gt;</t>
  </si>
  <si>
    <t>&lt;span class="w"&gt;&lt;b&gt;【93.available：利用できる, 手に入る】&lt;/b&gt;&lt;/span&gt;
&lt;span class="ml"&gt;ラテン語と古フランス語に由来する語で、以下の3つの要素から成る。
&lt;span class="spacer"&gt;&lt;/span&gt;a（〜へ）
valoir（価値がある：ラテン語valere）
&lt;span class="obsolete"&gt;able（できる）は英語段階で付いた&lt;/span&gt;
&lt;span class="spacer"&gt;&lt;/span&gt;aとvaloirから「何かに対して価値がある」つまり「何かに役立つ, 有用である（avail）」となる。役立つということは、必要なときに使える状態でなければならない（使えなければ役立たない）。ここから「手に入る」そして「利用できる」という意味になる。&lt;/span&gt;</t>
  </si>
  <si>
    <t>&lt;span class="w"&gt;&lt;b&gt;【94.native：出生地の, 原生の, 生まれつきの】&lt;/b&gt;&lt;/span&gt;
&lt;span class="ml"&gt;印欧祖語*gene-（生む, 生み出す）から派生したラテン語に由来する語で、以下の2つの要素から成る。
&lt;span class="spacer"&gt;&lt;/span&gt;nasci（生まれる）
ivus（形容詞化）
&lt;span class="spacer"&gt;&lt;/span&gt;「生まれる」が形容詞となって「生まれたままの」＝「生まれつきの」という意味になる。
&lt;span class="spacer"&gt;&lt;/span&gt;また生まれた土地と結びついている＝「出生地の, 原生の」という意味になる。&lt;/span&gt;</t>
  </si>
  <si>
    <t>&lt;span class="w"&gt;&lt;b&gt;【95.political：政治の】&lt;/b&gt;&lt;/span&gt;
&lt;span class="ml"&gt;ギリシャ語に由来する語で、以下の3つの要素から成る。
&lt;span class="spacer"&gt;&lt;/span&gt;polis（都市）から派生したpolitēs（市民）
ikos（形容詞化）
&lt;span class="obsolete"&gt;al（形容詞化）は英語段階で付いた&lt;/span&gt;
&lt;span class="spacer"&gt;&lt;/span&gt;古代ギリシャのpolis（都市国家, ポリス）から、そこに住む市民（politēs）、そして市民の統治＝「政治の」（politikos）という語が生まれた。
&lt;span class="spacer"&gt;&lt;/span&gt;polis（ポリス）に由来する語には以下のものがある。
political（政治の）
politics（政治, 政治学）
policy（政策）
police（警察, 市民の平和を守る組織）&lt;/span&gt;</t>
  </si>
  <si>
    <t>&lt;span class="w"&gt;&lt;b&gt;【97.blank：空白の, 無表情な】&lt;/b&gt;&lt;/span&gt;
&lt;span class="ml"&gt;フランク語*blank（白い, 輝く）に由来する。
&lt;span class="spacer"&gt;&lt;/span&gt;白い＝紙がまっさらで何も書かれていない＝「空白の」という意味になる。また日本語でも顔色と言うように、英語でも色がない表情＝「無表情な」という意味になる。&lt;/span&gt;</t>
  </si>
  <si>
    <t>&lt;span class="w"&gt;&lt;b&gt;【98.ancient：古代の, 昔からの】&lt;/b&gt;&lt;/span&gt;
&lt;span class="ml"&gt;ラテン語ante（前の）に由来する。
&lt;span class="spacer"&gt;&lt;/span&gt;「（時間的に）前の」から「古代の, 昔からの」という意味になる。
&lt;span class="spacer"&gt;&lt;/span&gt;以下の時代区分も参考に。
modern（近代・現代）
medieval（中世）
ancient（古代の）&lt;/span&gt;</t>
  </si>
  <si>
    <t>&lt;span class="w"&gt;&lt;b&gt;【99.correct：正しい】&lt;/b&gt;&lt;/span&gt;
&lt;span class="ml"&gt;ラテン語に由来する語で、以下の2つの要素から成る。
&lt;span class="spacer"&gt;&lt;/span&gt;com（強意）
regere（まっすぐ導く）
&lt;span class="spacer"&gt;&lt;/span&gt;このまま日本語にすると「しっかりとまっすぐ導く」となる。間違いにそれることなくまっすぐに正すことから「正しい」という意味になる。&lt;/span&gt;</t>
  </si>
  <si>
    <t>&lt;span class="w"&gt;&lt;b&gt;【101.notice：（動）～に気づく, （名）通知】&lt;/b&gt;&lt;/span&gt;
&lt;span class="ml"&gt;印欧祖語*gno-（知る）から生まれたラテン語(g)nōscere（知るようになる, 認識する）
&lt;span class="spacer"&gt;&lt;/span&gt;「知るようになる」から知られるきっかけである「通知, 知らせ」という名詞になる。そして知らせによって何かを認識するので、「気づく」という動詞になる。&lt;/span&gt;</t>
  </si>
  <si>
    <t>&lt;span class="w"&gt;&lt;b&gt;【103.approach：～に近づく】&lt;/b&gt;&lt;/span&gt;
&lt;span class="ml"&gt;ラテン語に由来する語で、以下の2つの要素から成る。
&lt;span class="spacer"&gt;&lt;/span&gt;ad（～へ）
propiare（より近づく）
&lt;span class="spacer"&gt;&lt;/span&gt;このまま日本語にすると「～へより近づく」となり、英語でもほとんど意味の変化はない。&lt;/span&gt;</t>
  </si>
  <si>
    <t>&lt;span class="w"&gt;&lt;b&gt;【104.wonder：～かなと思う, 不思議に思う, 驚く】&lt;/b&gt;&lt;/span&gt;
&lt;span class="ml"&gt;古英語wundrian（驚く, 不思議に思う）に由来する。現代まで意味の変化はほとんどない。&lt;/span&gt;</t>
  </si>
  <si>
    <t>&lt;span class="w"&gt;&lt;b&gt;【105.imagine：～を想像する】&lt;/b&gt;&lt;/span&gt;
&lt;span class="ml"&gt;ラテン語imitārī（模倣する）に由来する。&lt;span class="obsolete"&gt;これはimitate（まねをする）の語源。&lt;/span&gt;
&lt;span class="spacer"&gt;&lt;/span&gt;「模倣する」から現実に似せた像を心に描く＝「想像する」という意味になる。&lt;/span&gt;</t>
  </si>
  <si>
    <t>&lt;span class="w"&gt;&lt;b&gt;【106.recognize：～を認識する, ～を識別する】&lt;/b&gt;&lt;/span&gt;
&lt;span class="ml"&gt;ラテン語に由来する語で、以下の3つの要素から成る。
&lt;span class="spacer"&gt;&lt;/span&gt;re（再び）
com（強意）
gnoscere（知る）
&lt;span class="spacer"&gt;&lt;/span&gt;このまま日本語にすると「再びしっかり知る」となる。目の前の情報Aを既にある知識と照らし合わせ、情報Aは知識の中の情報Bと同一であると再び知る。つまり、情報Aは情報Bであると「識別する, 認識する」という意味になる。
&lt;div class="sample_image recognize"&gt;&lt;/div&gt;&lt;/span&gt;</t>
  </si>
  <si>
    <t>&lt;span class="w"&gt;&lt;b&gt;【107.solve：～を解く, ～を解決する】&lt;/b&gt;&lt;/span&gt;
&lt;span class="ml"&gt;ラテン語solvere（ゆるめる, ほどく, 解放する）に由来する。
&lt;span class="spacer"&gt;&lt;/span&gt;「ゆるめる, ほどく」から複雑にからまった問題をほどく＝「（問題を）解く, 解決する」という意味になる。
&lt;div class="sample_image solve"&gt;&lt;/div&gt;&lt;/span&gt;</t>
  </si>
  <si>
    <t>&lt;span class="w"&gt;&lt;b&gt;【108.occur：起こる, 思い浮かぶ】&lt;/b&gt;&lt;/span&gt;
&lt;span class="ml"&gt;ラテン語に由来する語で、以下の2つの要素から成る。
&lt;span class="spacer"&gt;&lt;/span&gt;ob（～に対して）
currere（走る）
&lt;span class="spacer"&gt;&lt;/span&gt;このまま日本語にすると「～に対して走る」となる。これは走っているときに何かにぶつかるという、自分の意思とは関係のない不意の出来事を表す。
&lt;span class="spacer"&gt;&lt;/span&gt;ここから、ある出来事が自分の前に不意に現れる＝何かが「起こる」という意味になる。また、ある考えが自分の前に不意に現れる「思い浮かぶ」という意味になる。
&lt;div class="sample_image occur"&gt;&lt;/div&gt;
&lt;span class="spacer"&gt;&lt;/span&gt;移動中にぶつかるという表現で偶然性を表すことは、英語のrun into, run across, come acrossなどにも見られる。&lt;/span&gt;</t>
  </si>
  <si>
    <t>&lt;span class="w"&gt;&lt;b&gt;【109.argue：～を主張する, 議論する, 口論する】&lt;/b&gt;&lt;/span&gt;
&lt;span class="ml"&gt;印欧祖語*arg-（光る, 白い）から派生したラテン語arguere（明らかにする, 証明する）に由来する。
&lt;span class="spacer"&gt;&lt;/span&gt;「光る, 白い」は、日本語でも白日の下にさらすという表現があるが、何かを明らかにすることにつながる。ここから次のような意味になる。
&lt;span class="spacer"&gt;&lt;/span&gt;①何かを「主張する」
②お互い主張して「議論する」
③意見がぶつかって「口論する」&lt;/span&gt;</t>
  </si>
  <si>
    <t>&lt;span class="w"&gt;&lt;b&gt;【111.express：～を表す, ～を述べる】&lt;/b&gt;&lt;/span&gt;
&lt;span class="ml"&gt;ラテン語に由来する語で、以下の2つの要素から成る。
&lt;span class="spacer"&gt;&lt;/span&gt;ex（外に）
premere（押す：pressの語源）
&lt;span class="spacer"&gt;&lt;/span&gt;このまま日本語にすると「外に押す」となる。自分の中にあるものを外に押し出すことから、何かを「～を表す, 述べる」という意味になる。&lt;/span&gt;</t>
  </si>
  <si>
    <t>&lt;span class="w"&gt;&lt;b&gt;【112.draw：〜を引き出す, ～を引く, ～を描く】&lt;/b&gt;&lt;/span&gt;
&lt;span class="ml"&gt;古英語dragan（引く）にさかのぼる。
&lt;span class="spacer"&gt;&lt;/span&gt;「引く」という意味から「引き出す」や、線を引く＝「描く」という意味になる。&lt;/span&gt;</t>
  </si>
  <si>
    <t>&lt;span class="w"&gt;&lt;b&gt;【113.waste：～を浪費する, 無駄にする】&lt;/b&gt;&lt;/span&gt;
&lt;span class="ml"&gt;ラテン語vastus（空の, 荒れ果てた）に由来する。
&lt;span class="spacer"&gt;&lt;/span&gt;荒れ果てた土地というのは、土地として無駄なもの。ここから何かを「無駄にする, 浪費する」という意味になる。&lt;/span&gt;</t>
  </si>
  <si>
    <t>&lt;span class="w"&gt;&lt;b&gt;【114.advance：～を進歩させる, ～を前進する】&lt;/b&gt;&lt;/span&gt;
&lt;span class="ml"&gt;ラテン語に由来する語で、以下の2つの要素から成る。
&lt;span class="spacer"&gt;&lt;/span&gt;ab（～から）
ante（前に）
&lt;span class="spacer"&gt;&lt;/span&gt;このまま日本語にすると「～から前に」となる。ここから前方への移動を表して「進歩させる, 前進する」という意味になる。&lt;/span&gt;</t>
  </si>
  <si>
    <t>&lt;span class="w"&gt;&lt;b&gt;【115.spread：～を広める, 広がる】&lt;/b&gt;&lt;/span&gt;
&lt;span class="ml"&gt;印欧祖語*sper-（まき散らす）に由来する。
&lt;span class="spacer"&gt;&lt;/span&gt;まき散らす＝全体に広がる
ことから「広める, 広がる」という意味になる。
&lt;span class="spacer"&gt;&lt;/span&gt;この印欧祖語からはspray（スプレー, まき散らす）も生まれている。&lt;/span&gt;</t>
  </si>
  <si>
    <t>&lt;span class="w"&gt;&lt;b&gt;【116.prepare：～を準備する】&lt;/b&gt;&lt;/span&gt;
&lt;span class="ml"&gt;ラテン語に由来する語で、以下の2つの要素から成る。
&lt;span class="spacer"&gt;&lt;/span&gt;prae（前に）
parare（整える, 用意する）
&lt;span class="spacer"&gt;&lt;/span&gt;このまま日本語にすると「前に整える」となる。つまり前もって（あらかじめ）整えておくことから「準備する」という意味になる。&lt;/span&gt;</t>
  </si>
  <si>
    <t>&lt;span class="w"&gt;&lt;b&gt;【117.gain：～を獲得する, （速度や重さを）増す, 時計が進む】&lt;/b&gt;&lt;/span&gt;
&lt;span class="ml"&gt;フランク語*waidanjan（狩る, 採集する）に由来する。
&lt;span class="spacer"&gt;&lt;/span&gt;狩りや採集で労力をかけて何かを得ることから、利益になるものを「獲得する」という意味になる。
&lt;span class="spacer"&gt;&lt;/span&gt;さらに、獲得する＝何かが増えるというイメージから「（速度や重さを）増す, 時計が進む」という意味になる。
&lt;span class="spacer"&gt;&lt;/span&gt;gain wight
体重が増える
&lt;span class="spacer"&gt;&lt;/span&gt;This clock gains five minutes a day.
この時計は一日に5分進む。&lt;/span&gt;</t>
  </si>
  <si>
    <t>&lt;span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t>
  </si>
  <si>
    <t>&lt;span class="w"&gt;&lt;b&gt;【120.supply：～を供給する】&lt;/b&gt;&lt;/span&gt;
&lt;span class="ml"&gt;ラテン語に由来する語で、以下の2つの要素から成る。
&lt;span class="spacer"&gt;&lt;/span&gt;sub（下から）
plere（満たす）
&lt;span class="spacer"&gt;&lt;/span&gt;このまま日本語にすると「下から満たす」となる。減った分を下から補充して満たしていくイメージから、必要なものを「供給する」という意味になる。
&lt;div class="sample_image supply"&gt;&lt;/div&gt;
&lt;span class="spacer"&gt;&lt;/span&gt;supplyは不足している物資・資源・商品・エネルギーなどの補給で、ルートや方法が体系的に決まっているイメージ。&lt;/span&gt;</t>
  </si>
  <si>
    <t>&lt;span class="w"&gt;&lt;b&gt;【121.suppose：～と仮定する, と思う】&lt;/b&gt;&lt;/span&gt;
&lt;span class="ml"&gt;ラテン語に由来する語で、以下の2つの要素から成る。
&lt;span class="spacer"&gt;&lt;/span&gt;sub（下に）
ponere（置く）
&lt;span class="spacer"&gt;&lt;/span&gt;このまま日本語にすると「下に置く」となる。思考において、何かを既にあるものとして土台に置くイメージから、何かを前提として置く＝「仮定する」という意味になる。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&lt;div class="sample_image suppose"&gt;&lt;/div&gt;
&lt;span class="spacer"&gt;&lt;/span&gt;supposeを「前提に置く」というイメージで覚えておけば、be supposed to do A（Aすることになっている）は、要は「Aするということが前提として置かれている」だけだと理解できる。&lt;/span&gt;</t>
  </si>
  <si>
    <t>&lt;span class="w"&gt;&lt;b&gt;【122.perform：～を行う, ～を演じる, ～を演奏する】&lt;/b&gt;&lt;/span&gt;
&lt;span class="ml"&gt;古フランス語に由来する語で、以下の2つの要素から成る。
&lt;span class="spacer"&gt;&lt;/span&gt;par（完全に）
fornir（供給する）
&lt;span class="spacer"&gt;&lt;/span&gt;このまま日本語にすると「完全に供給する」となる。これは必要なことを完遂するというイメージとなり、何かを「行う, 演じる, 演奏する」という意味になる。&lt;/span&gt;</t>
  </si>
  <si>
    <t>&lt;span class="w"&gt;&lt;b&gt;【124.determine：～を決定する】&lt;/b&gt;&lt;/span&gt;
&lt;span class="ml"&gt;ラテン語に由来する語で、以下の2つの要素から成る。
&lt;span class="spacer"&gt;&lt;/span&gt;de（離れて）
terminus（終わり, 境界, 限界）
&lt;span class="spacer"&gt;&lt;/span&gt;離れたところに境界＝終わりを示すことから、何かの終着を決める＝何かを「決定する」という意味になる。
&lt;div class="sample_image determine"&gt;&lt;/div&gt;
&lt;span class="spacer"&gt;&lt;/span&gt;ラテン語terminus（終わり, 境界, 限界）は英語terminal（終わりの, 末期の）の語源でもある。ターミナルは日本語でもバスのターミナル（バスの終点）やターミナルケア（終末期医療）で使われる。&lt;/span&gt;</t>
  </si>
  <si>
    <t>&lt;span class="w"&gt;&lt;b&gt;【125.treat：～を扱う, ～を治療する, ごちそうする】&lt;/b&gt;&lt;/span&gt;
&lt;span class="ml"&gt;ラテン語trahere（引く, 引きずる）から派生したtractare（繰り返し引く, 引きずり回す, 取り扱う）に由来する。
&lt;span class="spacer"&gt;&lt;/span&gt;何かを繰り返し引く様子から、何かを「扱う」というイメージになる。医療における患者の扱いなら「治療する」という意味になり、客への扱いならもてなし＝「食べ物や飲み物をふるまう, ごちそうする」という意味になる。&lt;/span&gt;</t>
  </si>
  <si>
    <t>&lt;span class="w"&gt;&lt;b&gt;【126.prove：～を証明する, 判明する】&lt;/b&gt;&lt;/span&gt;
&lt;span class="ml"&gt;ラテン語probus（善良な, 立派な, 正直な）から派生したprobare（信頼できるものと示す, 試す）に由来する。
&lt;span class="spacer"&gt;&lt;/span&gt;試して示すことから何かを「証明する」という意味になる。またその結果「判明する」となる。&lt;/span&gt;</t>
  </si>
  <si>
    <t>&lt;span class="w"&gt;&lt;b&gt;【127.apply：～を適用する, 申し込む】&lt;/b&gt;&lt;/span&gt;
&lt;span class="ml"&gt;ラテン語に由来する語で、以下の2つの要素から成る。
&lt;span class="spacer"&gt;&lt;/span&gt;ad（～へ）
plicare（折る）
&lt;span class="spacer"&gt;&lt;/span&gt;このまま日本語にすると「〜へ折り重ねる」となる。apply A to Bは、AをBにぴったり折り重ねるイメージから「AをBに適用する」となる。
&lt;span class="spacer"&gt;&lt;/span&gt;同様に、
S apply for 求めるもの
S apply to 求める相手
これでSを求めるものや求める相手に折り重ねるイメージから「Sは〜に申し込む」という意味になる。
&lt;div class="sample_image apply"&gt;&lt;/div&gt;&lt;/span&gt;</t>
  </si>
  <si>
    <t>&lt;span class="w"&gt;&lt;b&gt;【128.mention：～に言及する, ～と言う】&lt;/b&gt;&lt;/span&gt;
&lt;span class="ml"&gt;ラテン語mens（心, 知性）に関連するminisci（思い出す, 考える）に由来する。
&lt;span class="spacer"&gt;&lt;/span&gt;何かを思い出したり考えたりして、それを言葉にすることから「言及する, 言う」という意味になる。&lt;/span&gt;</t>
  </si>
  <si>
    <t>&lt;span class="w"&gt;&lt;b&gt;【129.communicate：情報交換する, 意思疎通する】&lt;/b&gt;&lt;/span&gt;
&lt;span class="ml"&gt;ラテン語に由来する語で、以下の2つの要素から成る。
&lt;span class="spacer"&gt;&lt;/span&gt;com（共に）
munis（義務）
&lt;span class="spacer"&gt;&lt;/span&gt;このまま日本語にすると「義務を共に」となる。つまり義務を共有するというコミュニケーション行為から「情報交換する, 意思疎通する」という意味になる。&lt;/span&gt;</t>
  </si>
  <si>
    <t>&lt;span class="w"&gt;&lt;b&gt;【131.contact：〜と連絡を取る, 接触する】&lt;/b&gt;&lt;/span&gt;
&lt;span class="ml"&gt;ラテン語に由来する語で、以下の2つの要素から成る。
&lt;span class="spacer"&gt;&lt;/span&gt;com（共に）
tangere（触れる）
&lt;span class="spacer"&gt;&lt;/span&gt;このまま日本語にすると「共に触れる」となる。誰かと誰かが直接触れるなら「接触する」となり、離れていたら「連絡を取る」となる。&lt;/span&gt;</t>
  </si>
  <si>
    <t>&lt;span class="w"&gt;&lt;b&gt;【133.respect：〜を尊敬する】&lt;/b&gt;&lt;/span&gt;
&lt;span class="ml"&gt;ラテン語に由来する語で、以下の2つの要素から成る。
&lt;span class="spacer"&gt;&lt;/span&gt;re（後ろへ）
specere（見る）
&lt;span class="spacer"&gt;&lt;/span&gt;このまま日本語にすると「後ろを見る」となる。振り返って見る、1度見たものを何度もよく見るというイメージから、対象に注意、配慮、敬意を向ける、つまり「尊敬する」という意味になる。
&lt;span class="spacer"&gt;&lt;/span&gt;名詞respectは、ある事柄に何度も目を向けることから、目を向ける先の「ポイント」や「関係」を意味する。&lt;/span&gt;</t>
  </si>
  <si>
    <t>&lt;span class="w"&gt;&lt;b&gt;【134.search：〜を探す】&lt;/b&gt;&lt;/span&gt;
&lt;span class="ml"&gt;ラテン語circus（円）から派生した動詞circare（ぐるぐる歩き回る）に由来する。
&lt;span class="spacer"&gt;&lt;/span&gt;ぐるぐる歩き回る様子から、何かを求めてさまよう＝「探す」という意味になる。&lt;/span&gt;</t>
  </si>
  <si>
    <t>&lt;span class="w"&gt;&lt;b&gt;【135.connect：〜をつなぐ】&lt;/b&gt;&lt;/span&gt;
&lt;span class="ml"&gt;ラテン語に由来する語で、以下の2つの要素から成る。
&lt;span class="spacer"&gt;&lt;/span&gt;com（共に）
nectere（縛る, 結びつける）
&lt;span class="spacer"&gt;&lt;/span&gt;このまま日本語にすると「共に結びつける」となる。あるものと別のものを結びつけることから「つなぐ」という意味になる。&lt;/span&gt;</t>
  </si>
  <si>
    <t>&lt;span class="w"&gt;&lt;b&gt;【136.decline：減少する, 衰退する, 断る】&lt;/b&gt;&lt;/span&gt;
&lt;span class="ml"&gt;ラテン語に由来する語で、以下の2つの要素から成る。
&lt;span class="spacer"&gt;&lt;/span&gt;de（離れて, 下へ）
clinare（傾ける, 曲げる）
&lt;span class="spacer"&gt;&lt;/span&gt;このまま日本語にすると「傾けて離す, 下へ傾く」となる。「傾けて離す」は何かを横へそらすイメージ。相手の要求やお願いを横へそらすことから「断る」という意味になる。また「下へ傾く」からは「減少する, 衰退する」という意味になる。
&lt;div class="sample_image decline"&gt;&lt;/div&gt;&lt;/span&gt;</t>
  </si>
  <si>
    <t>&lt;span class="w"&gt;&lt;b&gt;【137.prevent：〜を妨げる, 〜を防ぐ】&lt;/b&gt;&lt;/span&gt;
&lt;span class="ml"&gt;ラテン語に由来する語で、以下の2つの要素から成る。
&lt;span class="spacer"&gt;&lt;/span&gt;prae（前に）
venire（来る）
&lt;span class="spacer"&gt;&lt;/span&gt;このまま日本語にすると「（時間的に）前に来る」となる。つまり何かが起こる、何かをするより先に来るということ。この先回りの行動が、先に行動して何かを阻止するという妨害と結びつき、「妨げる, 防ぐ」という意味になる。
&lt;div class="sample_image prevent"&gt;&lt;/div&gt;&lt;/span&gt;</t>
  </si>
  <si>
    <t>&lt;span class="w"&gt;&lt;b&gt;【139.survive：生き残る, より長生きする】&lt;/b&gt;&lt;/span&gt;
&lt;span class="ml"&gt;ラテン語に由来する語で、以下の2つの要素から成る。
&lt;span class="spacer"&gt;&lt;/span&gt;super（越えて）
vivere（生きる）
&lt;span class="spacer"&gt;&lt;/span&gt;このまま日本語にすると「何かを越えて生きる」となる。つまり何かを乗り越えて「生き残る, より長生きする」という意味になる。&lt;/span&gt;</t>
    <rPh sb="184" eb="187">
      <t>ニホンゴ</t>
    </rPh>
    <rPh sb="192" eb="193">
      <t>ナニ</t>
    </rPh>
    <rPh sb="235" eb="237">
      <t>イミ</t>
    </rPh>
    <phoneticPr fontId="1"/>
  </si>
  <si>
    <t>&lt;span class="w"&gt;&lt;b&gt;【140.publish：〜を出版する, 〜を公にする】&lt;/b&gt;&lt;/span&gt;
&lt;span class="ml"&gt;ラテン語populus（民衆）から派生した動詞publicare（公にする）に由来する。
&lt;span class="spacer"&gt;&lt;/span&gt;民衆という語から情報を民衆に対して広める＝「公にする」という動詞になる。また本や新聞などにして情報を民衆に広めるという場合は「出版する」という意味になる。&lt;/span&gt;</t>
    <rPh sb="93" eb="95">
      <t>ハセイ</t>
    </rPh>
    <rPh sb="97" eb="99">
      <t>ドウシ</t>
    </rPh>
    <rPh sb="115" eb="117">
      <t>ユライ</t>
    </rPh>
    <rPh sb="154" eb="155">
      <t>ゴ</t>
    </rPh>
    <rPh sb="157" eb="159">
      <t>ジョウホウ</t>
    </rPh>
    <rPh sb="160" eb="162">
      <t>ミンシュウ</t>
    </rPh>
    <rPh sb="163" eb="164">
      <t>タイ</t>
    </rPh>
    <rPh sb="166" eb="167">
      <t>ヒロ</t>
    </rPh>
    <rPh sb="179" eb="181">
      <t>ドウシ</t>
    </rPh>
    <rPh sb="187" eb="188">
      <t>ホン</t>
    </rPh>
    <rPh sb="189" eb="191">
      <t>シンブン</t>
    </rPh>
    <rPh sb="196" eb="198">
      <t>ジョウホウ</t>
    </rPh>
    <rPh sb="199" eb="201">
      <t>ミンシュウ</t>
    </rPh>
    <rPh sb="202" eb="203">
      <t>ヒロ</t>
    </rPh>
    <rPh sb="208" eb="210">
      <t>バアイ</t>
    </rPh>
    <rPh sb="220" eb="222">
      <t>イミ</t>
    </rPh>
    <phoneticPr fontId="1"/>
  </si>
  <si>
    <t>&lt;span class="w"&gt;&lt;b&gt;【141.opportunity：機会, チャンス】&lt;/b&gt;&lt;/span&gt;
&lt;span class="ml"&gt;ラテン語に由来する語で、以下の2つの要素から成る。
&lt;span class="spacer"&gt;&lt;/span&gt;ob（〜に向かって）
portus（港）
&lt;span class="spacer"&gt;&lt;/span&gt;ラテン語ではob+portus+venire（来る）からなるフレーズが存在し、「港に向かって風が来ている」を表現した。風が吹いて港に入るのに適したチャンスということから「機会, チャンス」という意味になる。
&lt;div class="sample_image opportunity"&gt;&lt;/div&gt;&lt;/span&gt;</t>
  </si>
  <si>
    <t>&lt;span class="w"&gt;&lt;b&gt;【142.task：課せられた仕事, 課題】&lt;/b&gt;&lt;/span&gt;
&lt;span class="ml"&gt;ラテン語taxare（査定する）の名詞taxa（評価額, 課税額）に由来する。
&lt;span class="spacer"&gt;&lt;/span&gt;財産から課税額を査定し、人々に義務（税）を課すことから、一般的な「課せられた仕事, 課題」という意味になる。
&lt;span class="spacer"&gt;&lt;/span&gt;英語のtask（課題）とtax（税）はどちらもtaxa（評価額, 課税額）から生まれた語。taskはラテン語taxa（タクサ）のkとsの音がひっくり返ってタスク（課せられるもの）となった。一方、taxはラテン語taxaから音と意味を変えずに「税」という意味になった。&lt;/span&gt;</t>
  </si>
  <si>
    <t>&lt;span class="w"&gt;&lt;b&gt;【143.industry：産業, 勤勉】&lt;/b&gt;&lt;/span&gt;
&lt;span class="ml"&gt;ラテン語に由来する語で、以下の2つの要素から成る。
&lt;span class="spacer"&gt;&lt;/span&gt;indu（中に）
struere（積み上げる, 築く）
&lt;span class="spacer"&gt;&lt;/span&gt;このまま日本語にすると「中に積み上げる」となる。コツコツと努力して積み上げていくイメージから「勤勉」という意味になる。そして「勤勉」から勤勉な労働、仕事、仕事の分野と広がっていき、「産業」という意味になる。&lt;/span&gt;</t>
    <rPh sb="247" eb="249">
      <t>キンベン</t>
    </rPh>
    <rPh sb="250" eb="252">
      <t>ロウドウ</t>
    </rPh>
    <rPh sb="253" eb="255">
      <t>シゴト</t>
    </rPh>
    <rPh sb="256" eb="258">
      <t>シゴト</t>
    </rPh>
    <rPh sb="259" eb="261">
      <t>ブンヤ</t>
    </rPh>
    <rPh sb="262" eb="263">
      <t>ヒロ</t>
    </rPh>
    <phoneticPr fontId="1"/>
  </si>
  <si>
    <t>&lt;span class="w"&gt;&lt;b&gt;【144.medium：媒体, 手段, メディアmediaの単数形】&lt;/b&gt;&lt;/span&gt;
&lt;span class="ml"&gt;ラテン語medius（中間の）に由来する。
&lt;span class="spacer"&gt;&lt;/span&gt;この語の核は「中間にあるもの」。情報を送る側と受ける側の間にあるものなら「媒体」という意味になる。また行動と目的の間にあるものなら「手段」という意味になる。
&lt;span class="spacer"&gt;&lt;/span&gt;またmediumのmed部分は、middle（ミドル, 真ん中の）と同じ語源にさかのぼる。&lt;/span&gt;</t>
  </si>
  <si>
    <t>&lt;span class="w"&gt;&lt;b&gt;【145.economy：経済, 倹約】&lt;/b&gt;&lt;/span&gt;
&lt;span class="ml"&gt;ギリシャ語に由来する語で、以下の2つの要素から成る。
&lt;span class="spacer"&gt;&lt;/span&gt;oikos（家）
nomos（管理）
&lt;span class="spacer"&gt;&lt;/span&gt;このまま日本語にすると「家の管理」となる。これは家計の管理のことで、無駄のない家計のやりくり＝「倹約」という意味になる。そして家から地域や国家レベルのお金の話になって「経済」となる。&lt;/span&gt;</t>
  </si>
  <si>
    <t>&lt;span class="w"&gt;&lt;b&gt;【146.policy：政策, 方針】&lt;/b&gt;&lt;/span&gt;
&lt;span class="ml"&gt;ギリシャ語polis（都市）に由来する。
&lt;span class="spacer"&gt;&lt;/span&gt;古代ギリシャのpolis（都市国家, ポリス）からは、そこに住む市民や、市民の統治＝政治に関する語が生まれている。
&lt;span class="spacer"&gt;&lt;/span&gt;policyも都市国家ポリスに関わり、国家を運営していく上でその方向性を示す「政策, 方針」という意味になる。また国家運営に限らず、組織運営や個人の行動の「方針」という意味にもなる。&lt;/span&gt;</t>
  </si>
  <si>
    <t>&lt;span class="w"&gt;&lt;b&gt;【148.trade：貿易, 取引】&lt;/b&gt;&lt;/span&gt;
&lt;span class="ml"&gt;中低地ドイツ語や中オランダ語
trade（道, 進路）に由来する。
&lt;span class="spacer"&gt;&lt;/span&gt;道の中でも日々繰り返し歩く道は、比喩的に習慣的な行動や日常的に従事する仕事を表す。ここから商品の売買や交換＝「取引, 貿易」という意味になる。&lt;/span&gt;</t>
  </si>
  <si>
    <t>&lt;span class="w"&gt;&lt;b&gt;【149.model：型, 模型, 模範】&lt;/b&gt;&lt;/span&gt;
&lt;span class="ml"&gt;ラテン語に由来する語で、以下の2つの要素から成る。
&lt;span class="spacer"&gt;&lt;/span&gt;modus（尺度）
ulus（小さいことを表す）
&lt;span class="spacer"&gt;&lt;/span&gt;このまま日本語にすると「小さな尺度」となる。小さな尺度とは、元のサイズから小さくした形の基準となるもの、つまり「型, 模型」のこと。何かのあり方の型なら「模範」という訳になる。&lt;/span&gt;</t>
  </si>
  <si>
    <t>&lt;span class="w"&gt;&lt;b&gt;【150.figure：数字, 姿, 人物, 図表】&lt;/b&gt;&lt;/span&gt;
&lt;span class="ml"&gt;ラテン語figura（形, 姿）に由来する。
&lt;span class="spacer"&gt;&lt;/span&gt;線で書ける形や姿というイメージ。輪郭のある「姿」から「人物」そのものも意味する。また「図表」や、数を線で表した「数字」という意味にもなる。
&lt;div class="sample_image figure"&gt;&lt;/div&gt;
&lt;span class="spacer"&gt;&lt;/span&gt;フィギュアスケートはリンクを滑って氷上に円形の跡（線）を残すことからfigureが使われる。&lt;/span&gt;</t>
  </si>
  <si>
    <t>&lt;span class="w"&gt;&lt;b&gt;【151.cell：細胞, 独房】&lt;/b&gt;&lt;/span&gt;
&lt;span class="ml"&gt;ラテン語cella（小部屋）に由来する。
&lt;span class="spacer"&gt;&lt;/span&gt;「小部屋」から、生物学において生物の基本構造である小さい部屋のような「細胞」となる。
&lt;div class="sample_image cell"&gt;&lt;/div&gt;
&lt;span class="spacer"&gt;&lt;/span&gt;形容詞cellular（細胞の）は携帯電話を意味するcellular phoneとしても使われ、これを短縮した語がcellphoneとなった。
&lt;span class="spacer"&gt;&lt;/span&gt;携帯電話の通信は地域を細胞のように区切り、その一つひとつに電波の送受信を行う基地局を配置することから、cellular phoneと呼ばれるようになった。&lt;/span&gt;</t>
  </si>
  <si>
    <t>&lt;span class="w"&gt;&lt;b&gt;【152.image：印象, イメージ】&lt;/b&gt;&lt;/span&gt;
&lt;span class="ml"&gt;ラテン語imitari（写す, 模倣する）から派生したimago（写し, 像, 観念）に由来する。
&lt;span class="spacer"&gt;&lt;/span&gt;現実の写しや心に浮かぶ像から「印象, イメージ」という意味になる。&lt;/span&gt;</t>
  </si>
  <si>
    <t>&lt;span class="w"&gt;&lt;b&gt;【153.emotion：感情, 情動】&lt;/b&gt;&lt;/span&gt;
&lt;span class="ml"&gt;ラテン語に由来する語で、以下の2つの要素から成る。
&lt;span class="spacer"&gt;&lt;/span&gt;ex（外に）
movere（動かす：moveの語源）
&lt;span class="spacer"&gt;&lt;/span&gt;このまま日本語にすると「外に動かす」となる。外に動く＝揺れ動くというイメージから心が揺れ動く＝「感情, 情動」となる。&lt;/span&gt;</t>
    <rPh sb="145" eb="147">
      <t>ゴゲン</t>
    </rPh>
    <phoneticPr fontId="1"/>
  </si>
  <si>
    <t>&lt;span class="w"&gt;&lt;b&gt;【154.stress：ストレス, 圧力, 強調】&lt;/b&gt;&lt;/span&gt;
&lt;span class="ml"&gt;ラテン語stringere（引き締める）に由来する。
&lt;span class="spacer"&gt;&lt;/span&gt;何かを引き締めるというところから、物理的また精神的にかける力＝「圧力, ストレス」という意味になる。また重要なことを発言するときに言葉を強く発音することがあるが、このような「強調」も意味する。&lt;/span&gt;</t>
  </si>
  <si>
    <t>&lt;span class="w"&gt;&lt;b&gt;【155.decade：10年間】&lt;/b&gt;&lt;/span&gt;
&lt;span class="ml"&gt;ギリシャ語deka（10）に由来する。&lt;span class="obsolete"&gt;ade部分は古フランス語で付いたade（～の集まり）に由来する。&lt;/span&gt;
&lt;span class="spacer"&gt;&lt;/span&gt;10を1つのセットで考えることから、decadeという1語で「10年間」を意味する。
&lt;span class="spacer"&gt;&lt;/span&gt;December（12月）やdeciliter（デシリットル）のdec部分も「10」を意味する。
&lt;span class="spacer"&gt;&lt;/span&gt;1年＝12ヶ月になったのは紀元前7世紀ころで、それまでは10ヶ月だった。そのためDecemberはdec（10）が付いて10番目の月を表していた。
&lt;span class="spacer"&gt;&lt;/span&gt;1リットル＝10デシリットルなので、deciliterのdeciは10分の1を意味する。
&lt;span class="spacer"&gt;&lt;/span&gt;ちなみにcentury（世紀, 100年）やcentimeterのcent部分は「100」を意味する。
1m＝100cmなので、centimeterのcentiは100分の1sを意味する。&lt;/span&gt;</t>
  </si>
  <si>
    <t>&lt;span class="w"&gt;&lt;b&gt;【156.range：範囲】&lt;/b&gt;&lt;/span&gt;
&lt;span class="ml"&gt;古フランス語renge（列, 隊列）に由来する。
&lt;span class="spacer"&gt;&lt;/span&gt;広く長く伸びる兵士の隊列
から、何かが広がる「範囲」という意味になる。
&lt;div class="sample_image range"&gt;&lt;/div&gt;&lt;/span&gt;</t>
  </si>
  <si>
    <t>&lt;span class="w"&gt;&lt;b&gt;【157.character：性格, 個性, 特徴, 登場人物, 文字】&lt;/b&gt;&lt;/span&gt;
&lt;span class="ml"&gt;ギリシャ語kharax（尖った杭）から派生した動詞kharassein（刻む）そして名詞kharaktēr（刻まれた印）に由来する。
&lt;span class="spacer"&gt;&lt;/span&gt;尖った杭で刻まれた印から以下のように意味が発展する。
&lt;span class="spacer"&gt;&lt;/span&gt;①刻まれた印＝「文字」
②印により生じる他との違い＝「特徴」
③人や物の特徴＝「性格, 個性」
④物語の作者が特徴づける「登場人物」となる。&lt;/span&gt;</t>
  </si>
  <si>
    <t>&lt;span class="w"&gt;&lt;b&gt;【158.advantage：利点, 有利, 優勢】&lt;/b&gt;&lt;/span&gt;
&lt;span class="ml"&gt;ラテン語に由来する語で、以下の2つの要素から成る。
&lt;span class="spacer"&gt;&lt;/span&gt;ab（〜から）
ante（前に）
&lt;span class="obsolete"&gt;age（名詞化）は古フランス語段階で付いた。&lt;/span&gt;
&lt;span class="spacer"&gt;&lt;/span&gt;このまま日本語にすると「〜から前に」となる。他よりも前に進んでいる状態を表し、他よりも優れている・良いところがあるという「有利, 優勢, 利点」という意味になる。&lt;/span&gt;</t>
  </si>
  <si>
    <t>&lt;span class="w"&gt;&lt;b&gt;【159.phrase：句, 言い回し】&lt;/b&gt;&lt;/span&gt;
&lt;span class="ml"&gt;ギリシャ語phrasis（言い回し）に由来する。
&lt;span class="spacer"&gt;&lt;/span&gt;ギリシャ語から意味の変化はほとんどなく、「言い回し」＝2語以上で意味をなす「句」という意味になる。&lt;/span&gt;</t>
  </si>
  <si>
    <t>&lt;span class="w"&gt;&lt;b&gt;【160.damage：損傷, 損害】&lt;/b&gt;&lt;/span&gt;
&lt;span class="ml"&gt;ラテン語damnum（損失, 損害）に由来する。&lt;span class="obsolete"&gt;age（名詞化）は古フランス語段階で付いた。&lt;/span&gt;
&lt;span class="spacer"&gt;&lt;/span&gt;ラテン語から意味の変化はほとんどない。&lt;/span&gt;</t>
  </si>
  <si>
    <t>&lt;span class="w"&gt;&lt;b&gt;【161.impact：影響, 衝突, 衝撃（力）】&lt;/b&gt;&lt;/span&gt;
&lt;span class="ml"&gt;ラテン語に由来する語で、以下の2つの要素から成る。
&lt;span class="spacer"&gt;&lt;/span&gt;in（中へ）
pangere（固定する, 打ち込む）
&lt;span class="spacer"&gt;&lt;/span&gt;このまま日本語にすると「何かの中に固定する、打ち込む」となる。ある物が別の物にぶつかってその中に入りこんで止まるイメージから「衝突」という意味になる。また衝突のときの「衝撃」や、衝撃が伝わって生まれる「影響」という意味にもなる。&lt;/span&gt;</t>
  </si>
  <si>
    <t>&lt;span class="w"&gt;&lt;b&gt;【162.method：方法, 体系, 秩序】&lt;/b&gt;&lt;/span&gt;
&lt;span class="ml"&gt;ギリシャ語に由来する語で、以下の2つの要素から成る。
&lt;span class="spacer"&gt;&lt;/span&gt;meta（追い求めて）
hodos（道, 方法）
&lt;span class="spacer"&gt;&lt;/span&gt;このまま日本語にすると「追い求める道」となる。ある目的を追い求める道から「方法」という意味になる。この「方法」は「秩序（規則性）」をもってまとまった「体系」的なもの。
&lt;span class="spacer"&gt;&lt;/span&gt;methodは「この目的を達成するには、Aを～して、その後～して、最終的に～する」のように体系的にまとまった方法という感じ。&lt;/span&gt;</t>
  </si>
  <si>
    <t>&lt;span class="w"&gt;&lt;b&gt;【163.resource：資源, 資金】&lt;/b&gt;&lt;/span&gt;
&lt;span class="ml"&gt;ラテン語に由来する語で、以下の3つの要素から成る。
&lt;span class="spacer"&gt;&lt;/span&gt;re（再び）
sub（下から）
regere（まっすぐ導く）
&lt;span class="spacer"&gt;&lt;/span&gt;このまま日本語にすると「再び下からまっすぐ導く」となる。崩れたものをを再び立て直すことから、困ったときに立ち直らせる源＝「資源, 資金」という意味になる。&lt;/span&gt;</t>
  </si>
  <si>
    <t>&lt;span class="w"&gt;&lt;b&gt;【164.region：地域, 領域, 部位】&lt;/b&gt;&lt;/span&gt;
&lt;span class="ml"&gt;ラテン語に由来する語で、以下の2つの要素から成る。
&lt;span class="spacer"&gt;&lt;/span&gt;regere（まっすぐ導く, 支配する）
io（名詞化）
&lt;span class="spacer"&gt;&lt;/span&gt;このまま日本語にすると「まっすぐ導くこと, 支配する者」となる。支配者が領土に線を引いて区分けするイメージから「地域, 領域, 部位」という意味になる。
&lt;div class="sample_image region"&gt;&lt;/div&gt;&lt;/span&gt;</t>
  </si>
  <si>
    <t>&lt;span class="w"&gt;&lt;b&gt;【165.medicine：薬, 医学, 医療】&lt;/b&gt;&lt;/span&gt;
&lt;span class="ml"&gt;印欧祖語*med-（適切に処置する）に由来する。
&lt;span class="spacer"&gt;&lt;/span&gt;「適切に処置する」ということから、特に病気に対して適切な処置を行う医療行為に関わる言葉に特化する。病気の患者に適切な処置をする「医療」、その医療行為で使う「薬」、そして医療に関する学問である「医学」という意味になる。&lt;/span&gt;</t>
  </si>
  <si>
    <t>&lt;span class="w"&gt;&lt;b&gt;【166.detail：詳細, 細部】&lt;/b&gt;&lt;/span&gt;
&lt;span class="ml"&gt;古フランス語に由来する語で、以下の2つの要素から成る。
&lt;span class="spacer"&gt;&lt;/span&gt;de（完全に）
taillier（切る）
&lt;span class="spacer"&gt;&lt;/span&gt;このまま日本語にすると「完全に切る」となる。完全に切ることで一つひとつの部分が細かくなることから「詳細, 細部」という意味になる。&lt;/span&gt;</t>
  </si>
  <si>
    <t>&lt;span class="w"&gt;&lt;b&gt;【167.feature：特徴, （〜sで）顔つき】&lt;/b&gt;&lt;/span&gt;
&lt;span class="ml"&gt;ラテン語facere（作る, 行う）から派生した名詞factura（形成, 作業, 作られた形）に由来する。
&lt;span class="spacer"&gt;&lt;/span&gt;何かを形作ること、特に身体の形成において他と差別化される「顔つき」という意味になる。顔はそれぞれに特徴があることから発展して、一般的に何かの際立った部分＝「特徴」という意味になる。&lt;/span&gt;</t>
  </si>
  <si>
    <t>&lt;span class="w"&gt;&lt;b&gt;【168.function：機能, 関数】&lt;/b&gt;&lt;/span&gt;
&lt;span class="ml"&gt;ラテン語fungi（実行する）から派生した名詞functio（実行, 遂行）に由来する。
&lt;span class="spacer"&gt;&lt;/span&gt;Aを実行するということは、Aという働きをする「機能」を持っているということ。たとえば心臓は全身に血液を送るという働きをするが、それは心臓が血液を循環させる機能を持つということ。このように実行から「機能」という意味になる。
&lt;span class="spacer"&gt;&lt;/span&gt;また数学に関して、ある数を入れたら別の数が出る働きをする「関数」という意味になる。数学に出てくるf(x)のfはfunction（関数）のこと。&lt;/span&gt;</t>
  </si>
  <si>
    <t>&lt;span class="w"&gt;&lt;b&gt;【169.access：利用, 入手, 接近】&lt;/b&gt;&lt;/span&gt;
&lt;span class="ml"&gt;ラテン語に由来する語で、以下の2つの要素から成る。
&lt;span class="spacer"&gt;&lt;/span&gt;ad（～へ）
cedere（行く）
&lt;span class="spacer"&gt;&lt;/span&gt;このまま日本語にすると「〜へ行く」となる。ここから「接近」という意味になる。さらに接近という物理的な移動から、近づいて何かを使うという「入手, 利用」という意味になる。
&lt;span class="spacer"&gt;&lt;/span&gt;The hotel has easy access to the station.
そのホテルは駅へのアクセスが良いという物理的な接近の話。
&lt;span class="spacer"&gt;&lt;/span&gt;Students have access to the library.
生徒は図書館を利用できるという利用可能性の話。&lt;/span&gt;</t>
  </si>
  <si>
    <t>&lt;span class="w"&gt;&lt;b&gt;【170.item：品目, 項目, 記事（情報の項目）】&lt;/b&gt;&lt;/span&gt;
&lt;span class="ml"&gt;ラテン語に由来する語で、以下の2つの要素から成る。
&lt;span class="spacer"&gt;&lt;/span&gt;ita（そのように）
tem（副詞を作る）
&lt;span class="spacer"&gt;&lt;/span&gt;もとは「そのように」というラテン語の副詞。これは「そのように, 同様に, さらに」という新しい情報の追加として使われていたが、次第に追加される情報そのものを意味する名詞となる。ここから書類に追加されていく「項目, 品目」や、新聞に追加されていく「記事」といった意味になる。&lt;/span&gt;</t>
  </si>
  <si>
    <t>&lt;span class="w"&gt;&lt;b&gt;【171.income：収入】&lt;/b&gt;&lt;/span&gt;
&lt;span class="ml"&gt;古英語にさかのぼる語で、以下の2つの要素から成る。
&lt;span class="spacer"&gt;&lt;/span&gt;in（中に）
cuman（来る）
&lt;span class="spacer"&gt;&lt;/span&gt;このまま日本語にすると「中に来る」となる。仕事などを通じて自分の中に入ってくるお金を指し、「収入」という意味になる。&lt;/span&gt;</t>
  </si>
  <si>
    <t>&lt;span class="w"&gt;&lt;b&gt;【172.attitude：態度, 心構え】&lt;/b&gt;&lt;/span&gt;
&lt;span class="ml"&gt;ラテン語に由来する語で、以下の2つの要素から成る。
&lt;span class="spacer"&gt;&lt;/span&gt;aptus（適切な）
tudo（名詞化）
&lt;span class="spacer"&gt;&lt;/span&gt;このまま日本語にすると「適切なこと」となる。これはもともと美術の専門用語で、絵や彫刻の人物の姿勢や位置が適切であることを表した。この専門的な意味から一般化して、何かに対する自分自身の姿勢＝「態度, 心構え」という意味になる。
&lt;div class="sample_image attitude"&gt;&lt;/div&gt;&lt;/span&gt;</t>
  </si>
  <si>
    <t>&lt;span class="w"&gt;&lt;b&gt;【173.site：場所, 跡地, ウェブサイト】&lt;/b&gt;&lt;/span&gt;
&lt;span class="ml"&gt;ラテン語sinere（動かさずに置いておく）の過去分詞situs（置かれる場所, 位置）に由来する。
&lt;span class="spacer"&gt;&lt;/span&gt;何かが置かれて動かされないことから「場所, 跡地, ウェブサイト」といった固定された場所を意味する。&lt;/span&gt;</t>
  </si>
  <si>
    <t>&lt;span class="w"&gt;&lt;b&gt;【174.aspect：側面, 観点】&lt;/b&gt;&lt;/span&gt;
&lt;span class="ml"&gt;ラテン語に由来する語で、以下の3つの要素から成る。
&lt;span class="spacer"&gt;&lt;/span&gt;ad（～へ）
specere（見る）
tus（名詞化）
&lt;span class="spacer"&gt;&lt;/span&gt;このまま日本語にすると「～へ見ること」となる。もともとは占星術用語として使われ、地球と他の惑星がどのように見えるかを意味した。たとえば地球から月を見るとき、地球上の観測点からは月のひとつの面しか見えない。
&lt;span class="spacer"&gt;&lt;/span&gt;ここから、自分から相手、相手から自分を見るそれぞれの「観点」や、見ている相手の「側面」という意味になる。
&lt;div class="sample_image aspect"&gt;&lt;/div&gt;&lt;/span&gt;</t>
  </si>
  <si>
    <t>&lt;span class="w"&gt;&lt;b&gt;【175.structure：構造, 体系, 構造物】&lt;/b&gt;&lt;/span&gt;
&lt;span class="ml"&gt;ラテン語に由来する語で、以下の2つの要素から成る。
&lt;span class="spacer"&gt;&lt;/span&gt;struere（積み上げる）の過去分詞structus
ura（名詞化）
&lt;span class="spacer"&gt;&lt;/span&gt;このまま日本語にすると「積み上げられたもの」となる。ここから「構造物, 構造, 体系」といった意味になる。
&lt;div class="sample_image structure"&gt;&lt;/div&gt;&lt;/span&gt;</t>
  </si>
  <si>
    <t>&lt;span class="w"&gt;&lt;b&gt;【176.habit：習慣, 癖】&lt;/b&gt;&lt;/span&gt;
&lt;span class="ml"&gt;ラテン語habere（持つ）の過去分詞habitusに由来する。
&lt;span class="spacer"&gt;&lt;/span&gt;「持たれているもの」から自分の内部にずっと持っている「癖」や、日常的に続けている「習慣」という意味になる。&lt;/span&gt;</t>
  </si>
  <si>
    <t>&lt;span class="w"&gt;&lt;b&gt;【177.link：つながり, 関連】&lt;/b&gt;&lt;/span&gt;
&lt;span class="ml"&gt;北欧のいろいろな語（輪, 鎖）に由来する。
&lt;span class="spacer"&gt;&lt;/span&gt;鎖を作る一つ一つの輪は、あるものと別のものをつなぐことから「つながり, 関連」という意味になる。&lt;/span&gt;</t>
  </si>
  <si>
    <t>&lt;span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t>
  </si>
  <si>
    <t>&lt;span class="w"&gt;&lt;b&gt;【179.positive：肯定的な, 確信して, （検査で）陽性の】&lt;/b&gt;&lt;/span&gt;
&lt;span class="ml"&gt;ラテン語に由来する語で、以下の2つの要素から成る。
&lt;span class="spacer"&gt;&lt;/span&gt;ponere（置く）の過去分詞positus（置かれる）
ivus（形容詞化）
&lt;span class="spacer"&gt;&lt;/span&gt;もともとは法律用語。法や権威あるものによって置かれる、つまり法や権威によって定められて否定のしようがないという意味で使われた。ここから「肯定的な, 確信して, 陽性の」という意味になる。&lt;/span&gt;</t>
  </si>
  <si>
    <t>&lt;span class="w"&gt;&lt;b&gt;【180.negative：否定的な, 消極的な, （検査で）陰性の】&lt;/b&gt;&lt;/span&gt;
&lt;span class="ml"&gt;ラテン語に由来する語で、以下の2つの要素から成る。
&lt;span class="spacer"&gt;&lt;/span&gt;negare（否定する）の過去分詞negatus（否定された）
ivus（形容詞化）
&lt;span class="spacer"&gt;&lt;/span&gt;「否定された」ということから「否定的な, 消極的な, 陰性の」という意味になる。&lt;/span&gt;</t>
  </si>
  <si>
    <t>&lt;span class="w"&gt;&lt;b&gt;【181.complex：複雑な】&lt;/b&gt;&lt;/span&gt;
&lt;span class="ml"&gt;ラテン語に由来する語で、以下の2つの要素から成る。
&lt;span class="spacer"&gt;&lt;/span&gt;com（共に）
plectere（編む）
&lt;span class="spacer"&gt;&lt;/span&gt;このまま日本語にすると「共に編む」となる。複数の要素が編み込まれて入り組んでいるイメージから「複雑な」という意味になる。
&lt;div class="sample_image complex"&gt;&lt;/div&gt;&lt;/span&gt;</t>
  </si>
  <si>
    <t>&lt;span class="w"&gt;&lt;b&gt;【182.current：現在の, 現代の, 流通している】&lt;/b&gt;&lt;/span&gt;
&lt;span class="ml"&gt;ラテン語currere（走る）に由来する。
&lt;span class="spacer"&gt;&lt;/span&gt;「走る」という語は人や物が動いているというイメージになり、「流通している」という意味になる。
&lt;span class="spacer"&gt;&lt;/span&gt;また動いているのはまさにいま現在なので「現在の, 現代の」という意味になる。&lt;/span&gt;</t>
  </si>
  <si>
    <t>&lt;span class="w"&gt;&lt;b&gt;【183.mental：精神の, 頭の中で行う】&lt;/b&gt;&lt;/span&gt;
&lt;span class="ml"&gt;ラテン語に由来する語で、以下の2つの要素から成る。
&lt;span class="spacer"&gt;&lt;/span&gt;mens（心）
alis（形容詞化）
&lt;span class="spacer"&gt;&lt;/span&gt;ラテン語から意味の変化はほとんどなく「心の, 精神の, 頭の中で行う」という意味になる。&lt;/span&gt;</t>
  </si>
  <si>
    <t>&lt;span class="w"&gt;&lt;b&gt;【184.specific：特定の, 明確な, 具体的な, ～に特有の】&lt;/b&gt;&lt;/span&gt;
&lt;span class="ml"&gt;ラテン語に由来する語で、以下の2つの要素から成る。
&lt;span class="spacer"&gt;&lt;/span&gt;species（種類）
facere（作る, する）
&lt;span class="spacer"&gt;&lt;/span&gt;このまま日本語にすると「ある種類を作る」となる。何かの種類を作るとは、他の種類にはない特定の性質を持たせるということ。ここから「特定の, 特有の」という意味になる。
&lt;span class="spacer"&gt;&lt;/span&gt;また特定という意味から曖昧ではなく「明確な, 具体的な」という意味になる。&lt;/span&gt;</t>
  </si>
  <si>
    <t>&lt;span class="w"&gt;&lt;b&gt;【185.significant：重要な, 重大な, 意義深い】&lt;/b&gt;&lt;/span&gt;
&lt;span class="ml"&gt;ラテン語に由来する語で、以下の2つの要素から成る。
&lt;span class="spacer"&gt;&lt;/span&gt;signum（印：signの語源）
facere（作る, する）
&lt;span class="spacer"&gt;&lt;/span&gt;このまま日本語にすると「印をする」となる。付けられた印が何かを意味することから「意義深い」という意味になる。また印の有無が他と区別することから「重要な, 重大な」という意味になる。
&lt;div class="sample_image significant"&gt;&lt;/div&gt;&lt;/span&gt;</t>
  </si>
  <si>
    <t>&lt;span class="w"&gt;&lt;b&gt;【186.essential：必要不可欠な, 本質的な】&lt;/b&gt;&lt;/span&gt;
&lt;span class="ml"&gt;ラテン語に由来する語で、以下の3つの要素から成る。
&lt;span class="spacer"&gt;&lt;/span&gt;esse（存在する）
ia（名詞化）
alis（形容詞化）
&lt;span class="spacer"&gt;&lt;/span&gt;このまま日本語にすると「存在することに関する」となる。ここで言う「存在に関する」とは、たとえば人を人として存在させているような「根本的な性質に関する」ということ。ここから「本質的な」という意味になる。また本質は、なくてはならないものなので「必要不可欠な」という意味になる。&lt;/span&gt;</t>
  </si>
  <si>
    <t>&lt;span class="w"&gt;&lt;b&gt;【187.official：公用の, 公式の, 役所の】&lt;/b&gt;&lt;/span&gt;
&lt;span class="ml"&gt;ラテン語に由来する語で、以下の3つの要素から成る。
&lt;span class="spacer"&gt;&lt;/span&gt;ops（力, 資源）
facere（作る, 行う）
alis（形容詞化）
&lt;span class="spacer"&gt;&lt;/span&gt;これは「力や資源を使って社会のために行うこと」というイメージ。そこから「社会の中で果たすべき役割・義務」という意味になり、さらに「公的な職務に関わる」という意味を経て「公式の, 公用の, 役所の」という意味になった。
&lt;span class="spacer"&gt;&lt;/span&gt;ops（力, 資源）の使い道が社会的なものだったことから、ops＋facereに由来する語には「社会」や「公的性」との結びつきが見られる。たとえばoffice（職場, 公職, 役所）やofficer（役人, 組織の役員）は、現在では一般的な意味で使われることが多いが、公的な職務に関する意味もある。&lt;/span&gt;</t>
  </si>
  <si>
    <t>&lt;span class="w"&gt;&lt;b&gt;【188.financial：財政の】&lt;/b&gt;&lt;/span&gt;
&lt;span class="ml"&gt;ラテン語fin（終わり）に由来する。
&lt;span class="spacer"&gt;&lt;/span&gt;financeやfinancialは、finis（終わり）が特に「支払いで決着をつける」という金銭的な意味と結びついて発展した語。そこから支払いなどの金銭管理を表すようになり「財政の」という意味になった。&lt;/span&gt;</t>
  </si>
  <si>
    <t>&lt;span class="w"&gt;&lt;b&gt;【189.academic：学問の, 大学の】&lt;/b&gt;&lt;/span&gt;
&lt;span class="ml"&gt;ギリシャ語Acadēmeia（アカデモスの森, 学園の）に由来する。
&lt;span class="spacer"&gt;&lt;/span&gt;アカデモスという英雄の名前が付けられた森で哲学者プラトンが学園を開いたことから、その学園が「アカデメイア」と呼ばれ、そこから「学問の・大学の」という意味になった。&lt;/span&gt;</t>
  </si>
  <si>
    <t>&lt;span class="w"&gt;&lt;b&gt;【190.aware：気づいて, 知って】&lt;/b&gt;&lt;/span&gt;
&lt;span class="ml"&gt;gewær（用心深い, 警戒している）にさかのぼる語。
&lt;span class="spacer"&gt;&lt;/span&gt;用心や警戒といった注意しているという感覚から、対象に注意を向けて「気づいて, 知って」という意味になった。&lt;/span&gt;</t>
  </si>
  <si>
    <t>&lt;span class="w"&gt;&lt;b&gt;【191.worth：価値がある, 値する】&lt;/b&gt;&lt;/span&gt;
&lt;span class="ml"&gt;古英語weorþ（価値がある）に由来する。
&lt;span class="spacer"&gt;&lt;/span&gt;古英語から意味の変化はほとんどない。&lt;/span&gt;</t>
  </si>
  <si>
    <t>&lt;span class="w"&gt;&lt;b&gt;【192.potential：潜在的な, 可能性を秘めた】&lt;/b&gt;&lt;/span&gt;
&lt;span class="ml"&gt;ラテン語に由来する語で、以下の3つの要素から成る。
&lt;span class="spacer"&gt;&lt;/span&gt;potis（力のある）
ia（名詞化）
alis（形容詞化）
&lt;span class="spacer"&gt;&lt;/span&gt;力のある状態というのは、現実にはなっていないが、何かを現実にすることができるというイメージ。ここから「潜在的な, 可能性を秘めた」という意味になる。&lt;/span&gt;</t>
  </si>
  <si>
    <t>&lt;span class="w"&gt;&lt;b&gt;【193.active：積極的な, 活動的な】&lt;/b&gt;&lt;/span&gt;
&lt;span class="ml"&gt;ラテン語に由来する語で、以下の2つの要素から成る。
&lt;span class="spacer"&gt;&lt;/span&gt;agere（行う）の過去分詞actus（行為）
ivus（形容詞化）
&lt;span class="spacer"&gt;&lt;/span&gt;この形容詞は何かの行為をしている状態を表し、そこから「活動的な」という意味になる。また自分で進んで活動することから「積極的な」という意味にもなる。&lt;/span&gt;</t>
  </si>
  <si>
    <t>&lt;span class="w"&gt;&lt;b&gt;【194.digital：デジタル方式の, デジタル表示の】&lt;/b&gt;&lt;/span&gt;
&lt;span class="ml"&gt;ラテン語に由来する語で、以下の2つの要素から成る。
&lt;span class="spacer"&gt;&lt;/span&gt;digitus（指）
alis（形容詞化）
&lt;span class="spacer"&gt;&lt;/span&gt;このまま日本語にすると「指の」という形容詞になる。10本の指を使って数を数えることから、1ケタの数（0〜9）や計算処理と結びつく。そして数値で情報を処理する「デジタルの, デジタル表示の」という意味になる。
&lt;span class="spacer"&gt;&lt;/span&gt;デジタル時計は0～9の数字を表示する。&lt;/span&gt;</t>
  </si>
  <si>
    <t>&lt;span class="w"&gt;&lt;b&gt;【195.mobile：可動式の, 動かせる】&lt;/b&gt;&lt;/span&gt;
&lt;span class="ml"&gt;ラテン語に由来する語で、以下の2つの要素から成る。
&lt;span class="spacer"&gt;&lt;/span&gt;movere（動かす：moveの語源）
bilis（〜できる）
&lt;span class="spacer"&gt;&lt;/span&gt;ラテン語から意味の変化はほとんどない。&lt;/span&gt;</t>
  </si>
  <si>
    <t>&lt;span class="w"&gt;&lt;b&gt;【196.novel：斬新な, 目新しい】&lt;/b&gt;&lt;/span&gt;
&lt;span class="ml"&gt;ラテン語に由来する語で、以下の2つの要素から成る。
&lt;span class="spacer"&gt;&lt;/span&gt;novus（新しい）
ellus（小さいことを表す）
&lt;span class="spacer"&gt;&lt;/span&gt;このまま日本語にすると「ちょっと新しい」となり、そこから「斬新な, 目新しい」という意味になる。
&lt;span class="spacer"&gt;&lt;/span&gt;名詞novel（小説）も同じ語源にさかのぼる。新しいことや新しい物語という意味から短編小説、そして長編の小説を指すようになった。&lt;/span&gt;</t>
  </si>
  <si>
    <t>&lt;span class="w"&gt;&lt;b&gt;【197.plastic：柔軟な, プラスチックの】&lt;/b&gt;&lt;/span&gt;
&lt;span class="ml"&gt;ギリシャ語に由来する語で、以下の2つの要素から成る。
plassein（こねて作る）
ikos（形容詞化）
&lt;span class="spacer"&gt;&lt;/span&gt;こねて作るということは、様々な形に成形できるので「柔軟な」という意味になる。そこからいろいろな形にできる「プラスチックの」という意味になる。&lt;/span&gt;</t>
  </si>
  <si>
    <t>&lt;span class="w"&gt;&lt;b&gt;【198.chemical：化学の, 化学的な】&lt;/b&gt;&lt;/span&gt;
&lt;span class="ml"&gt;ギリシャ語khemeioa（錬金術）に由来する。
&lt;span class="spacer"&gt;&lt;/span&gt;中世〜近世初期における化学で、卑金属を金や銀の貴金属に変えるという錬金術。この「物質に作用して変化させる技術や学問」を意味した語が、現代では「化学の, 化学的な」という意味で使われるようになった。&lt;/span&gt;</t>
  </si>
  <si>
    <t>&lt;span class="w"&gt;&lt;b&gt;【199.necessary：必要な】&lt;/b&gt;&lt;/span&gt;
&lt;span class="ml"&gt;ラテン語に由来する語で、以下の3つの要素から成る。
&lt;span class="spacer"&gt;&lt;/span&gt;ne（=not：否定）
cedere（退く）
arius（形容詞化）
&lt;span class="spacer"&gt;&lt;/span&gt;このまま日本語にすると「退けない」となる。つまり何かを避けられない、それなしでは通れないということから不可欠＝「必要な」という意味になる。&lt;/span&gt;</t>
  </si>
  <si>
    <t>&lt;span class="w"&gt;&lt;b&gt;【200.eventually：結局, 最終的に】&lt;/b&gt;&lt;/span&gt;
&lt;span class="ml"&gt;eventuallyは以下の4つの要素から成る。
&lt;span class="spacer"&gt;&lt;/span&gt;ex（外に：ラテン語）
venire（来る：ラテン語）
uel（形容詞化：古フランス語）
ly（副詞化：近代英語）
&lt;span class="spacer"&gt;&lt;/span&gt;もっとシンプルにすると
event＋ual＋lyとなる。
&lt;span class="spacer"&gt;&lt;/span&gt;「外に来る」は、様々な過程を経て何かが出てくること。つまり「最終的な結果, 出来事」を意味する。これが副詞となることで「結果的に, 結局, 最終的に」という意味になる。&lt;/span&gt;</t>
  </si>
  <si>
    <t>&lt;span class="w"&gt;&lt;b&gt;【201.identify：～を特定する, ～を同一視する】&lt;/b&gt;&lt;/span&gt;
&lt;span class="ml"&gt;ラテン語に由来する語で、以下の2つの要素から成る。
&lt;span class="spacer"&gt;&lt;/span&gt;id（それ）から派生したidem（前に出てきたそれ）
itas（名詞化）
&lt;span class="obsolete"&gt;fy 部分（動詞化）はフランス語段階で付いた&lt;/span&gt;
&lt;span class="spacer"&gt;&lt;/span&gt;identifyのid部分は、英語のitのようなもの。前に出てきたものと同じであることを示す。つまりAとBという2つがあるとき、AとBが「イコール」だとするのがidentifyの役割。ここから「同一視する, 特定する」という意味になる。&lt;/span&gt;</t>
  </si>
  <si>
    <t>&lt;span class="w"&gt;&lt;b&gt;【202.represent：～を表す, ～を代表する】&lt;/b&gt;&lt;/span&gt;
&lt;span class="ml"&gt;ラテン語に由来する語で、以下の3つの要素から成る。
&lt;span class="spacer"&gt;&lt;/span&gt;re（強意）
prae（前に）
esse（存在する）
&lt;span class="spacer"&gt;&lt;/span&gt;このまま日本語にすると「まさに目の前に存在する」「他の者よりも前に存在する」となる。目の前に存在するということから、何かを「示す, 表す」という意味になる。また他の者よりも前にいるということから「代表する」という意味になる。
&lt;div class="sample_image represent"&gt;&lt;/div&gt;&lt;/span&gt;</t>
    <rPh sb="204" eb="206">
      <t>ソンザイ</t>
    </rPh>
    <rPh sb="231" eb="233">
      <t>ソンザイ</t>
    </rPh>
    <rPh sb="247" eb="248">
      <t>シメ</t>
    </rPh>
    <phoneticPr fontId="1"/>
  </si>
  <si>
    <t>&lt;span class="w"&gt;&lt;b&gt;【203.indicate：～を指し示す, ～を述べる】&lt;/b&gt;&lt;/span&gt;
&lt;span class="ml"&gt;ラテン語に由来する語で、以下の2つの要素から成る。
&lt;span class="spacer"&gt;&lt;/span&gt;in（中に）
dicare（宣言する, 示す）
&lt;span class="spacer"&gt;&lt;/span&gt;このまま日本語にすると「何かの中に向かって示す・宣言する」となる。この「中に向かって」は方向性を、「示す・宣言する」は情報の提示を表す。つまりindicateは対象（目的語）＝情報へ向け、その情報を示す役割をする。
&lt;span class="spacer"&gt;&lt;/span&gt;S indicate Oは、SがOの方向に相手を向けてその情報を示す。
&lt;div class="sample_image indicate"&gt;&lt;/div&gt;&lt;/span&gt;</t>
  </si>
  <si>
    <t>&lt;span class="w"&gt;&lt;b&gt;【204.manage：～をなんとか成し遂げる, ～を管理する, （to do）なんとかやっていく】&lt;/b&gt;&lt;/span&gt;
&lt;span class="ml"&gt;ラテン語manus（手）に由来する。
&lt;span class="spacer"&gt;&lt;/span&gt;何かを手で扱うことからコントロールする＝「管理する」という意味になる。
&lt;span class="spacer"&gt;&lt;/span&gt;またなんとか管理して事を運ぶことから「なんとかやっていく」、その結果「なんとか成し遂げる」という意味になる（manage to do）。&lt;/span&gt;</t>
  </si>
  <si>
    <t>&lt;span class="w"&gt;&lt;b&gt;【206.maintain：～を維持する, ～を主張する】&lt;/b&gt;&lt;/span&gt;
&lt;span class="ml"&gt;ラテン語に由来する語で、以下の2つの要素から成る。
&lt;span class="spacer"&gt;&lt;/span&gt;manus（手）
tenere（保つ, 握る）
&lt;span class="spacer"&gt;&lt;/span&gt;このまま日本語にすると「手で保つ」となる。手を使って何かを支えるイメージから、状態が続くように支える＝「維持する」という意味になる。手ではなく発言で誰かを支えるとなれば「主張する」という意味になる。&lt;/span&gt;</t>
  </si>
  <si>
    <t>&lt;span class="w"&gt;&lt;b&gt;【207.survey：～を調査する, ～を概観する】&lt;/b&gt;&lt;/span&gt;
&lt;span class="ml"&gt;ラテン語に由来する語で、以下の2つの要素から成る。
&lt;span class="spacer"&gt;&lt;/span&gt;super（上に, 超えて）
videre（見る）
&lt;span class="spacer"&gt;&lt;/span&gt;このまま日本語にすると「上から見る」となる。俯瞰視点で全体に目を配ることから「調査する, 概観する」という意味になる。
&lt;div class="sample_image survey"&gt;&lt;/div&gt;&lt;/span&gt;</t>
  </si>
  <si>
    <t>&lt;span class="w"&gt;&lt;b&gt;【208.replace：〜に取って代わる】&lt;/b&gt;&lt;/span&gt;
&lt;span class="ml"&gt;近代英語にさかのぼる語で、以下の2つの要素から成る。
&lt;span class="spacer"&gt;&lt;/span&gt;re（再び）
place（その場所に置く）
&lt;span class="spacer"&gt;&lt;/span&gt;このまま日本語にすると「再びその場所に置く」となる。以前何かがあった場所に再び別のものを置くというイメージから「〜に取って代わる」という意味になる。&lt;/span&gt;</t>
  </si>
  <si>
    <t>&lt;span class="w"&gt;&lt;b&gt;【210.conduct：実施する, 導く】&lt;/b&gt;&lt;/span&gt;
&lt;span class="ml"&gt;ラテン語に由来する語で、以下の2つの要素から成る。
&lt;span class="spacer"&gt;&lt;/span&gt;com（共に）
ducere（導く）
&lt;span class="spacer"&gt;&lt;/span&gt;このまま日本語にすると「共に導く」となる。ある物事が行われるように導いていくイメージから「実施する, 導く」という意味になる。
&lt;div class="sample_image conduct"&gt;&lt;/div&gt;&lt;/span&gt;</t>
  </si>
  <si>
    <t>&lt;span class="w"&gt;&lt;b&gt;【211.associate：～を結びつけて考える, 交際する】&lt;/b&gt;&lt;/span&gt;
&lt;span class="ml"&gt;ラテン語に由来する語で、以下の2つの要素から成る。
&lt;span class="spacer"&gt;&lt;/span&gt;ad（～へ）
socius（仲間）から派生した動詞sociare（結びつける）
&lt;span class="spacer"&gt;&lt;/span&gt;このまま日本語にすると「〜へ結びつける」となる。あることと別のことを「結びつけて考える」、人と人を結びつけて「交際する」といった意味になる。&lt;/span&gt;</t>
  </si>
  <si>
    <t>&lt;span class="w"&gt;&lt;b&gt;【212.attempt：～を試みる, ～を企てる】&lt;/b&gt;&lt;/span&gt;
&lt;span class="ml"&gt;ラテン語に由来する語で、以下の2つの要素から成る。
&lt;span class="spacer"&gt;&lt;/span&gt;ad（～へ）
temptare（試す）
&lt;span class="spacer"&gt;&lt;/span&gt;ラテン語から意味の変化はほとんどない、動詞attemptは、tryに比べてフォーマルな表現。&lt;/span&gt;</t>
  </si>
  <si>
    <t>&lt;span class="w"&gt;&lt;b&gt;【213.promote：～を促進する, （受け身で）昇進する】&lt;/b&gt;&lt;/span&gt;
&lt;span class="ml"&gt;ラテン語に由来する語で、以下の2つの要素から成る。
&lt;span class="spacer"&gt;&lt;/span&gt;pro（前へ）
movere（動かす：moveの語源）
&lt;span class="spacer"&gt;&lt;/span&gt;このまま日本語にすると「前へ動かす」となる。ここから「促進する, 昇進させる」という意味になる。
&lt;span class="spacer"&gt;&lt;/span&gt;&lt;span class="obsolete"&gt;promoteは古フランス語経由で英語に入ったため、英語では動詞となっている。
remoteはラテン語から直接英語に入ったため、英語でも形容詞となっている。&lt;/span&gt;&lt;/span&gt;</t>
  </si>
  <si>
    <t>&lt;span class="w"&gt;&lt;b&gt;【214.earn：～を稼ぐ, ～を得る】&lt;/b&gt;&lt;/span&gt;
&lt;span class="ml"&gt;古英語earnian（労働する, 稼ぐ, 得る）にさかのぼる。
&lt;span class="spacer"&gt;&lt;/span&gt;古英語から意味の変化はほとんどないが、さらに遡ると印欧祖語*es-en-（収穫, 秋）へ至り、畑仕事や収穫作業に関わる語から来ている。畑で労働をして収穫物を得るというイメージから「稼ぐ, 得る」という意味になる。&lt;/span&gt;</t>
  </si>
  <si>
    <t>&lt;span class="w"&gt;&lt;b&gt;【215.unite：～をひとつにする, ～を団結させる, ～を結合する】&lt;/b&gt;&lt;/span&gt;
&lt;span class="ml"&gt;ラテン語unus（1つ）に由来する。
&lt;span class="spacer"&gt;&lt;/span&gt;「1つ」から「ひとつにする, 団結させる, 結合する」という意味になる。
&lt;span class="spacer"&gt;&lt;/span&gt;uni（ユニ）は「1」を意味し、英語のoneとも関連する。以下はuniに関連する語。
&lt;span class="spacer"&gt;&lt;/span&gt;universe（宇宙）は全体がひとつにまとまったもの。
university（大学）は教授・研究者・学生などが集まってひとつになった教育機関。
United States＝合衆国＝複数の州がひとつになったもの。&lt;/span&gt;</t>
  </si>
  <si>
    <t>&lt;span class="w"&gt;&lt;b&gt;【216.feed：食事を与える】&lt;/b&gt;&lt;/span&gt;
&lt;span class="ml"&gt;古英語fedan（食べ物を与える）にさかのぼる語。
&lt;span class="spacer"&gt;&lt;/span&gt;古英語から意味の変化はほとんどない。feedは古英語からさらに印欧祖語*pa-（養う）にさかのぼり、この印欧祖語からはfood（食べ物）も生まれている。&lt;/span&gt;</t>
  </si>
  <si>
    <t>&lt;span class="w"&gt;&lt;b&gt;【217.seek：～を追い求める, ～を探し求める】&lt;/b&gt;&lt;/span&gt;
&lt;span class="ml"&gt;古英語secan（追い求める, 探す）にさかのぼる語。
&lt;span class="spacer"&gt;&lt;/span&gt;古英語からの意味の変化はほとんどない。&lt;/span&gt;</t>
  </si>
  <si>
    <t>&lt;span class="w"&gt;&lt;b&gt;【218.observe：～に気づく, ～を観察する, ～を遵守する】&lt;/b&gt;&lt;/span&gt;
&lt;span class="ml"&gt;ラテン語に由来する語で、以下の2つの要素から成る。
&lt;span class="spacer"&gt;&lt;/span&gt;ob（～に対して）
servare（守る）
&lt;span class="spacer"&gt;&lt;/span&gt;このまま日本語にすると「～に対して守る」となる。守るために警戒し、注意深く見るイメージから「観察する」、そしてその結果「気づく」という意味になる。またルールを注意して守るというイメージから「遵守する, 守る」という意味になる。
&lt;div class="sample_image observe"&gt;&lt;/div&gt;&lt;/span&gt;</t>
  </si>
  <si>
    <t>&lt;span class="w"&gt;&lt;b&gt;【219.reveal：～を明らかにする, ～を見せる】&lt;/b&gt;&lt;/span&gt;
&lt;span class="ml"&gt;ラテン語
&lt;span class="spacer"&gt;&lt;/span&gt;re（反対）
velum（ヴェール）から派生した動詞velare（覆う）
&lt;span class="spacer"&gt;&lt;/span&gt;このまま日本語にすると「ヴェールをかけて覆うの反対」となる。つまりヴェールを取る＝覆いを取ることから「明らかにする, はっきり見せる」という意味になる。
&lt;div class="sample_image reveal"&gt;&lt;/div&gt;&lt;/span&gt;</t>
  </si>
  <si>
    <t>&lt;span class="w"&gt;&lt;b&gt;【220.estimate：～を推定する, ～を見積もる, ～を評価する】&lt;/b&gt;&lt;/span&gt;
&lt;span class="ml"&gt;ラテン語aestimare（価値を定める）に由来する。
&lt;span class="spacer"&gt;&lt;/span&gt;価値を定めることから「評価する」という意味になる。またおおまかな評価を行う場合は「見積る, 推定する」という意味になる。&lt;/span&gt;</t>
  </si>
  <si>
    <t>&lt;span class="w"&gt;&lt;b&gt;【221.reflect：～を反映する, ～を反射する, ～を熟考する】&lt;/b&gt;&lt;/span&gt;
&lt;span class="ml"&gt;ラテン語に由来する語で、以下の2つの要素から成る。
&lt;span class="spacer"&gt;&lt;/span&gt;re（後ろに, 元へ）
flectere（曲げる）
&lt;span class="spacer"&gt;&lt;/span&gt;このまま日本語にすると「後ろへ曲げる」となる。向かっていくものを進行方向の後ろ（＝逆）へ曲げることから「反射する」という意味になる。また鏡に反射して映すように何かを「反映する」、頭の中で反射するようにあれこれ考える＝「熟考する」という意味になる。
&lt;div class="sample_image reflect"&gt;&lt;/div&gt;&lt;/span&gt;</t>
  </si>
  <si>
    <t>&lt;span class="w"&gt;&lt;b&gt;【222.attract：～を引きつける】&lt;/b&gt;&lt;/span&gt;
&lt;span class="ml"&gt;ラテン語に由来する語で、以下の2つの要素から成る。
&lt;span class="spacer"&gt;&lt;/span&gt;ad（～へ）
trahere（引く）
&lt;span class="spacer"&gt;&lt;/span&gt;このまま日本語にすると「〜へ引く」となる。対象を何かへ引き寄せることから、注意や視線などを「引きつける」という意味になる。&lt;/span&gt;</t>
  </si>
  <si>
    <t>&lt;span class="w"&gt;&lt;b&gt;【223.decrease：減少する, ～を減らす】&lt;/b&gt;&lt;/span&gt;
&lt;span class="ml"&gt;ラテン語に由来する語で、以下の2つの要素から成る。
&lt;span class="spacer"&gt;&lt;/span&gt;de（離れて）
crescere（成長する）
&lt;span class="spacer"&gt;&lt;/span&gt;このまま日本語にすると「成長から離れる」となる。成長せず低下するイメージから「減少する, 減らす」という意味になる。&lt;/span&gt;</t>
  </si>
  <si>
    <t>&lt;span class="w"&gt;&lt;b&gt;【225.match：～に合う, ～に匹敵する, 一致する】&lt;/b&gt;&lt;/span&gt;
&lt;span class="ml"&gt;古英語mæcca（他と釣り合う者, 同等の者, 対になる者）にさかのぼる語。
&lt;span class="spacer"&gt;&lt;/span&gt;「釣り合う者, 同等の者」という意味から、何かと何かが「合う, 一致する」、対立において同等なので「匹敵する」となる。&lt;/span&gt;</t>
  </si>
  <si>
    <t>&lt;span class="w"&gt;&lt;b&gt;【226.define：〜を定義する, 〜を明確にする】&lt;/b&gt;&lt;/span&gt;
&lt;span class="ml"&gt;ラテン語に由来する語で、以下の2つの要素から成る。
&lt;span class="spacer"&gt;&lt;/span&gt;de（完全に）
finis（境界）から派生した動詞finire（境界を定める）
&lt;span class="spacer"&gt;&lt;/span&gt;このまま日本語にすると「完全に境界を定める」となる。曖昧さをなくし完全に線引きするイメージから、対象を「明確にする」にするという意味になる。これが言葉の意味を対象とすれば、言葉の意味を明確にする＝「定義する」という意味になる。
&lt;div class="sample_image define"&gt;&lt;/div&gt;&lt;/span&gt;</t>
  </si>
  <si>
    <t>&lt;span class="w"&gt;&lt;b&gt;【227.adapt：適応する, 〜を適合させる】&lt;/b&gt;&lt;/span&gt;
&lt;span class="ml"&gt;ラテン語に由来する語で、以下の2つの要素から成る。
&lt;span class="spacer"&gt;&lt;/span&gt;ad（～へ）
aptus（適切な）から派生した動詞aptare（適合させる）
&lt;span class="spacer"&gt;&lt;/span&gt;このまま日本語にすると「何かへ適切な状態にする＝適合させる」という意味なる。
&lt;span class="spacer"&gt;&lt;/span&gt;このラテン語はbe apt to do（〜する傾向がある, 〜しがちである）のaptの語源でもある。&lt;/span&gt;</t>
  </si>
  <si>
    <t>&lt;span class="w"&gt;&lt;b&gt;【228.contribute：寄付する, 貢献する, 一因となる】&lt;/b&gt;&lt;/span&gt;
&lt;span class="ml"&gt;ラテン語に由来する語で、以下の2つの要素から成る。
&lt;span class="spacer"&gt;&lt;/span&gt;com（共に）
tribuere（割り当てる, 与える）
&lt;span class="spacer"&gt;&lt;/span&gt;このまま日本語にすると「共に割り当てる, 与える」となる。他人と一緒に何かを与えるイメージから、みんなで「寄付する, 貢献する」という意味になる。また結果に貢献した場合は、結果の「一因となる」と表現できる。
&lt;div class="sample_image contribute"&gt;&lt;/div&gt;&lt;/span&gt;</t>
  </si>
  <si>
    <t>&lt;span class="w"&gt;&lt;b&gt;【230.display：～を示す, ～を展示する】&lt;/b&gt;&lt;/span&gt;
&lt;span class="ml"&gt;ラテン語に由来する語で、以下の2つの要素から成る。
&lt;span class="spacer"&gt;&lt;/span&gt;dis（離れて）
plicare（折る）
&lt;span class="spacer"&gt;&lt;/span&gt;このまま日本語にすると「折られたものを離す」となる。折り紙を広げるようなイメージから、何かを展開する＝広げて見せる＝「展示する, 示す」という意味になる。&lt;/span&gt;</t>
  </si>
  <si>
    <t>&lt;span class="w"&gt;&lt;b&gt;【231.respond：～に反応する, ～に答える】&lt;/b&gt;&lt;/span&gt;
&lt;span class="ml"&gt;ラテン語に由来する語で、以下の2つの要素から成る。
&lt;span class="spacer"&gt;&lt;/span&gt;re（戻る）
spondere（約束する）
&lt;span class="spacer"&gt;&lt;/span&gt;これは「相手が言ったことに自分も約束を返す（戻す）」というイメージ。ここから相手に「答える」や、こちらに来るものに「反応する」という意味になる。&lt;/span&gt;</t>
  </si>
  <si>
    <t>&lt;span class="w"&gt;&lt;b&gt;【232.hide：～を隠す, 隠れる】&lt;/b&gt;&lt;/span&gt;
&lt;span class="ml"&gt;印欧祖語*keudh-（隠す）や古英語hydan（隠す）にさかのぼる語。
&lt;span class="spacer"&gt;&lt;/span&gt;古英語から意味の変化はほとんどない。印欧祖語*keudh-からはskyも生まれている。skyはもともと空を覆い隠す「雲」を意味した。&lt;/span&gt;</t>
  </si>
  <si>
    <t>&lt;span class="w"&gt;&lt;b&gt;【233.doubt：〜を疑う, ではないと思う】&lt;/b&gt;&lt;/span&gt;
&lt;span class="ml"&gt;ラテン語duo（2つ, デュオ）から派生した動詞dubitare（疑う, 意見が揺れる）に由来する。
&lt;span class="spacer"&gt;&lt;/span&gt;これは「2つのものの間で迷う」イメージで、真と偽の間で迷う＝「〜を疑う, ではないと思う」という意味になる。
&lt;span class="spacer"&gt;&lt;/span&gt;duo（2つ, デュオ）はdouble（ダブル, 二重）の語源でもある。&lt;/span&gt;</t>
  </si>
  <si>
    <t>&lt;span class="w"&gt;&lt;b&gt;【234.remove：～を取り除く, ～を解雇する】&lt;/b&gt;&lt;/span&gt;
&lt;span class="ml"&gt;ラテン語に由来する語で、以下の2つの要素から成る。
&lt;span class="spacer"&gt;&lt;/span&gt;re（後ろへ）
movere（動かす：moveの語源）
&lt;span class="spacer"&gt;&lt;/span&gt;このまま日本語にすると「後ろへ動かす」となる。いまある場所から後ろに引っ込めて視界から外すイメージから「取り除く, 解雇する」という意味になる。&lt;/span&gt;</t>
  </si>
  <si>
    <t>&lt;span class="w"&gt;&lt;b&gt;【235.wind：～を巻く, 曲がりくねる】&lt;/b&gt;&lt;/span&gt;
&lt;span class="ml"&gt;windan（回す, 巻く）という古英語に由来する。
&lt;span class="spacer"&gt;&lt;/span&gt;古英語から意味の変化はほとんどない。&lt;/span&gt;</t>
  </si>
  <si>
    <t>&lt;span class="w"&gt;&lt;b&gt;【237.relax：くつろぐ, 緩む, 〜を緩める】&lt;/b&gt;&lt;/span&gt;
&lt;span class="ml"&gt;ラテン語に由来する語で、以下の2つの要素から成る。
&lt;span class="spacer"&gt;&lt;/span&gt;re（再び）
laxare（緩める）
&lt;span class="spacer"&gt;&lt;/span&gt;このまま日本語にすると「再び緩める」となる。緊張している状態から力を抜いてだらっとするイメージで「緩める, 緩む, くつろぐ」という意味になる。&lt;/span&gt;</t>
  </si>
  <si>
    <t>&lt;span class="w"&gt;&lt;b&gt;【238.satisfy：〜を満足させる, （条件など）を満たす】&lt;/b&gt;&lt;/span&gt;
&lt;span class="ml"&gt;ラテン語に由来する語で、以下の2つの要素から成る。
&lt;span class="spacer"&gt;&lt;/span&gt;satis（十分, 足りている）
facere（する, 作る）
&lt;span class="spacer"&gt;&lt;/span&gt;このまま日本語にすると「十分にする, 足りているようにする」となる。必要なところまで十分足りているイメージから、何かを「満足させる, 満たす」となる。
&lt;span class="spacer"&gt;&lt;/span&gt;「満足している」は受け身でbe satisfied with Aとなる。&lt;/span&gt;</t>
  </si>
  <si>
    <t>&lt;span class="w"&gt;&lt;b&gt;【239.desire：〜を強く望む】&lt;/b&gt;&lt;/span&gt;
&lt;span class="ml"&gt;ラテン語に由来する語で、以下の2つの要素から成る。
&lt;span class="spacer"&gt;&lt;/span&gt;de（～から）
sidus（天体・星）
&lt;span class="spacer"&gt;&lt;/span&gt;このまま日本語にすると「星から」となる。占星術に強い関心のあったローマ人がdesiderare「星がもたらすものを待ち望む」という意味で使った可能性があり、ここから「強く望む」となったと考えられる。
&lt;div class="sample_image desire"&gt;&lt;/div&gt;&lt;/span&gt;</t>
  </si>
  <si>
    <t>&lt;span class="w"&gt;&lt;b&gt;【241.concept：概念, 考え】&lt;/b&gt;&lt;/span&gt;
&lt;span class="ml"&gt;ラテン語に由来する語で、以下の2つの要素から成る。
&lt;span class="spacer"&gt;&lt;/span&gt;com（強意）
capere（取る）
&lt;span class="spacer"&gt;&lt;/span&gt;このまま日本語にすると「しっかり取る」となる。しっかり取り入れることから頭の中に取り入れられたもの＝「概念, 考え」という意味になる。&lt;/span&gt;</t>
  </si>
  <si>
    <t>&lt;span class="w"&gt;&lt;b&gt;【242.fashion：流行, ファッション, 方法, 流儀】&lt;/b&gt;&lt;/span&gt;
&lt;span class="ml"&gt;ラテン語に由来する語で、以下の2つの要素から成る。
&lt;span class="spacer"&gt;&lt;/span&gt;facere（する, 作る）
io（名詞化）
&lt;span class="spacer"&gt;&lt;/span&gt;「すること, 作ること」から、集団の中で人々が作り上げる様式となる。特に「ファッション, 服飾」の「方法, 流儀」となり、さらに多数が行うことで生まれる社会的な「流行」という意味になる。&lt;/span&gt;</t>
  </si>
  <si>
    <t>&lt;span class="w"&gt;&lt;b&gt;【243.device：装置, 機器, デバイス】&lt;/b&gt;&lt;/span&gt;
&lt;span class="ml"&gt;ラテン語に由来する語で、以下の2つの要素から成る。
&lt;span class="spacer"&gt;&lt;/span&gt;dis（離れて）
videre（分ける）
&lt;span class="spacer"&gt;&lt;/span&gt;この語の核は「分けて離す」ということ。目的に合うようにそれぞれ作られた「装置, 機器」という意味になる。&lt;/span&gt;</t>
  </si>
  <si>
    <t>&lt;span class="w"&gt;&lt;b&gt;【244.charge：料金, 責任, 管理, 世話, 告発】&lt;/b&gt;&lt;/span&gt;
&lt;span class="ml"&gt;ラテン語carrus（二輪の荷車）に由来する。&lt;span class="obsolete"&gt;このラテン語からはcar（車）やcarry（運ぶ）も生まれている。&lt;/span&gt;
&lt;span class="spacer"&gt;&lt;/span&gt;二輪の荷車に荷物を積むという対象に負担をかけるイメージから、次のような意味の広がりが見られる。
&lt;span class="spacer"&gt;&lt;/span&gt;①荷物を預かる側：「管理, 世話」
in charge of A（Aを管理して）
&lt;span class="spacer"&gt;&lt;/span&gt;②精神的負担：「責任」
&lt;span class="spacer"&gt;&lt;/span&gt;③金銭的な負担：支払うべき「料金」
&lt;span class="spacer"&gt;&lt;/span&gt;④法的な負担：罪状を課す＝「告発」
&lt;div class="sample_image charge"&gt;&lt;/div&gt;&lt;/span&gt;</t>
  </si>
  <si>
    <t>&lt;span class="w"&gt;&lt;b&gt;【245.contrast：対照】&lt;/b&gt;&lt;/span&gt;
&lt;span class="ml"&gt;ラテン語に由来する語で、以下の2つの要素から成る。
&lt;span class="spacer"&gt;&lt;/span&gt;contra（～に対して）
stare（立つ）
&lt;span class="spacer"&gt;&lt;/span&gt;このまま日本語にすると「反対に立つ」となる。あるものと反対に立つものを比べて違いがはっきりするイメージから「対照」という意味になる。&lt;/span&gt;</t>
  </si>
  <si>
    <t>&lt;span class="w"&gt;&lt;b&gt;【246.colleague：同僚】&lt;/b&gt;&lt;/span&gt;
&lt;span class="ml"&gt;ラテン語に由来する語で、以下の2つの要素から成る。
&lt;span class="spacer"&gt;&lt;/span&gt;com（共に）
legare（任命して派遣する）
&lt;span class="spacer"&gt;&lt;/span&gt;これは「同じ職務に就くために共に派遣された者」から「同僚」という意味になる。&lt;/span&gt;</t>
  </si>
  <si>
    <t>&lt;span class="w"&gt;&lt;b&gt;【248.bill：請求書, 勘定, 紙幣, 法案】&lt;/b&gt;&lt;/span&gt;
&lt;span class="ml"&gt;中世ラテン語bulla（印章, 封印された文書）に由来する。
&lt;span class="spacer"&gt;&lt;/span&gt;印章や封印をされた文書というのは、正式な文書を表す。ここから購入した商品やサービスの「請求書, 勘定」や使用される「紙幣」、立法府に提出される「法案」という意味になる。
&lt;div class="sample_image bill"&gt;&lt;/div&gt;&lt;/span&gt;</t>
    <rPh sb="185" eb="187">
      <t>シヨウ</t>
    </rPh>
    <phoneticPr fontId="1"/>
  </si>
  <si>
    <t>&lt;span class="w"&gt;&lt;b&gt;【249.content：内容. 中身, コンテンツ】&lt;/b&gt;&lt;/span&gt;
&lt;span class="ml"&gt;ラテン語に由来する語で、以下の2つの要素から成る。
&lt;span class="spacer"&gt;&lt;/span&gt;com（共に）
tenere（保つ, 握る）
&lt;span class="spacer"&gt;&lt;/span&gt;このまま日本語にすると「共に保つ」となる。内側にまとめて保たれているものから「内容, 中身, コンテンツ」という意味になる。
&lt;span class="spacer"&gt;&lt;/span&gt;contain（含む）の名詞と考えればよい。&lt;/span&gt;</t>
  </si>
  <si>
    <t>&lt;span class="w"&gt;&lt;b&gt;【251.audience：聴衆, 観客, 視聴者】&lt;/b&gt;&lt;/span&gt;
&lt;span class="ml"&gt;ラテン語audire（聴く）に由来する。
&lt;span class="spacer"&gt;&lt;/span&gt;聞こえる場所にいる人から「聴衆, 観客」という意味になる。またテレビの登場で「視聴者」という意味になる。
&lt;span class="spacer"&gt;&lt;/span&gt;オーディオやオーディブルなどの聞く系の言葉と関連させて覚える。&lt;/span&gt;</t>
  </si>
  <si>
    <t>&lt;span class="w"&gt;&lt;b&gt;【252.surface：表面, （the）外見】&lt;/b&gt;&lt;/span&gt;
&lt;span class="ml"&gt;ラテン語に由来する語で、以下の2つの要素から成る。
&lt;span class="spacer"&gt;&lt;/span&gt;super（上に, 越えて）
facies（顔, 面）
&lt;span class="spacer"&gt;&lt;/span&gt;このまま日本語にすると「上の面」となる。ここから最も外側の「表面」や外側から見える「外見」という意味になる。&lt;/span&gt;</t>
  </si>
  <si>
    <t>&lt;span class="w"&gt;&lt;b&gt;【253.crop：作物, 収穫高】&lt;/b&gt;&lt;/span&gt;
&lt;span class="ml"&gt;古英語cropp（植物の先端）にさかのぼる語。
&lt;span class="spacer"&gt;&lt;/span&gt;植物の先端ということは、根っこではなく地上に出ている部分。つまり刈り取る部分なので「作物」という意味になる。また1年分の刈り取った量
から「収穫高」という意味にもなる。&lt;/span&gt;</t>
  </si>
  <si>
    <t>&lt;span class="w"&gt;&lt;b&gt;【254.topic：話題, 主題】&lt;/b&gt;&lt;/span&gt;
&lt;span class="ml"&gt;アリストテレスの著作Ta Topika（直訳：場所に関する事柄）に由来する。
&lt;span class="spacer"&gt;&lt;/span&gt;物理的な場所を意味した語を、アリストテレスは比喩的に、議論のお題を置いておく頭の中の場所（≒頭の引き出し）という意味で使用した。
&lt;span class="spacer"&gt;&lt;/span&gt;こういう場合はこの引き出しを使うといったパターンの提示だったが、次第に引き出しという意味からその中身にシフトし、「話題, 主題」という意味になる。
&lt;span class="spacer"&gt;&lt;/span&gt;これは、初対面の会話で困ったら「天気の場所」の次に「趣味の場所」を開けなさいという場所の提示だったものが、「天気の話」や「趣味の話」という話題そのものを意味するようになったイメージ。&lt;/span&gt;</t>
  </si>
  <si>
    <t>&lt;span class="w"&gt;&lt;b&gt;【255.technique：技術, 技巧, 手法】&lt;/b&gt;&lt;/span&gt;
&lt;span class="ml"&gt;ギリシャ語tekhnē（技術）に由来する。これはそのまま「技術, 技巧, 手法」となった。&lt;/span&gt;</t>
  </si>
  <si>
    <t>&lt;span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t>
  </si>
  <si>
    <t>&lt;span class="w"&gt;&lt;b&gt;【257.option：選択, 選択肢】&lt;/b&gt;&lt;/span&gt;
&lt;span class="ml"&gt;ラテン語に由来する語で、以下の2つの要素から成る。
&lt;span class="spacer"&gt;&lt;/span&gt;optare（選ぶ, 望む）
io（名詞化）
&lt;span class="spacer"&gt;&lt;/span&gt;このまま日本語にすると「選ぶこと, 選ぶもの」＝「選択, 選択肢」という意味になる。&lt;/span&gt;</t>
  </si>
  <si>
    <t>&lt;span class="w"&gt;&lt;b&gt;【260.crime：罪, 犯罪, 違法行為】&lt;/b&gt;&lt;/span&gt;
&lt;span class="ml"&gt;ラテン語crimen（罪, 犯罪）に由来する。ラテン語から意味の変化はほとんどない。
&lt;span class="spacer"&gt;&lt;/span&gt;ラテン語crimenはcernere（ふるいにかける）に由来するという説がある。&lt;span class="obsolete"&gt;ラテン語cernereは、concernやcertainの語源。&lt;/span&gt;
&lt;span class="spacer"&gt;&lt;/span&gt;善悪のふるいにかけて悪に振り分けられる「罪, 犯罪, 違法行為」となる。&lt;/span&gt;</t>
  </si>
  <si>
    <t>&lt;span class="w"&gt;&lt;b&gt;【261.conflict：争い, 論争, 衝突, 不一致】&lt;/b&gt;&lt;/span&gt;
&lt;span class="ml"&gt;ラテン語に由来する語で、以下の2つの要素から成る。
&lt;span class="spacer"&gt;&lt;/span&gt;com（共に）
fligere（打つ, たたく）
&lt;span class="spacer"&gt;&lt;/span&gt;このまま日本語にすると「共に打つ」となる。お互いが叩き合うイメージから「衝突, 争い, 論争」という意味になる。またぶつかりあってお互い合わない状態＝「不一致」という意味にもなる。
&lt;div class="sample_image conflict"&gt;&lt;/div&gt;&lt;/span&gt;</t>
  </si>
  <si>
    <t>&lt;span class="w"&gt;&lt;b&gt;【262.struggle：奮闘, もがくこと】&lt;/b&gt;&lt;/span&gt;
&lt;span class="ml"&gt;中英語strogelen（取っ組み合う）にさかのぼる。
&lt;span class="spacer"&gt;&lt;/span&gt;取っ組み合う＝もがいて戦う様子から「奮闘, もがく」という意味になる。&lt;/span&gt;</t>
  </si>
  <si>
    <t>&lt;span class="w"&gt;&lt;b&gt;【263.context：文脈, 状況, 背景】&lt;/b&gt;&lt;/span&gt;
&lt;span class="ml"&gt;ラテン語に由来する語で、以下の2つの要素から成る。
&lt;span class="spacer"&gt;&lt;/span&gt;com（共に）
texere（織る）
&lt;span class="spacer"&gt;&lt;/span&gt;このまま日本語にすると「共に織る」となる。何かと何かを織り合わせていくことから、ある要素と別の要素がひとつになってできるものというイメージ。
&lt;span class="spacer"&gt;&lt;/span&gt;いくつもの文や話がひとつのストーリーになってできあがる「文脈」。また、様々な要素が重なってできあがる「状況, 背景（事情）」という意味にもなる。
&lt;div class="sample_image context"&gt;&lt;/div&gt;&lt;/span&gt;</t>
    <rPh sb="279" eb="280">
      <t>ハナシ</t>
    </rPh>
    <phoneticPr fontId="1"/>
  </si>
  <si>
    <t>&lt;span class="w"&gt;&lt;b&gt;【264.debate：討論, 論争, 討論会】&lt;/b&gt;&lt;/span&gt;
&lt;span class="ml"&gt;古フランス語に由来する語で、以下の2つの要素から成る。
&lt;span class="spacer"&gt;&lt;/span&gt;de（完全に）
betre（打つ）
&lt;span class="spacer"&gt;&lt;/span&gt;このまま日本語にすると「完全に打つ」となる。戦うイメージから、議論で戦う＝「討論, 論争」という意味になる。またきちんと準備された「討論会」という意味にもなる。&lt;/span&gt;</t>
  </si>
  <si>
    <t>&lt;span class="w"&gt;&lt;b&gt;【265.fuel：燃料】&lt;/b&gt;&lt;/span&gt;
&lt;span class="ml"&gt;ラテン語focus（暖炉）から派生した名詞focalia（燃料用の小枝）に由来する。
&lt;span class="spacer"&gt;&lt;/span&gt;暖炉にいれる燃料用の小枝から「燃料」という意味になる。
&lt;span class="spacer"&gt;&lt;/span&gt;ラテン語focus（暖炉）は火のイメージから、レンズで光を一点に集めてものを燃やす＝focus（焦点）になる。そしてfocusから派生したfocaliaからはfuel（燃料）になる。&lt;/span&gt;</t>
  </si>
  <si>
    <t>&lt;span class="w"&gt;&lt;b&gt;【266.pollution：汚染, 公害】&lt;/b&gt;&lt;/span&gt;
&lt;span class="ml"&gt;ラテン語に由来する語で、以下の3つの要素から成る。
&lt;span class="spacer"&gt;&lt;/span&gt;*por-（前に）
luere（塗る）
io（名詞化）
&lt;span class="spacer"&gt;&lt;/span&gt;このまま日本語にすると「前方を塗る」となる。物理的に塗って汚すイメージから、特に環境に関して「汚染, 公害」という意味になる。&lt;/span&gt;</t>
  </si>
  <si>
    <t>&lt;span class="w"&gt;&lt;b&gt;【267.trend：傾向】&lt;/b&gt;&lt;/span&gt;
&lt;span class="ml"&gt;古英語trandan（回転させる, 転がす）にさかのぼる。
&lt;span class="spacer"&gt;&lt;/span&gt;回転させる・転がすという自然の力である方向へ進むイメージから、川や山脈が形成するカーブとなる。そこから比喩的に、意見や事態がある方向に向かう＝「傾向」という意味になる。&lt;/span&gt;</t>
  </si>
  <si>
    <t>&lt;span class="w"&gt;&lt;b&gt;【268.balance：バランス, 均衡, 残高】&lt;/b&gt;&lt;/span&gt;
&lt;span class="ml"&gt;ラテン語に由来する語で、以下の2つの要素から成る。
&lt;span class="spacer"&gt;&lt;/span&gt;bis（2つ）
lanx（皿）
&lt;span class="spacer"&gt;&lt;/span&gt;2つの皿を使ってお金を量る天秤から、［収入］と［支出］を釣り合わせるための額＝「残高」という意味になる（収入＝支出+残高）。
&lt;span class="spacer"&gt;&lt;/span&gt;お金の話ではなく、物理的なつり合いになって「バランス, 均衡」という意味になる。&lt;/span&gt;</t>
  </si>
  <si>
    <t>&lt;span class="w"&gt;&lt;b&gt;【269.traffic：交通, 交通（輸送）量, 不正取引】&lt;/b&gt;&lt;/span&gt;
&lt;span class="ml"&gt;イタリア語trafficare（商売する）に由来する。
&lt;span class="spacer"&gt;&lt;/span&gt;もとが「商売する」という意味だったことから、取引という名詞に派生し、さらにその中でも「不正取引」という意味になる。また取引による人や物資の移動から「交通」に、人や物資の移動量から「交通量, 輸送量」になる。&lt;/span&gt;</t>
  </si>
  <si>
    <t>&lt;span class="w"&gt;&lt;b&gt;【270.strategy：戦略】&lt;/b&gt;&lt;/span&gt;
&lt;span class="ml"&gt;ギリシャ語に由来する語で、以下の2つの要素から成る。
&lt;span class="spacer"&gt;&lt;/span&gt;stratos（軍隊）
agos（指導者）
&lt;span class="spacer"&gt;&lt;/span&gt;このまま日本語にすると「軍の指導者」となる。軍の指導者つまり将軍は、軍をどのように動かすかを考える。そこから軍事における戦略となり、さらに軍事に関わらず一般的な「戦略」という意味になる。
&lt;div class="sample_image strategy"&gt;&lt;/div&gt;&lt;/span&gt;</t>
  </si>
  <si>
    <t>&lt;span class="w"&gt;&lt;b&gt;【271.basis：基礎, 根拠, 基準】&lt;/b&gt;&lt;/span&gt;
&lt;span class="ml"&gt;ギリシャ語bainein（足を踏み出す）から派生したbasis（土台）に由来する。
&lt;span class="spacer"&gt;&lt;/span&gt;足を踏み出すときの足場＝土台から、物質的な基礎（例：建物の基礎）、さらに抽象的な基礎（例：理論の基礎, 根拠）へと発展した。
&lt;span class="spacer"&gt;&lt;/span&gt;物理的/具体的/構造的なイメージは英語base（基礎, 土台, 基地）になる。
&lt;span class="spacer"&gt;&lt;/span&gt;思考/抽象的なイメージは、英語basis（基礎, 根拠, 基準）になる。&lt;/span&gt;</t>
  </si>
  <si>
    <t>&lt;span class="w"&gt;&lt;b&gt;【272.consequence：（通例〜sで）結果】&lt;/b&gt;&lt;/span&gt;
&lt;span class="ml"&gt;ラテン語に由来する語で、以下の2つの要素から成る。
&lt;span class="spacer"&gt;&lt;/span&gt;com（共に）
sequi（従う, 後に続く）
&lt;span class="spacer"&gt;&lt;/span&gt;このまま日本語にすると「共に従う」となる。何かの後に従って続くイメージから、
→ある行動や過程のあとに続く「結果」という意味になる。
&lt;div class="sample_image consequence"&gt;&lt;/div&gt;&lt;/span&gt;</t>
  </si>
  <si>
    <t>&lt;span class="w"&gt;&lt;b&gt;【274.ancestor：祖先】&lt;/b&gt;&lt;/span&gt;
&lt;span class="ml"&gt;ラテン語に由来する語で、以下の3つの要素から成る。
&lt;span class="spacer"&gt;&lt;/span&gt;ante（前に）
cedere（行く, 進む）
or（〜する人）
&lt;span class="spacer"&gt;&lt;/span&gt;このまま日本語にすると「前に行く人」となる。自分たちよりも時間的に前を行く人から先代の人＝「祖先」という意味になる。
&lt;div class="sample_image ancestor"&gt;&lt;/div&gt;&lt;/span&gt;</t>
  </si>
  <si>
    <t>&lt;span class="w"&gt;&lt;b&gt;【275.gene：遺伝子】&lt;/b&gt;&lt;/span&gt;
&lt;span class="ml"&gt;印欧祖語*gene-（生む, 産む）から生まれたギリシャ語genea（世代, 人種, 血統）に由来する。
&lt;span class="spacer"&gt;&lt;/span&gt;このギリシャ語をもとに、デンマークの科学者が1905年にドイツ語Gen（遺伝子）を造る。世代を超えて引き継がれるもの, 種族で共通するもの、つまり「遺伝子」を指した。&lt;/span&gt;</t>
  </si>
  <si>
    <t>&lt;span class="w"&gt;&lt;b&gt;【277.revolution：革命, 回転, 公転】&lt;/b&gt;&lt;/span&gt;
&lt;span class="ml"&gt;ラテン語に由来する語で、以下の3つの要素から成る。
&lt;span class="spacer"&gt;&lt;/span&gt;re（再び）
volvere（巻く, 回す, 転がす）
io（名詞化）
&lt;span class="spacer"&gt;&lt;/span&gt;このまま日本語にすると「再び回すこと」となる。繰り返し回転することから、天体の「公転」という意味になる。また天体にかかわらず一般的な「回転」、さらに社会がガラッとひっくり返る「革命」という意味にもなる。
&lt;div class="sample_image revolution"&gt;&lt;/div&gt;&lt;/span&gt;</t>
  </si>
  <si>
    <t>&lt;span class="w"&gt;&lt;b&gt;【278.progress：進歩, 前進】&lt;/b&gt;&lt;/span&gt;
&lt;span class="ml"&gt;ラテン語に由来する語で、以下の2つの要素から成る。
&lt;span class="spacer"&gt;&lt;/span&gt;pro（前に）
gradus（一歩）から派生したgradi（進む, 歩く）
&lt;span class="spacer"&gt;&lt;/span&gt;この語の核は「前に一歩踏み出して進む」となる。ここから「前進, 進歩」という意味になる。
&lt;div class="sample_image progress"&gt;&lt;/div&gt;&lt;/span&gt;</t>
  </si>
  <si>
    <t>&lt;span class="w"&gt;&lt;b&gt;【280.ideal：理想的な】&lt;/b&gt;&lt;/span&gt;
&lt;span class="ml"&gt;ラテン語に由来する語で、以下の2つの要素から成る。
&lt;span class="spacer"&gt;&lt;/span&gt;idea（イデア）
alis（形容詞化）
&lt;span class="spacer"&gt;&lt;/span&gt;イデアとは人間が感覚で知る現実世界ではなく、理性（頭）で知る本質的な世界を意味する。
&lt;span class="spacer"&gt;&lt;/span&gt;たとえば私たちは「三角形」というものを知っているが、現実世界に完璧な三角形は存在しない。実際に三角形を線で描いても拡大して見れば、角は完璧にとがっていないし直線も完璧なまっすぐな線ではない。しかし人間の頭の中には完璧な三角形がある。この頭で知っている完璧で完全なものがイデアと呼ばれる。
&lt;span class="spacer"&gt;&lt;/span&gt;この完璧で理想的であることからidealは「理想的な」になる。&lt;/span&gt;</t>
  </si>
  <si>
    <t>&lt;span class="w"&gt;&lt;b&gt;【281.efficient：効率的な, 有能な】&lt;/b&gt;&lt;/span&gt;
&lt;span class="ml"&gt;ラテン語に由来する語で、以下の2つの要素から成る。
&lt;span class="spacer"&gt;&lt;/span&gt;ex（外に）
facere（作る, する）
&lt;span class="spacer"&gt;&lt;/span&gt;この語の核は何かを外に作り出す際に「テキパキしている」こと。結果や効果を作り出す際に無駄なく、素早く行うことから「効率的な, 有能な」という意味になる。
&lt;div class="sample_image efficient"&gt;&lt;/div&gt;&lt;/span&gt;</t>
  </si>
  <si>
    <t>&lt;span class="w"&gt;&lt;b&gt;【282.universal：普遍的な, 宇宙の】&lt;/b&gt;&lt;/span&gt;
&lt;span class="ml"&gt;ラテン語に由来する語で、以下の3つの要素から成る。
&lt;span class="spacer"&gt;&lt;/span&gt;unus（1つ）
vertere（回す, 向きを変える）
alis（形容詞化）
&lt;span class="spacer"&gt;&lt;/span&gt;このまま日本語にすると「ひとつに回す」となる。回転することで中心に巻き込まれていって全体がひとつになるイメージから、世界全体や宇宙全体に関わる＝「普遍的な, 宇宙の」という意味になる。
普遍的とは広く全体に当てはまるということ。&lt;/span&gt;</t>
  </si>
  <si>
    <t>&lt;span class="w"&gt;&lt;b&gt;【283.vast：莫大な, 広大な】&lt;/b&gt;&lt;/span&gt;
&lt;span class="ml"&gt;ラテン語vastus（広大な）に由来する。
&lt;span class="spacer"&gt;&lt;/span&gt;「広大な」という圧倒的な空間の広さから比喩的に、数や量が非常に多い、程度が非常に大きいという強調を表す「莫大な」という意味になる。&lt;/span&gt;</t>
  </si>
  <si>
    <t>&lt;span class="w"&gt;&lt;b&gt;【284.extra：追加の, 余分の】&lt;/b&gt;&lt;/span&gt;
&lt;span class="ml"&gt;ラテン語ex（外の）から派生したexterus（外側の）に由来する。
&lt;span class="spacer"&gt;&lt;/span&gt;「外側の」から、ある範囲を超えている＝「追加の, 余分の」という意味になる。&lt;/span&gt;</t>
  </si>
  <si>
    <t>&lt;span class="w"&gt;&lt;b&gt;【285.entire：全体の, 全部の, 完全な】&lt;/b&gt;&lt;/span&gt;
&lt;span class="ml"&gt;ラテン語に由来する語で、以下の2つの要素から成る。
&lt;span class="spacer"&gt;&lt;/span&gt;in（否定）
tangere（触れる）
&lt;span class="spacer"&gt;&lt;/span&gt;このまま日本語にすると「触れられていない」となる。誰も触っていないから汚れておらず、何も失われていない完全な状態。ここから「全体の, 全部の, 完全な」という意味になる。&lt;/span&gt;</t>
  </si>
  <si>
    <t>&lt;span class="w"&gt;&lt;b&gt;【287.obvious：明らかな】&lt;/b&gt;&lt;/span&gt;
&lt;span class="ml"&gt;ラテン語に由来する語で、以下の3つの要素から成る。
&lt;span class="spacer"&gt;&lt;/span&gt;ob（前に, ～に対して）
via（道）
us（形容詞化）
&lt;span class="spacer"&gt;&lt;/span&gt;このまま日本語にすると「道に, 行く手に」となる。道の上に何かが置かれているイメージから、一目見てわかる＝「明らかな, はっきり見える」という意味になる。
&lt;div class="sample_image obvious"&gt;&lt;/div&gt;&lt;/span&gt;</t>
  </si>
  <si>
    <t>&lt;span class="w"&gt;&lt;b&gt;【289.ordinary：一般の, 普通の】&lt;/b&gt;&lt;/span&gt;
&lt;span class="ml"&gt;ラテン語に由来する語で、以下の2つの要素から成る。
&lt;span class="spacer"&gt;&lt;/span&gt;ordo（列, 順序）
arius（形容詞化）
&lt;span class="spacer"&gt;&lt;/span&gt;これは「列に並んだ, 秩序通り, 規則的な」という通常から外れていないことから「一般の, 普通の」という意味になる。&lt;/span&gt;</t>
  </si>
  <si>
    <t>&lt;span class="w"&gt;&lt;b&gt;【290.equal：等しい, 匹敵する】&lt;/b&gt;&lt;/span&gt;
&lt;span class="ml"&gt;ラテン語に由来する語で、以下の2つの要素から成る。
&lt;span class="spacer"&gt;&lt;/span&gt;aequus（平らな, 均一な）
alis（形容詞）
&lt;span class="spacer"&gt;&lt;/span&gt;「平らな, 均一な」つまり比較したときに同じ高さであるイメージから「等しい, 匹敵する」という意味になる。&lt;/span&gt;</t>
  </si>
  <si>
    <t>&lt;span class="w"&gt;&lt;b&gt;【291.previous：以前の, 前の】&lt;/b&gt;&lt;/span&gt;
&lt;span class="ml"&gt;ラテン語に由来する語で、以下の3つの要素から成る。
&lt;span class="spacer"&gt;&lt;/span&gt;prae（前に, 以前に）
via（道）
us（形容詞化）
&lt;span class="spacer"&gt;&lt;/span&gt;このまま日本語にすると「道の前」となる。これは道の先を行くイメージ。時間を道にたとえると、未来が現在を通過して過去になる。道の先を行くということは、先に現在を通過しているということなので、時系列において既に起こっている。ここから「以前の, 前の」という意味になる。
&lt;div class="sample_image previous"&gt;&lt;/div&gt;&lt;/span&gt;</t>
  </si>
  <si>
    <t>&lt;span class="w"&gt;&lt;b&gt;【292.false：間違った, 偽の】&lt;/b&gt;&lt;/span&gt;
&lt;span class="ml"&gt;ラテン語fallere（欺く, 騙す）の過去分詞falsus（欺くような, 偽の）に由来する。
&lt;span class="spacer"&gt;&lt;/span&gt;騙すということは、当然「本当ではない、本物ではない」となる。ここから「間違った, 偽の」という意味になる。&lt;/span&gt;</t>
  </si>
  <si>
    <t>&lt;span class="w"&gt;&lt;b&gt;【293.rare：珍しい, まれな】&lt;/b&gt;&lt;/span&gt;
&lt;span class="ml"&gt;ラテン語rarus（まばらに撒かれた, 隙間が多い）に由来する。
&lt;span class="spacer"&gt;&lt;/span&gt;まばらに撒かれた、隙間が多いということは、ある空間中に物質が密集していないということ。つまりありふれた物ではなく数が少ない＝「珍しい」という意味になる。
&lt;span class="spacer"&gt;&lt;/span&gt;ラテン語rarusの対義語densusは、英語dense（密集した, 密度の高い）となった。&lt;/span&gt;</t>
  </si>
  <si>
    <t>&lt;span class="w"&gt;&lt;b&gt;【294.legal：法律の, 合法の】&lt;/b&gt;&lt;/span&gt;
&lt;span class="ml"&gt;ラテン語に由来する語で、以下の2つの要素から成る。
&lt;span class="spacer"&gt;&lt;/span&gt;lex（命令, 法）
alis（形容詞化）
&lt;span class="spacer"&gt;&lt;/span&gt;ラテン語から意味の変化はほとんどなく「法の」という意味になる。また法によって認められている、つまり「合法の」という意味にもなる。&lt;/span&gt;</t>
  </si>
  <si>
    <t>&lt;span class="w"&gt;&lt;b&gt;【295.independent：独立している】&lt;/b&gt;&lt;/span&gt;
&lt;span class="ml"&gt;近代英語にできた語で、以下の2つの要素から成る。
&lt;span class="spacer"&gt;&lt;/span&gt;in（否定）
dependent（依存している）
&lt;span class="spacer"&gt;&lt;/span&gt;independentは「相手にぶら下がっていない」というイメージ。相手に依存せず自分で立っている、つまり「独立している」という意味になる。&lt;/span&gt;</t>
  </si>
  <si>
    <t>&lt;span class="w"&gt;&lt;b&gt;【296.extreme：極端な】&lt;/b&gt;&lt;/span&gt;
&lt;span class="ml"&gt;ラテン語ex（外の）から派生した最上級extremus（最も外側の）に由来する。
&lt;span class="spacer"&gt;&lt;/span&gt;「最も外側の」から度合いの範囲の中で最も外側、つまり「極端な」という意味になる。&lt;/span&gt;</t>
  </si>
  <si>
    <t>&lt;span class="w"&gt;&lt;b&gt;【297.actual：実際の, 現実の】&lt;/b&gt;&lt;/span&gt;
&lt;span class="ml"&gt;ラテン語に由来する語で、以下の2つの要素から成る。
&lt;span class="spacer"&gt;&lt;/span&gt;agere（行う）から派生したactus（行為）
alis（形容詞化）
&lt;span class="spacer"&gt;&lt;/span&gt;「行為に関する」という形容詞は、理想（ideal）や潜在（potential）ではなく、現実に行われたということを意味する。ここから「実際の, 現実の」となる。&lt;/span&gt;</t>
  </si>
  <si>
    <t>&lt;span class="w"&gt;&lt;b&gt;【298.willing：いとわない, 嫌がらない】&lt;/b&gt;&lt;/span&gt;
&lt;span class="ml"&gt;古英語willan（望む, 意志する, 進んで〜する）にさかのぼる。
&lt;span class="spacer"&gt;&lt;/span&gt;これは現代英語will（意志する）の現在分詞だと考えればよい。「Aを意志する」とは、Aの方向に進んでいこうとすること。自らの意志で進んでいくことから、何かを「いとわない, 嫌がらない」という意味になる。
&lt;span class="spacer"&gt;&lt;/span&gt;be willing to do A
これは「Aする方向」に自らの意志で進むイメージ。&lt;/span&gt;</t>
  </si>
  <si>
    <t>&lt;span class="w"&gt;&lt;b&gt;【299.urban：都市の, 都会的な】&lt;/b&gt;&lt;/span&gt;
&lt;span class="ml"&gt;ラテン語に由来する語で、以下の2つの要素から成る。
&lt;span class="spacer"&gt;&lt;/span&gt;urbs（都市）
anus（形容詞化）
&lt;span class="spacer"&gt;&lt;/span&gt;ラテン語から意味の変化はほとんどなく、そのまま「都市の, 都会的な」となる。&lt;/span&gt;</t>
  </si>
  <si>
    <t>&lt;span class="w"&gt;&lt;b&gt;【300.whereas：〜するのに対し, 〜する一方】&lt;/b&gt;&lt;/span&gt;
&lt;span class="ml"&gt;中英語にさかのぼり、以下の2つの要素から成る。
&lt;span class="spacer"&gt;&lt;/span&gt;where（場所, 状況）
as（続く内容へ導く）
&lt;span class="spacer"&gt;&lt;/span&gt;whereasは「whereで場所（状況）を示し、asで続く内容へ導く」とイメージする。
&lt;span class="spacer"&gt;&lt;/span&gt;S V whereas S' V'
whereasは、S Vという状況のもとで、続いてS' V'へ導く。「S Vに対してS' V'」という対比になるのは、歴史的に対比で使われることが多かったことで慣習化したから。&lt;/span&gt;</t>
  </si>
  <si>
    <t>&lt;span class="w"&gt;&lt;b&gt;【301.predict：～を予言する, ～を予測する】&lt;/b&gt;&lt;/span&gt;
&lt;span class="ml"&gt;ラテン語に由来する語で、以下の2つの要素から成る。
&lt;span class="spacer"&gt;&lt;/span&gt;prae（前に, 以前に）
dicere（言う）
&lt;span class="spacer"&gt;&lt;/span&gt;このまま日本語にすると「前に言う」となる。何かが起こる前に言うことから「予言する, 予測する」という意味になる。
&lt;div class="sample_image predict"&gt;&lt;/div&gt;&lt;/span&gt;</t>
  </si>
  <si>
    <t>&lt;span class="w"&gt;&lt;b&gt;【302.examine：〜を調べる, 〜を診察する, 〜を尋問する】&lt;/b&gt;&lt;/span&gt;
&lt;span class="ml"&gt;ラテン語examen（秤, 秤の舌）に由来する。
&lt;span class="spacer"&gt;&lt;/span&gt;もともとは、秤や秤の舌を意味した（秤の舌とは、天秤が釣り合っているかどうかを示す針のこと）。正確な重さを知るために天秤にかけ、その針の動きを注意深く観察することから、物事の価値や真偽を見極めるという抽象的な意味へと発展し、「調べる, 診察する, 尋問する」などの意味になった。
&lt;span class="spacer"&gt;&lt;/span&gt;どの日本語訳も天秤にかけるというイメージに合っている。価値や能力を天秤にかけて調べる。症状がどの病気とを釣り合うかを天秤にかける＝診察する。真か偽かを天秤にかける＝尋問する。&lt;/span&gt;</t>
  </si>
  <si>
    <t>&lt;span class="w"&gt;&lt;b&gt;【303.trust：〜を信頼する】&lt;/b&gt;&lt;/span&gt;
&lt;span class="ml"&gt;古ノルド語treysta（信頼する）に由来する。
&lt;span class="spacer"&gt;&lt;/span&gt;古ノルド語から意味の変化はほとんどない。&lt;/span&gt;</t>
  </si>
  <si>
    <t>&lt;span class="w"&gt;&lt;b&gt;【304.stick：〜を動けなくする, 〜を突き刺す, くっつく】&lt;/b&gt;&lt;/span&gt;
&lt;span class="ml"&gt;古英語stician（突き刺す）にさかのぼる語。
&lt;span class="spacer"&gt;&lt;/span&gt;stick（スティック）は日本語でも「棒, 突き刺す棒」を指す。この名詞と関連させて「突き刺す」という動詞を覚えればよい。また突き刺すことによって固定することから「動けなくする, くっつく」という意味にもなる。&lt;/span&gt;</t>
  </si>
  <si>
    <t>&lt;span class="w"&gt;&lt;b&gt;【305.emerge：現れる, 明らかになる】&lt;/b&gt;&lt;/span&gt;
&lt;span class="ml"&gt;ラテン語に由来する語で、以下の2つの要素から成る。
&lt;span class="spacer"&gt;&lt;/span&gt;ex（外へ）
mergere（沈む）
&lt;span class="spacer"&gt;&lt;/span&gt;この語の核は「沈んだところから外へ出てくる」というイメージ。見えないところから外へ出てくることから「現れる, 明らかになる」という意味になる。
&lt;div class="sample_image emerge"&gt;&lt;/div&gt;&lt;/span&gt;</t>
  </si>
  <si>
    <t>&lt;span class="w"&gt;&lt;b&gt;【306.vary：様々である, 変わる】&lt;/b&gt;&lt;/span&gt;
&lt;span class="ml"&gt;ラテン語varius（様々な）に由来する。
&lt;span class="spacer"&gt;&lt;/span&gt;「様々な」が動詞になって「様々である, （いろいろと）変わる, 異なる」といった意味になる。&lt;/span&gt;</t>
  </si>
  <si>
    <t>&lt;span class="w"&gt;&lt;b&gt;【307.release：～を放出する, ～を解放する, 〜を発表する】&lt;/b&gt;&lt;/span&gt;
&lt;span class="ml"&gt;ラテン語に由来する語で、以下の2つの要素から成る。
&lt;span class="spacer"&gt;&lt;/span&gt;re（再び, 後ろに）
laxare（ゆるめる）
&lt;span class="spacer"&gt;&lt;/span&gt;このまま日本語にすると「再び緩める」となる。縛りつけているものを緩めるイメージから「解放する, 放出する」という意味になる。また公開していなかった情報を解放する場合は「発表する」となる。&lt;/span&gt;</t>
  </si>
  <si>
    <t>&lt;span class="w"&gt;&lt;b&gt;【308.divide：～を分ける】&lt;/b&gt;&lt;/span&gt;
&lt;span class="ml"&gt;ラテン語に由来する語で、以下の2つの要素から成る。
&lt;span class="spacer"&gt;&lt;/span&gt;dis（離れて）
videre（分ける）
&lt;span class="spacer"&gt;&lt;/span&gt;このまま日本語にすると「分けて離す」となる。ここから分離する＝「分ける, 分かれる」という意味になる。&lt;/span&gt;</t>
  </si>
  <si>
    <t>&lt;span class="w"&gt;&lt;b&gt;【309.enable：可能にする】&lt;/b&gt;&lt;/span&gt;
&lt;span class="ml"&gt;中英語en（動詞化）+able（～できる）にさかのぼる。
&lt;span class="spacer"&gt;&lt;/span&gt;このenはもう一つの要素を動詞化する働きがある。ここではableを動詞化して「可能にする」という意味になる。&lt;/span&gt;</t>
  </si>
  <si>
    <t>&lt;span class="w"&gt;&lt;b&gt;【310.judge：～を判断する, 判決を下す】&lt;/b&gt;&lt;/span&gt;
&lt;span class="ml"&gt;ラテン語に由来する語で、以下の2つの要素から成る。
&lt;span class="spacer"&gt;&lt;/span&gt;ius（法）
dicere（宣言する, 示す）
&lt;span class="spacer"&gt;&lt;/span&gt;このまま日本語にすると「法を宣言する」となる。ここから法を宣言する人＝裁判官という意味を経て「判決を下す」という意味になる。また法とは関係なく、自分で考えて「判断する」となる。&lt;/span&gt;</t>
  </si>
  <si>
    <t>&lt;span class="w"&gt;&lt;b&gt;【311.rely：頼る】&lt;/b&gt;&lt;/span&gt;
&lt;span class="ml"&gt;ラテン語に由来する語で、以下の2つの要素から成る。
&lt;span class="spacer"&gt;&lt;/span&gt;re（強意）
ligare（結ぶ）
&lt;span class="spacer"&gt;&lt;/span&gt;このまま日本語にすると「しっかりと結びつく」となる。対象に結びついていくイメージから対象に「頼る」という意味になる。
&lt;div class="sample_image rely"&gt;&lt;/div&gt;&lt;/span&gt;</t>
  </si>
  <si>
    <t>&lt;span class="w"&gt;&lt;b&gt;【313.shift：移る, 〜を変える, 移動する】&lt;/b&gt;&lt;/span&gt;
&lt;span class="ml"&gt;古英語sciftan（配置する, 分ける）にさかのぼる。
&lt;span class="spacer"&gt;&lt;/span&gt;「配置する, 分ける」という人や物の移動から、何かを「移す, 移動する, 〜を変える」という意味になる。&lt;/span&gt;</t>
  </si>
  <si>
    <t>&lt;span class="w"&gt;&lt;b&gt;【314.adopt：～を採用する, ～を養子にとる】&lt;/b&gt;&lt;/span&gt;
&lt;span class="ml"&gt;ラテン語に由来する語で、以下の2つの要素から成る。
&lt;span class="spacer"&gt;&lt;/span&gt;ad（〜へ）
optare（選ぶ）
&lt;span class="spacer"&gt;&lt;/span&gt;このまま日本語にすると「〜へ選ぶ」となる。adoptは「対象を選び取って自分のものにする」というイメージ。ここから「採用する, 養子にする」という意味になる。&lt;/span&gt;</t>
  </si>
  <si>
    <t>&lt;span class="w"&gt;&lt;b&gt;【315.acquire：～を得る, ～を獲得する】&lt;/b&gt;&lt;/span&gt;
&lt;span class="ml"&gt;ラテン語に由来する語で、以下の2つの要素から成る。
&lt;span class="spacer"&gt;&lt;/span&gt;ad（～へ）
quaerere（追い求める）
&lt;span class="spacer"&gt;&lt;/span&gt;このまま日本語にすると「〜へ追い求める」となる。acが求める物の方向へ突き進むイメージで、ただ追い求めるだけではなく、その結果の「得る, 獲得する」という意味にまで至る。
&lt;div class="sample_image acquire"&gt;&lt;/div&gt;&lt;/span&gt;</t>
  </si>
  <si>
    <t>&lt;span class="w"&gt;&lt;b&gt;【316.expand：拡大する, 広がる】&lt;/b&gt;&lt;/span&gt;
&lt;span class="ml"&gt;ラテン語に由来する語で、以下の2つの要素から成る。
&lt;span class="spacer"&gt;&lt;/span&gt;ex（外へ）
pandere（広げる）
&lt;span class="spacer"&gt;&lt;/span&gt;このまま日本語にすると「外へ広げる」となる。ここから「拡大する」という意味になる。
&lt;div class="sample_image expand"&gt;&lt;/div&gt;&lt;/span&gt;</t>
  </si>
  <si>
    <t>&lt;span class="w"&gt;&lt;b&gt;【317.refuse：〜を拒む, 〜を拒絶する】&lt;/b&gt;&lt;/span&gt;
&lt;span class="ml"&gt;ラテン語に由来する語で、以下の2つの要素から成る。
&lt;span class="spacer"&gt;&lt;/span&gt;re（後ろに, 逆に）
fundere（注ぐ）
&lt;span class="spacer"&gt;&lt;/span&gt;このまま日本語にすると「後ろに注ぐ, 逆に注ぐ」となる。こちらに流れてくるものを相手方向に流し返すイメージから、相手から来る要求や依頼などを跳ね返す＝「拒む, 拒絶する」という意味になる。
&lt;div class="sample_image refuse"&gt;&lt;/div&gt;&lt;/span&gt;</t>
  </si>
  <si>
    <t>&lt;span class="w"&gt;&lt;b&gt;【318.strike：～を打つ, 心を打つ】&lt;/b&gt;&lt;/span&gt;
&lt;span class="ml"&gt;古英語strican（なでる, こする）にさかのぼる。
&lt;span class="spacer"&gt;&lt;/span&gt;「なでる, こする」という表面に触れて動かす動作から、表面に触れる瞬間に焦点が移って「打つ」という意味になる。また物理的に打つことから比喩的に「心を打つ」という意味にもなる。&lt;/span&gt;</t>
  </si>
  <si>
    <t>&lt;span class="w"&gt;&lt;b&gt;【319.repeat：～を繰り返す, 〜を復唱する】&lt;/b&gt;&lt;/span&gt;
&lt;span class="ml"&gt;ラテン語に由来する語で、以下の2つの要素から成る。
&lt;span class="spacer"&gt;&lt;/span&gt;re（再び）
petere（向かう, 求める）
&lt;span class="spacer"&gt;&lt;/span&gt;このまま日本語にすると「再び向かう, 再び求める」となる。同じ行為を何度も行うことから、何かを「繰り返す, 復唱する」という意味になる。&lt;/span&gt;</t>
  </si>
  <si>
    <t>&lt;span class="w"&gt;&lt;b&gt;【321.confuse：〜を混同する, 〜を困惑させる】&lt;/b&gt;&lt;/span&gt;
&lt;span class="ml"&gt;ラテン語に由来する語で、以下の2つの要素から成る。
&lt;span class="spacer"&gt;&lt;/span&gt;com（共に）
fundere（注ぐ）
&lt;span class="spacer"&gt;&lt;/span&gt;このまま日本語にすると「共に注ぐ」となる。複数のものを一緒に注いで混ぜるイメージから「混同する」という意味になる。また心や感覚をぐちゃぐちゃに混ぜる感じで「困惑させる」という意味にもなる。
&lt;div class="sample_image confuse"&gt;&lt;/div&gt;&lt;/span&gt;</t>
  </si>
  <si>
    <t>&lt;span class="w"&gt;&lt;b&gt;【322.select：〜を選ぶ, えり抜く】&lt;/b&gt;&lt;/span&gt;
&lt;span class="ml"&gt;ラテン語に由来する語で、以下の2つの要素から成る。
&lt;span class="spacer"&gt;&lt;/span&gt;se（離れて）
legere（集める, 選ぶ）
&lt;span class="spacer"&gt;&lt;/span&gt;このまま日本語にすると「選んで離す」となる。全体の中から選び出して離す＝「選ぶ, えり抜く」という意味になる。&lt;/span&gt;</t>
  </si>
  <si>
    <t>&lt;span class="w"&gt;&lt;b&gt;【323.evolve：進化する, 発展する】&lt;/b&gt;&lt;/span&gt;
&lt;span class="ml"&gt;ラテン語に由来する語で、以下の2つの要素から成る。
&lt;span class="spacer"&gt;&lt;/span&gt;ex（外へ）
volvere（巻く, 回す, 転がす）
&lt;span class="spacer"&gt;&lt;/span&gt;この語の核は「巻かれたものを外に転がして広げる」というイメージ。巻物を外に広げるように物事が広がっていく、展開していく。ここから「発展する, 進化する」という意味になる。
&lt;div class="sample_image evolve"&gt;&lt;/div&gt;&lt;/span&gt;</t>
  </si>
  <si>
    <t>&lt;span class="w"&gt;&lt;b&gt;【324.convince：～を納得させる, ～を確信させる】&lt;/b&gt;&lt;/span&gt;
&lt;span class="ml"&gt;ラテン語に由来する語で、以下の2つの要素から成る。
&lt;span class="spacer"&gt;&lt;/span&gt;com（強意）
vincere（征服する）
&lt;span class="spacer"&gt;&lt;/span&gt;このまま日本語にすると「完全に征服する」となる。論争において相手を打ち負かすことから、相手に自分の主張を「納得させる, 確信させる」という意味になる。
&lt;div class="sample_image convince"&gt;&lt;/div&gt;
&lt;span class="spacer"&gt;&lt;/span&gt;ラテン語vincere（征服する）からは英語victory（勝利）も生まれている。&lt;/span&gt;</t>
  </si>
  <si>
    <t>&lt;span class="w"&gt;&lt;b&gt;【325.recall：〜を思い出す, 〜を呼び戻す】&lt;/b&gt;&lt;/span&gt;
&lt;span class="ml"&gt;近代英語に由来する語で、以下の2つの要素から成る。
&lt;span class="spacer"&gt;&lt;/span&gt;re（再び）
call（呼ぶ）
&lt;span class="spacer"&gt;&lt;/span&gt;「再び呼ぶ」から「呼び戻す」という意味になる。また記憶を呼び戻す、つまり「思い出す」という意味にもなる。&lt;/span&gt;</t>
  </si>
  <si>
    <t>&lt;span class="w"&gt;&lt;b&gt;【326.destroy：～を破壊する】&lt;/b&gt;&lt;/span&gt;
&lt;span class="ml"&gt;ラテン語に由来する語で、以下の2つの要素から成る。
&lt;span class="spacer"&gt;&lt;/span&gt;de（下へ, 反対）
struere（積み上げる, 築く）
&lt;span class="spacer"&gt;&lt;/span&gt;これは積み上げるの反対なので、積み上げられたものを「破壊する」という意味になる。&lt;/span&gt;</t>
  </si>
  <si>
    <t>&lt;span class="w"&gt;&lt;b&gt;【327.preserve：～を保存する, ～を保持する, ～を保護する】&lt;/b&gt;&lt;/span&gt;
&lt;span class="ml"&gt;ラテン語に由来する語で、以下の2つの要素から成る。
&lt;span class="spacer"&gt;&lt;/span&gt;prae（前もって）
servare（守る, 安全に保つ）
&lt;span class="spacer"&gt;&lt;/span&gt;このまま日本語にすると「前もって安全に保つ」となる。変化や劣化が起こる前に安全に保つということから「保存する, 保持する, 保護する」という意味になる。
&lt;div class="sample_image preserve"&gt;&lt;/div&gt;&lt;/span&gt;</t>
  </si>
  <si>
    <t>&lt;span class="w"&gt;&lt;b&gt;【328.organize：～を準備する, ～を組織する】&lt;/b&gt;&lt;/span&gt;
&lt;span class="ml"&gt;ラテン語に由来する語で、以下の2つの要素から成る。
&lt;span class="spacer"&gt;&lt;/span&gt;organum（器官, 楽器）
izare（動詞化）
&lt;span class="spacer"&gt;&lt;/span&gt;organizeは、体の器官や楽器のように、各パーツがまとまって全体を機能させるというイメージ。ここから、各パーツを用意したり関係づけたりして「準備する」、そして全体を「組織する」という意味になる。
&lt;span class="spacer"&gt;&lt;/span&gt;人間の身体は、さまざまな器官が相互に作用しながら全体として機能している。このようにさまざまな部分を準備し、全体を組織することで全体を機能させるのがorganizeという動詞。&lt;/span&gt;</t>
  </si>
  <si>
    <t>&lt;span class="w"&gt;&lt;b&gt;【330.address：問題に対処する, 演説する, ～宛てに出す】&lt;/b&gt;&lt;/span&gt;
&lt;span class="ml"&gt;ラテン語に由来する語で、以下の2つの要素から成る。
&lt;span class="spacer"&gt;&lt;/span&gt;ad（～へ）
dis（強意）
regere（まっすぐ導く）
&lt;span class="spacer"&gt;&lt;/span&gt;このまま日本語にすると「ある方向へしっかりまっすぐ導く」となる。ここから問題に対して自分の意識をまっすぐ向けて、問題を解消してまっすぐな状態＝正常な状態にしようとする＝「対処する」という意味になる。
&lt;span class="spacer"&gt;&lt;/span&gt;また対象へまっすぐ届けることから、手紙などを「～へ宛てて送る」となる。手紙ではなく言葉を直接届ける場合は「演説をする」となる。
&lt;div class="sample_image address"&gt;&lt;/div&gt;&lt;/span&gt;</t>
  </si>
  <si>
    <t>&lt;span class="w"&gt;&lt;b&gt;【331.operate：～を操作する, ～を手術する】&lt;/b&gt;&lt;/span&gt;
&lt;span class="ml"&gt;ラテン語opus（仕事, 成果）から派生した動詞operari（働く, 作用する, 活動する）に由来する。
&lt;span class="spacer"&gt;&lt;/span&gt;この語の核は「何かの作業によって成果をもたらす」ということ。ここから外科の「手術する」や、機械などを「操作する」という意味になる。&lt;/span&gt;</t>
  </si>
  <si>
    <t>&lt;span class="w"&gt;&lt;b&gt;【332.participate：参加する】&lt;/b&gt;&lt;/span&gt;
&lt;span class="ml"&gt;ラテン語に由来する語で、以下の2つの要素から成る。
&lt;span class="spacer"&gt;&lt;/span&gt;pars（部分, パート）
capere（取る）
&lt;span class="spacer"&gt;&lt;/span&gt;このまま日本語にすると「部分を取る」となる。全体の中である役割や取り分を取ることから「参加する」という意味になる。
&lt;span class="spacer"&gt;&lt;/span&gt;英語take part in（〜に参加する）も同じ。&lt;/span&gt;</t>
  </si>
  <si>
    <t>&lt;span class="w"&gt;&lt;b&gt;【333.surround：周囲を囲む】&lt;/b&gt;&lt;/span&gt;
&lt;span class="ml"&gt;本来はラテン語unde（波）に由来するが、近代英語でround（円, 丸）と発音が似ていたことから「周囲を囲む」という意味になった。&lt;/span&gt;</t>
  </si>
  <si>
    <t>&lt;span class="w"&gt;&lt;b&gt;【334.flow：流れる, 生じる】&lt;/b&gt;&lt;/span&gt;
&lt;span class="ml"&gt;印欧祖語*pleu-（流れる, 流動する）に由来する。
&lt;span class="spacer"&gt;&lt;/span&gt;印欧祖語から意味の変化はほとんどない。&lt;/span&gt;</t>
  </si>
  <si>
    <t>&lt;span class="w"&gt;&lt;b&gt;【337.host：～を主催する, ～をもてなす】&lt;/b&gt;&lt;/span&gt;
&lt;span class="ml"&gt;印欧祖語の以下の2つの要素から成る。
&lt;span class="spacer"&gt;&lt;/span&gt;*ghos-ti-（よそ者, 客, 主人）
*poti-（力ある者, 主）
&lt;span class="spacer"&gt;&lt;/span&gt;このまま日本語にすると「客の主」となる。ここから動詞で「もてなす, 主催する」という意味になる。
&lt;span class="spacer"&gt;&lt;/span&gt;似たような語でhostileがある。hostとhostileはどちらも印欧祖語*ghos-ti-（客, 見知らぬ人）にさかのぼるが、hostは印欧祖語*poti-（主）が付いていることによって主催者側となる。
&lt;span class="spacer"&gt;&lt;/span&gt;一方hostileは印欧祖語*ghos-ti-（客, 見知らぬ人）のみに由来するので敵側となる。&lt;/span&gt;</t>
  </si>
  <si>
    <t>&lt;span class="w"&gt;&lt;b&gt;【338.combine：〜を結びつける, 組み合わせる】&lt;/b&gt;&lt;/span&gt;
&lt;span class="ml"&gt;ラテン語に由来する語で、以下の2つの要素から成る。
&lt;span class="spacer"&gt;&lt;/span&gt;com（共に）
bini（2つずつ）
&lt;span class="spacer"&gt;&lt;/span&gt;このまま日本語にすると「2つずつを共にする」となる。2つをひとつにすることから「結びつける, 組み合わせる」という意味になる。
&lt;span class="spacer"&gt;&lt;/span&gt;bini（2つずつ）は以下の単語にも見られ、twoやdoubleなどと同じ印欧祖語にさかのぼる。
・binary（二進法, バイナリー）
・biscuit（ビスケット, 二度焼されたもの）
・double（二重の, 二倍の）
・duet（二重奏）
・two（2）
・twin（双子）&lt;/span&gt;</t>
  </si>
  <si>
    <t>&lt;span class="w"&gt;&lt;b&gt;【339.extend：～を伸ばす, ～を延ばす】&lt;/b&gt;&lt;/span&gt;
&lt;span class="ml"&gt;ラテン語に由来する語で、以下の2つの要素から成る。
&lt;span class="spacer"&gt;&lt;/span&gt;ex（外に）
tendere（伸ばす）
&lt;span class="spacer"&gt;&lt;/span&gt;このまま日本語にすると「外に伸ばす」となる。ここから「伸ばす, 延ばす」という意味になる。&lt;/span&gt;</t>
  </si>
  <si>
    <t>&lt;span class="w"&gt;&lt;b&gt;【340.appreciate：〜を正当に評価する, 〜を鑑賞する, 〜を感謝する】&lt;/b&gt;&lt;/span&gt;
&lt;span class="ml"&gt;ラテン語に由来する語で、以下の2つの要素から成る。
&lt;span class="spacer"&gt;&lt;/span&gt;ad（～へ）
pretium（価格：priceの語源）
&lt;span class="spacer"&gt;&lt;/span&gt;このまま日本語にすると「何かへ価格をつける」となる。価格をつけるということは、価値あるものを「正当に評価する」という意味に繋がる。そして高い価値を認めたものを目にしたり耳にしたりする＝「鑑賞する」となり、価値ある物事を享受できることに対して「感謝する」という意味になる。
&lt;div class="sample_image appreciate"&gt;&lt;/div&gt;&lt;/span&gt;</t>
  </si>
  <si>
    <t>&lt;span class="w"&gt;&lt;b&gt;【341.target：目標, 的】&lt;/b&gt;&lt;/span&gt;
&lt;span class="ml"&gt;古英語targe（盾）にさかのぼる。
&lt;span class="spacer"&gt;&lt;/span&gt;丸い盾から弓や射撃の的となり、さらに比喩的に何かの「目標, 的」という意味になる。
&lt;div class="sample_image target"&gt;&lt;/div&gt;&lt;/span&gt;</t>
  </si>
  <si>
    <t>&lt;span class="w"&gt;&lt;b&gt;【342.element：要素, 成分, 元素】&lt;/b&gt;&lt;/span&gt;
&lt;span class="ml"&gt;ラテン語elementum（初歩, 第一原理, 基本原理）に由来する。
&lt;span class="spacer"&gt;&lt;/span&gt;elementは「何かを構成する基本的なもの」というイメージ。
&lt;span class="spacer"&gt;&lt;/span&gt;古代のギリシャ人たちは「世界の根源は何か＝世界は何でできているのか」という問いについて考え、その答えとして水、空気、火、土など様々な要素を挙げた（四元素説）。
&lt;span class="spacer"&gt;&lt;/span&gt;これら4つの元素はギリシャ語でstoikheion（構成要素, 基本単位）と呼ばれ、この考え方に対応する語としてラテン語elementumが使われた。ここからelementは「要素, 成分, 元素」といった、何かを構成する基本的なものを意味する。&lt;/span&gt;</t>
  </si>
  <si>
    <t>&lt;span class="w"&gt;&lt;b&gt;【343.principle：原理, 原則, 主義, 信条】&lt;/b&gt;&lt;/span&gt;
&lt;span class="ml"&gt;ラテン語に由来する語で、以下の2つの要素から成る。
&lt;span class="spacer"&gt;&lt;/span&gt;primus（第一の）
capere（取る）
&lt;span class="spacer"&gt;&lt;/span&gt;このまま日本語にすると「第一を取る」となる。1番目のポジションを取ることから、何かが成り立つための土台＝「原理, 原則」や、行動の土台となる「主義, 信条」という意味になる。&lt;/span&gt;</t>
  </si>
  <si>
    <t>&lt;span class="w"&gt;&lt;b&gt;【344.phenomenon：現象】&lt;/b&gt;&lt;/span&gt;
&lt;span class="ml"&gt;ギリシャ語phainein（明らかにする, 出現させる）の現在分詞phainomenon（現れるもの, 見えるもの）に由来する。
&lt;span class="spacer"&gt;&lt;/span&gt;目の前に現れるもの、つまり「現象」という意味になる。
&lt;span class="spacer"&gt;&lt;/span&gt;phenomenonのphe部分は、語源的に光・輝きを意味し、光や輝きのように何かが現れるというイメージになる。
光を取り込んで現像する写真＝photographのphoto部分も同じく光を意味する。&lt;/span&gt;</t>
  </si>
  <si>
    <t>&lt;span class="w"&gt;&lt;b&gt;【345.atmosphere：大気, 雰囲気】&lt;/b&gt;&lt;/span&gt;
&lt;span class="ml"&gt;ギリシャ語の要素から作られた語で、以下の2つの要素から成る。
&lt;div class="sample_image "&gt;&lt;/div&gt;atmos（蒸気）
sphere（球）
&lt;span class="spacer"&gt;&lt;/span&gt;このまま日本語にすると「蒸気の球体」となる。地球を取り巻く気体の覆いという発想から「大気」という意味になる。また周囲に漂う空気から「雰囲気」という意味になる。
&lt;div class="sample_image atmosphere"&gt;&lt;/div&gt;&lt;/span&gt;</t>
  </si>
  <si>
    <t>&lt;span class="w"&gt;&lt;b&gt;【346.origin：起源, 源】&lt;/b&gt;&lt;/span&gt;
&lt;span class="ml"&gt;ラテン語oriri（起き上がる, 昇る, 始まる）に由来する。
&lt;span class="spacer"&gt;&lt;/span&gt;何かの始まりから「起源, 源」という意味になる。日本語でも使われる形容詞オリジナル（元の, original）と関連させて覚える。&lt;/span&gt;</t>
  </si>
  <si>
    <t>&lt;span class="w"&gt;&lt;b&gt;【347.personality：個性, 性格】&lt;/b&gt;&lt;/span&gt;
&lt;span class="ml"&gt;ラテン語に由来する語で、以下の3つの要素から成る。
&lt;span class="spacer"&gt;&lt;/span&gt;persona（個人）
alis（形容詞化）
tas（名詞化）
&lt;span class="spacer"&gt;&lt;/span&gt;英語で考えると以下のような発展。
person
personal
personality
&lt;span class="spacer"&gt;&lt;/span&gt;個人に特有のもの＝「個性, 性格」という意味になる。&lt;/span&gt;</t>
  </si>
  <si>
    <t>&lt;span class="w"&gt;&lt;b&gt;【348.capacity：容量, 収容能力】&lt;/b&gt;&lt;/span&gt;
&lt;span class="ml"&gt;ラテン語capere（取る）から派生した名詞capacitas（容量, 多くを収容できる能力）に由来する。
&lt;span class="spacer"&gt;&lt;/span&gt;取ることから、多くを保持できること＝「収容能力, 容量」という意味になる。&lt;/span&gt;</t>
  </si>
  <si>
    <t>&lt;span class="w"&gt;&lt;b&gt;【349.profit：利益, 収益, 得】&lt;/b&gt;&lt;/span&gt;
&lt;span class="ml"&gt;ラテン語に由来する語で、以下の2つの要素から成る。
&lt;span class="spacer"&gt;&lt;/span&gt;pro（前へ）
facere（作る, する）
&lt;span class="spacer"&gt;&lt;/span&gt;何かを前へ進めて成果を作り出すことから、進展や成長という意味を経て、成果や収益などの具体的な「利益, 収益, 得」という意味になる。&lt;/span&gt;</t>
  </si>
  <si>
    <t>&lt;span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t>
  </si>
  <si>
    <t>&lt;span class="w"&gt;&lt;b&gt;【351.manner：作法, 方法】&lt;/b&gt;&lt;/span&gt;
&lt;span class="ml"&gt;ラテン語manus（手）に由来する。
&lt;span class="spacer"&gt;&lt;/span&gt;「手」というのは、何らかの作業や何かを扱うことと結びつきやすい。いまのような機械がなく、手作業・手仕事だったからである。
&lt;span class="spacer"&gt;&lt;/span&gt;こうした手作業においては、そのやり方や扱い方が固定化していく。ここから何かの「方法, 作法」という意味になる。&lt;/span&gt;</t>
  </si>
  <si>
    <t>&lt;span class="w"&gt;&lt;b&gt;【352.threat：脅威, 恐れ】&lt;/b&gt;&lt;/span&gt;
&lt;span class="ml"&gt;古英語þreat（多数, 圧迫, 脅威）にさかのぼる。
&lt;span class="spacer"&gt;&lt;/span&gt;大勢による圧迫や威圧というイメージから、何かによる「脅威, 恐れ」という意味になる。&lt;/span&gt;</t>
  </si>
  <si>
    <t>&lt;span class="w"&gt;&lt;b&gt;【353.resident：居住者, 住民】&lt;/b&gt;&lt;/span&gt;
&lt;span class="ml"&gt;ラテン語に由来する語で、以下の2つの要素から成る。
&lt;span class="spacer"&gt;&lt;/span&gt;re（再び）
sedere（座る）
&lt;span class="spacer"&gt;&lt;/span&gt;このまま日本語にすると「再び座る」となる。これは何度も同じ場所に座るということから、ある場所に留まっている＝定住している「居住者, 住民」という意味になる。
&lt;div class="sample_image resident"&gt;&lt;/div&gt;&lt;/span&gt;</t>
  </si>
  <si>
    <t>&lt;span class="w"&gt;&lt;b&gt;【355.institution：機関, 制度】&lt;/b&gt;&lt;/span&gt;
&lt;span class="ml"&gt;ラテン語に由来する語で、以下の3つの要素から成る。
&lt;span class="spacer"&gt;&lt;/span&gt;in（中に）
statuere（立てる, 設置する）
io（名詞化）
&lt;span class="spacer"&gt;&lt;/span&gt;このまま日本語にすると「中に立てること, 中に設置すること」となる。何かを中に立てて定着させるイメージから、社会の中に作られた仕組み＝「制度」という意味になる。またそういった仕組みを持つ組織＝「機関」という意味にもなる。
&lt;div class="sample_image institution"&gt;&lt;/div&gt;&lt;/span&gt;</t>
  </si>
  <si>
    <t>&lt;span class="w"&gt;&lt;b&gt;【356.authority：権威, 権限, （the authorities）当局】&lt;/b&gt;&lt;/span&gt;
&lt;span class="ml"&gt;ラテン語に由来する語で、以下の3つの要素から成る。
&lt;span class="spacer"&gt;&lt;/span&gt;augere（増やす, 成長させる）
or（〜する人）
tas（名詞化）
&lt;span class="spacer"&gt;&lt;/span&gt;「物事を成長させる人」というのは、他者への影響力を持つ。この影響力は人を動かしたり、何かを決定したりする力。ここから人に影響を与える「権威」や、何かを決める「権限」という意味になる。またそういった権威や権限を持つ組織（the authorities）は「当局」となる。
&lt;div class="sample_image authority"&gt;&lt;/div&gt;&lt;/span&gt;</t>
  </si>
  <si>
    <t>&lt;span class="w"&gt;&lt;b&gt;【357.vote：投票, 投票数】&lt;/b&gt;&lt;/span&gt;
&lt;span class="ml"&gt;ラテン語vovere（約束する, 奉献する）に由来する。
&lt;span class="spacer"&gt;&lt;/span&gt;このラテン語は、神に対して「約束する, 奉献する」という宗教的性質を持つものだった。時代を経るにつれて、宗教に限定されず、社会において自分の意思や立場を表す行為へと意味が広がる。そして立候補者に対して自分の票を正式に捧げること＝「投票, 投票数」という意味になる。&lt;/span&gt;</t>
  </si>
  <si>
    <t>&lt;span class="w"&gt;&lt;b&gt;【358.sight：見えるもの, 名所, 光景, 視界, 視野】&lt;/b&gt;&lt;/span&gt;
&lt;span class="ml"&gt;古英語にさかのぼる語で、以下の2つの要素から成る。
&lt;span class="spacer"&gt;&lt;/span&gt;seon（見る）
th（名詞化）
&lt;span class="spacer"&gt;&lt;/span&gt;「見えるもの」＝「光景, 視界, 視野, 名所」などの意味になる。文脈で日本語にすればよい。&lt;/span&gt;</t>
  </si>
  <si>
    <t>&lt;span class="w"&gt;&lt;b&gt;【359.campaign：軍事行動, ◯◯運動（キャンペーン）】&lt;/b&gt;&lt;/span&gt;
&lt;span class="ml"&gt;ラテン語に由来する語で、以下の2つの要素から成る。
&lt;span class="spacer"&gt;&lt;/span&gt;campus（平野）
ia（名詞化）
&lt;span class="spacer"&gt;&lt;/span&gt;古くは、軍は冬を駐屯地で過ごし、夏に野外で戦うことが多かったことから「軍事行動」という意味に結びついた。そして、そこからさらに意味が広がり、目的を達成するための継続的な活動、特に政治や商業での組織的な活動＝「◯◯運動, キャンペーン」という意味になった。
&lt;span class="spacer"&gt;&lt;/span&gt;ラテン語campus（平野）はキャンプ（camp）の語源でもある。campはもともと軍が野営する開けた場所を意味した。&lt;/span&gt;</t>
  </si>
  <si>
    <t>&lt;span class="w"&gt;&lt;b&gt;【360.fund：基金, 資金】&lt;/b&gt;&lt;/span&gt;
&lt;span class="ml"&gt;ラテン語fundus（底, 基礎）に由来する。
&lt;span class="spacer"&gt;&lt;/span&gt;何かを支える土台というイメージから、ある目的のために利用可能なお金や財産＝「基金, 資金」という意味になる。&lt;/span&gt;</t>
  </si>
  <si>
    <t>&lt;span class="w"&gt;&lt;b&gt;【361.web：クモの巣, （the Web）インターネットのウェブ】&lt;/b&gt;&lt;/span&gt;
&lt;span class="ml"&gt;古英語webb（織られた布）にさかのぼる。
&lt;span class="spacer"&gt;&lt;/span&gt;糸を織って作られる編み目状の構造から、糸を張りめぐらして作られる「クモの巣」という意味になる。また比喩的に、糸が張りめぐらされたような構造から、インターネットの「ウェブ」という意味にもなる。&lt;/span&gt;</t>
  </si>
  <si>
    <t>&lt;span class="w"&gt;&lt;b&gt;【362.symbol：象徴, シンボル】&lt;/b&gt;&lt;/span&gt;
&lt;span class="ml"&gt;ギリシャ語に由来する語で、以下の2つの要素から成る。
&lt;span class="spacer"&gt;&lt;/span&gt;syn（共に）
ballein（投げる）
&lt;span class="spacer"&gt;&lt;/span&gt;これをそのまま日本語にすると「（物を）一緒に投げる」となる。もともとは、物を2つに割って2人で分け、片割れを持つ者同士がその破片を突き合わせて一致するかを確かめるための「しるし」を意味した。そこから、あるものを別のものと結びつけて表す「象徴」という意味になった。&lt;/span&gt;</t>
  </si>
  <si>
    <t>&lt;span class="w"&gt;&lt;b&gt;【363.analysis：分析（結果）】&lt;/b&gt;&lt;/span&gt;
&lt;span class="ml"&gt;ギリシャ語に由来する語で、以下の2つの要素から成る。
&lt;span class="spacer"&gt;&lt;/span&gt;ana（全体を）
lysis（ほどくこと）
&lt;span class="spacer"&gt;&lt;/span&gt;このまま日本語にすると「全体をほどくこと」となる。絡まったものを全てほどいて各要素に分けるイメージから、複雑なものを要素ごとに分解する＝「分析」という意味になる。
&lt;div class="sample_image analysis"&gt;&lt;/div&gt;&lt;/span&gt;</t>
  </si>
  <si>
    <t>&lt;span class="w"&gt;&lt;b&gt;【364.version：〜版】&lt;/b&gt;&lt;/span&gt;
&lt;span class="ml"&gt;ラテン語に由来する語で、以下の2つの要素から成る。
&lt;span class="spacer"&gt;&lt;/span&gt;vertere（回す, 向ける）
io（名詞化）
&lt;span class="spacer"&gt;&lt;/span&gt;このまま日本語にすると「回すこと, 向けること」となる。あるものの向きを別の方へ変えるイメージから、既にあるものを元に別の形へ変えること＝「〜版」という意味になる。&lt;/span&gt;</t>
  </si>
  <si>
    <t>&lt;span class="w"&gt;&lt;b&gt;【365.perspective：観点（≒立場）, 大局観, 遠近法】&lt;/b&gt;&lt;/span&gt;
&lt;span class="ml"&gt;ラテン語に由来する語で、以下の2つの要素から成る。
&lt;span class="spacer"&gt;&lt;/span&gt;per（通して）
specere（見る）
&lt;span class="spacer"&gt;&lt;/span&gt;このまま日本語にすると「見通す」となる。これは「ある視点から対象の奥側まで全体を見通す」というイメージで、次の3つのポイントがある。①見る視点・②全体を見ること・③奥まで見ること。
&lt;span class="spacer"&gt;&lt;/span&gt;「見る視点」からは、物事を見るときの視点＝「観点, 立場」という意味になる。
&lt;span class="spacer"&gt;&lt;/span&gt;「全体を見る」からは、対局を見通す「大局観」という意味になる。
&lt;span class="spacer"&gt;&lt;/span&gt;「奥まで見る」からは、空間を見通して奥行や距離を正しく把握する「遠近法」という意味になる。
&lt;div class="sample_image perspective"&gt;&lt;/div&gt;
&lt;span class="spacer"&gt;&lt;/span&gt;perspectiveは、ある「観点, 立場」から「全体を見ること」。そしてその見方の一例が「遠近法」だと覚えればよい。&lt;/span&gt;</t>
  </si>
  <si>
    <t>&lt;span class="w"&gt;&lt;b&gt;【366.crisis：危機】&lt;/b&gt;&lt;/span&gt;
&lt;span class="ml"&gt;ギリシャ語に由来する語で、以下の2つの要素から成る。
&lt;span class="spacer"&gt;&lt;/span&gt;krinein（分ける）
sis（名詞化）
&lt;span class="spacer"&gt;&lt;/span&gt;このまま日本語にすると「分けること」となる。もともとは医療において、病気からの回復か死かを分ける点という意味で使われていた。ここから医療に限らず、物事の危機的な状況＝「危機」という意味になる。
&lt;div class="sample_image crisis"&gt;&lt;/div&gt;&lt;/span&gt;</t>
  </si>
  <si>
    <t>&lt;span class="w"&gt;&lt;b&gt;【367.disaster：災害, 惨事】&lt;/b&gt;&lt;/span&gt;
&lt;span class="ml"&gt;イタリア語に由来する語で、以下の2つの要素から成る。
&lt;span class="spacer"&gt;&lt;/span&gt;dis（否定）
astro（星）
&lt;span class="spacer"&gt;&lt;/span&gt;これは占星術で使われた言葉で、星の位置・星のめぐりが悪く不吉なことを意味した。ここから星からもたらされる不吉な出来事＝自然災害や大事件といった「災害, 惨事」という意味になる。
&lt;div class="sample_image disaster"&gt;&lt;/div&gt;&lt;/span&gt;</t>
  </si>
  <si>
    <t>&lt;span class="w"&gt;&lt;b&gt;【368.lecture：講義, 講演, 説教】&lt;/b&gt;&lt;/span&gt;
&lt;span class="ml"&gt;ラテン語に由来する語で、以下の2つの要素から成る。
&lt;span class="spacer"&gt;&lt;/span&gt;legere（集める, 選び取る, 言葉を選び取る, 読む）
ura（名詞化）
&lt;span class="spacer"&gt;&lt;/span&gt;もともとは、書物から特定の言葉を選び出して読み上げることを意味した。本が貴重だった時代は、教師がテキストを読み上げるのが授業の基本スタイルだったことから、「講義, 講演」という意味になる。
&lt;span class="spacer"&gt;&lt;/span&gt;また相手に何かを言い聞かせるということから「説教」という意味になる。&lt;/span&gt;</t>
  </si>
  <si>
    <t>&lt;span class="w"&gt;&lt;b&gt;【369.psychology：心理学】&lt;/b&gt;&lt;/span&gt;
&lt;span class="ml"&gt;ギリシャ語に由来する語で、以下の2つの要素から成る。
&lt;span class="spacer"&gt;&lt;/span&gt;psykhē（呼吸, 霊, 心, 魂）
logia（学問, 研究）
&lt;span class="spacer"&gt;&lt;/span&gt;logy部分は「学問」を表す。
&lt;span class="spacer"&gt;&lt;/span&gt;psycho部分のもとであるギリシャ語psykhēは、古代の人々の「呼吸＝生命の根源」という考えにもとづき、「呼吸」から「魂」や「心」という意味になる。
&lt;span class="obsolete"&gt;ラテン語由来のspirit（精神）, inspire（鼓舞する）, expire（期限が切れる, 死ぬ）もspi部分が「息」を意味し、生命と関わる語となっている。&lt;/span&gt;&lt;/span&gt;
&lt;span class="spacer"&gt;&lt;/span&gt;このpsykhē（心）とlogia（学問, 研究）が合わさることで、心の学問＝「心理学」という意味になる。</t>
  </si>
  <si>
    <t>&lt;span class="w"&gt;&lt;b&gt;【370.gender：社会的/文化的な性, 性別】&lt;/b&gt;&lt;/span&gt;
&lt;span class="ml"&gt;ラテン語genus（種族, 血統, 性別）に由来する。
&lt;span class="spacer"&gt;&lt;/span&gt;もともとは種類や文法上の性を表す言葉だったが、次第に人間の種類を分ける性別として使われるようになる。特に生物学的な性別に対し、「社会/文化的な性」として使われる。たとえば社会・文化における性差別をなくすことをジェンダーの平等と言う。&lt;/span&gt;</t>
  </si>
  <si>
    <t>&lt;span class="w"&gt;&lt;b&gt;【371.custom：慣習, （customs）関税】&lt;/b&gt;&lt;/span&gt;
&lt;span class="ml"&gt;ラテン語に由来する語で、以下の2つの要素から成る。
&lt;span class="spacer"&gt;&lt;/span&gt;com（強意）
suescere（慣れる）
&lt;span class="spacer"&gt;&lt;/span&gt;このまま日本語にすると「しっかり慣れる」となる。しっかり慣れるように繰り返すことで「慣習」になる。また、特定の場所で商品を売り買いするときに慣習的に税が払われたことから「関税」や「税関」を指すようになった。
&lt;span class="spacer"&gt;&lt;/span&gt;customeと同じ語源にさかのぼる語にcostume（コスチューム）がある。costumeは習慣的に着る「服装」に特化したが、もともとは服装に限らず慣習を意味した。
&lt;span class="spacer"&gt;&lt;/span&gt;be accustomed to 名詞（〜するのに慣れている）も関連させて覚えておく。&lt;/span&gt;</t>
  </si>
  <si>
    <t>&lt;span class="w"&gt;&lt;b&gt;【372.court：裁判所, 法廷, 宮廷, 中庭, スポーツのコート】&lt;/b&gt;&lt;/span&gt;
&lt;span class="ml"&gt;ラテン語に由来する語で、以下の2つの要素から成る。
&lt;span class="spacer"&gt;&lt;/span&gt;com（共に）
hortus（庭, 囲われた土地）
&lt;span class="spacer"&gt;&lt;/span&gt;もともとは四方を囲われた土地、つまり「中庭」を意味した。王や領主が、城や邸宅の中庭に人々を集め、相談を受けたり裁判を開いたりしたことから「宮廷」や「法廷, 裁判所」という意味になった。また「スポーツのコート」という意味は四方を囲われた土地という元の意味による。&lt;/span&gt;</t>
  </si>
  <si>
    <t>&lt;span class="w"&gt;&lt;b&gt;【373.desert：砂漠, 不毛な土地】&lt;/b&gt;&lt;/span&gt;
&lt;span class="ml"&gt;ラテン語に由来する語で、以下の2つの要素から成る。
&lt;span class="spacer"&gt;&lt;/span&gt;de（離れて）
serere（結びつける）
&lt;span class="spacer"&gt;&lt;/span&gt;このまま日本語にすると「結びつきを離す」となる。持ち主との結びつきが離れた、つまり放棄された土地を指し、「不毛な土地, 砂漠」という意味になる。&lt;/span&gt;</t>
  </si>
  <si>
    <t>&lt;span class="w"&gt;&lt;b&gt;【374.soil：土壌, 土地】&lt;/b&gt;&lt;/span&gt;
&lt;span class="ml"&gt;古フランス語に由来する語で、以下の3つの単語がひとつになった。
sol（地面）
soeul（場所）
soil（泥だらけの場所）
&lt;span class="spacer"&gt;&lt;/span&gt;このまま日本語にすると「地面が泥だらけの場所」となる。こうした場所で植物を育てることから「土地, 土壌」という意味になる。
&lt;span class="spacer"&gt;&lt;/span&gt;靴の底のことをsole（ソール）と言う。sole（足の底）とsoil（土地, 土壌）は関連する語。足の底は地面に接する。&lt;/span&gt;</t>
  </si>
  <si>
    <t>&lt;span class="w"&gt;&lt;b&gt;【375.agriculture：農業】&lt;/b&gt;&lt;/span&gt;
&lt;span class="ml"&gt;ラテン語に由来する語で、以下の2つの要素から成る。
&lt;span class="spacer"&gt;&lt;/span&gt;ager（畑）
cultura（耕すこと, 耕作）
&lt;span class="spacer"&gt;&lt;/span&gt;このまま日本語にすると「畑を耕すこと」となる。ここから「農業」という意味になる。
&lt;span class="spacer"&gt;&lt;/span&gt;culture部分を見ると「文化」という意味が思い浮かぶが、cultureの語源は「耕作」。土地を耕して成熟させるように、人々が発展させてきたものとして「文化」という意味になった。&lt;/span&gt;</t>
  </si>
  <si>
    <t>&lt;span class="w"&gt;&lt;b&gt;【376.fossil：化石, 時代遅れの人】&lt;/b&gt;&lt;/span&gt;
&lt;span class="ml"&gt;ラテン語fodere（掘る）に由来する。
&lt;span class="spacer"&gt;&lt;/span&gt;これは土を掘って出てきたものから「化石」という意味になる。また比喩的に、化石みたいに「時代遅れの人」という意味にもなる。&lt;/span&gt;</t>
  </si>
  <si>
    <t>&lt;span class="w"&gt;&lt;b&gt;【377.document：文書, 書類, 資料】&lt;/b&gt;&lt;/span&gt;
&lt;span class="ml"&gt;ラテン語に由来する語で、以下の2つの要素から成る。
&lt;span class="spacer"&gt;&lt;/span&gt;docere（示す, 教える）
mentum（名詞化）
&lt;span class="spacer"&gt;&lt;/span&gt;もともとは「教えるためのもの」を意味し、教訓や証拠のような意味で使われた。そこから、内容を示す「資料」という意味になり、さらに一般的に何かが書かれた「文書、書類」という意味になった。&lt;/span&gt;</t>
  </si>
  <si>
    <t>&lt;span class="w"&gt;&lt;b&gt;【378.vocabulary：語彙, 単語の集合】&lt;/b&gt;&lt;/span&gt;
&lt;span class="ml"&gt;ラテン語に由来する語で、以下の3つの要素から成る。
&lt;span class="spacer"&gt;&lt;/span&gt;vocare（呼ぶ）
bulum（～するためのもの）
arium（～の集合）
&lt;span class="spacer"&gt;&lt;/span&gt;このまま日本語にすると「呼ぶためのものの集合」となる。呼ぶためのものとは、名前や単語のこと。その単語の集合なので「語彙」という意味になる。&lt;/span&gt;</t>
  </si>
  <si>
    <t>&lt;span class="w"&gt;&lt;b&gt;【379.intelligent：聡明な, 知能が高い】&lt;/b&gt;&lt;/span&gt;
&lt;span class="ml"&gt;ラテン語に由来する語で、以下の2つの要素から成る。
&lt;span class="spacer"&gt;&lt;/span&gt;inter（～の間に）
legere（集める, 選ぶ）
&lt;span class="spacer"&gt;&lt;/span&gt;これは、さまざまな物事や情報「の間に」ある違いを見極めて「選ぶ」能力があるということを表す。ここから「知能の高い, 聡明な」という意味になる。
&lt;span class="spacer"&gt;&lt;/span&gt;AI（人工知能）は、Artificial（人工的な）Inteligence（知能）の略。inteligence（知能）の形容詞がintelligent（知能が高い）。&lt;/span&gt;</t>
  </si>
  <si>
    <t>&lt;span class="w"&gt;&lt;b&gt;【380.conscious：気づいて, 意識して】&lt;/b&gt;&lt;/span&gt;
&lt;span class="ml"&gt;ラテン語に由来する語で、以下の3つの要素から成る。
&lt;span class="spacer"&gt;&lt;/span&gt;com（共に）
scire（知る）
us（形容詞化）
&lt;span class="spacer"&gt;&lt;/span&gt;このまま日本語にすると「共に知っている」となる。これは「他人と共に知る」ということではなく、自分の内側にいるもう1人の自分（意識）と共に知るということ。ここから何かを「意識している, 気づいている」という意味になる。
&lt;span class="spacer"&gt;&lt;/span&gt;同じラテン語から生まれた語にconscince（良心）がある。これは、自分の行いが善か悪かを内なる自分は知っているから正しい行動を取ろうとする心を意味する。&lt;/span&gt;</t>
    <rPh sb="245" eb="247">
      <t>イシキ</t>
    </rPh>
    <phoneticPr fontId="1"/>
  </si>
  <si>
    <t>&lt;span class="w"&gt;&lt;b&gt;【381.capable：能力がある】&lt;/b&gt;&lt;/span&gt;
&lt;span class="ml"&gt;ラテン語に由来する語で、以下の2つの要素から成る。
&lt;span class="spacer"&gt;&lt;/span&gt;capere（つかむ, 取る）
bilis（～できる）
&lt;span class="spacer"&gt;&lt;/span&gt;このまま日本語にすると「つかむことができる」となる。もともとは、物や内容を受け入れることができるという意味で、そこから「受け入れる器がある」というニュアンスが生まれた（→capacity）。さらに受け入れたことを理解して扱えるという意味へと広がり、現在の「能力がある」という意味になった。&lt;/span&gt;</t>
  </si>
  <si>
    <t>&lt;span class="w"&gt;&lt;b&gt;【382.accurate：正確な, 精密な】&lt;/b&gt;&lt;/span&gt;
&lt;span class="ml"&gt;ラテン語に由来する語で、以下の2つの要素から成る。
&lt;span class="spacer"&gt;&lt;/span&gt;ad（～へ）
cura（注意）から派生したcurare（注意を払う）
&lt;span class="spacer"&gt;&lt;/span&gt;このまま日本語にすると「対象へ注意を払う」となる。ここから何かを注意深く念入りに行うことから「正確な, 精密な」という意味になる。&lt;/span&gt;</t>
  </si>
  <si>
    <t>&lt;span class="w"&gt;&lt;b&gt;【383.fundamental：基本的な】&lt;/b&gt;&lt;/span&gt;
&lt;span class="ml"&gt;ラテン語に由来する語で、以下の3つの要素から成る。
&lt;span class="spacer"&gt;&lt;/span&gt;fundus（底, 基礎）から派生したfundare（土台を据える）
mentum（名詞化）
alis（形容詞化）
&lt;span class="spacer"&gt;&lt;/span&gt;このまま日本語にすると「土台となるものに関する」となる。何かを行ったり作ったりするときの土台を表すことから「基本的な」という意味になる。&lt;/span&gt;</t>
  </si>
  <si>
    <t>&lt;span class="w"&gt;&lt;b&gt;【384.artificial：人工の, 不自然な】&lt;/b&gt;&lt;/span&gt;
&lt;span class="ml"&gt;ラテン語に由来する語で、以下の3つの要素から成る。
ars（技術, 芸術）
facere（する, 作る）
alis（形容詞化）
&lt;span class="spacer"&gt;&lt;/span&gt;これは、自然ではなく人間の技術で作られた＝「人工的な」という意味になる。また明らかに人工的であることから「不自然な」という意味にもなる。&lt;/span&gt;</t>
  </si>
  <si>
    <t>&lt;span class="w"&gt;&lt;b&gt;【385.firm：確固たる, 堅固な, 安定した】&lt;/b&gt;&lt;/span&gt;
&lt;span class="ml"&gt;ラテン語firmus（堅固な, 安定した）に由来する。
&lt;span class="spacer"&gt;&lt;/span&gt;この語の核は「しっかりしていて動かない」ということ。そこから「堅固な, 安定した, 確固たる」という意味になる。&lt;/span&gt;</t>
  </si>
  <si>
    <t>&lt;span class="w"&gt;&lt;b&gt;【386.overall：総合的な, 全体的な】&lt;/b&gt;&lt;/span&gt;
&lt;span class="ml"&gt;古英語のフレーズofer eall（あらゆる場所で）にさかのぼる。
&lt;span class="spacer"&gt;&lt;/span&gt;あらゆる場所という空間的な意味から、物事全体に及ぶ＝「全体的に, 総合的に」という抽象的な意味にもなる。&lt;/span&gt;</t>
  </si>
  <si>
    <t>&lt;span class="w"&gt;&lt;b&gt;【387.rural：田舎の】&lt;/b&gt;&lt;/span&gt;
&lt;span class="ml"&gt;ラテン語に由来する語で、以下の2つの要素から成る。
&lt;span class="spacer"&gt;&lt;/span&gt;rus（開けた土地）
alis（形容詞化）
&lt;span class="spacer"&gt;&lt;/span&gt;開けた土地＝広い土地がたくさんあることから「田舎の」という意味になる。
&lt;span class="spacer"&gt;&lt;/span&gt;ラテン語rusは印欧祖語*reue-（開く, 空間）に由来する可能性がある。この印欧祖語からは英語のroom（空間）も生まれていると考えられており、ruralとroomを関連づけて覚えることができる。広い空間（roomが）たくさんあるrural（田舎）というイメージで覚える。&lt;/span&gt;</t>
  </si>
  <si>
    <t>&lt;span class="w"&gt;&lt;b&gt;【388.military：軍の, 軍事の】&lt;/b&gt;&lt;/span&gt;
&lt;span class="ml"&gt;ラテン語に由来する語で、以下の2つの要素から成る。
&lt;span class="spacer"&gt;&lt;/span&gt;miles（兵士）
aris（形容詞化）
&lt;span class="spacer"&gt;&lt;/span&gt;ここから兵士に関する、つまり「軍の, 軍事の」という意味になる。&lt;/span&gt;</t>
  </si>
  <si>
    <t>&lt;span class="w"&gt;&lt;b&gt;【389.nuclear：核の, 原子力の】&lt;/b&gt;&lt;/span&gt;
&lt;span class="ml"&gt;ラテン語に由来する語で、以下の2つの要素から成る。
&lt;span class="spacer"&gt;&lt;/span&gt;nux（ナッツ）
cula（小さいことを表す）
&lt;span class="obsolete"&gt;ar（形容詞化）は英語段階で付いた&lt;/span&gt;
&lt;span class="spacer"&gt;&lt;/span&gt;ナッツの中にある実の部分から比喩的に、何かの中心にある小さな核を表すようになった。そして近代から現代において、細胞核や原子核を指すようになり、「原子力の, 核の」という意味になった。&lt;/span&gt;</t>
  </si>
  <si>
    <t>&lt;span class="w"&gt;&lt;b&gt;【390.biological：生物学の】&lt;/b&gt;&lt;/span&gt;
&lt;span class="ml"&gt;ギリシャ語に由来する語で、以下の2つの要素から成る。
&lt;span class="spacer"&gt;&lt;/span&gt;bios（生命, 生物）
logy（学問）
&lt;span class="spacer"&gt;&lt;/span&gt;ここから1802年にbiology（生物学）が造られる。そしてここに形容詞を作るicalが付いて「生物学の」という意味になる。&lt;/span&gt;</t>
  </si>
  <si>
    <t>&lt;span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t>
  </si>
  <si>
    <t>&lt;span class="w"&gt;&lt;b&gt;【392.severe：（人・規律・事態・天候が）厳しい】&lt;/b&gt;&lt;/span&gt;
&lt;span class="ml"&gt;ラテン語severus（厳格な,  厳しい）
&lt;span class="spacer"&gt;&lt;/span&gt;「厳格な,  厳しい」からルールが厳しい、行動や規律に厳しい、天候が厳しいといったように「厳しい」の使い方が広がった。&lt;/span&gt;</t>
    <rPh sb="95" eb="96">
      <t>キビ</t>
    </rPh>
    <phoneticPr fontId="1"/>
  </si>
  <si>
    <t>&lt;span class="w"&gt;&lt;b&gt;【393.visual：視覚の, 目に見える】&lt;/b&gt;&lt;/span&gt;
&lt;span class="ml"&gt;ラテン語に由来する語で、以下の2つの要素から成る。
&lt;span class="spacer"&gt;&lt;/span&gt;videre（見る）
alis（形容詞化）
&lt;span class="spacer"&gt;&lt;/span&gt;見るという視覚に関する形容詞となり、「視覚の, 目に見える」という意味になる。&lt;/span&gt;</t>
  </si>
  <si>
    <t>&lt;span class="w"&gt;&lt;b&gt;【394.enormous：莫大な, 巨大な】&lt;/b&gt;&lt;/span&gt;
&lt;span class="ml"&gt;ラテン語に由来する語で、以下の2つの要素から成る。
&lt;span class="spacer"&gt;&lt;/span&gt;ex（外に）
norma（基準, ノルマ）
&lt;span class="spacer"&gt;&lt;/span&gt;このまま日本語にすると「基準の外に」となる。基準から外れている、並外れたというイメージから「莫大な, 巨大な」という意味になる。&lt;/span&gt;</t>
  </si>
  <si>
    <t>&lt;span class="w"&gt;&lt;b&gt;【395.convenient：便利な, 都合のよい】&lt;/b&gt;&lt;/span&gt;
&lt;span class="ml"&gt;ラテン語に由来する語で、以下の2つの要素から成る。
&lt;span class="spacer"&gt;&lt;/span&gt;com（共に）
venire（来る）
&lt;span class="spacer"&gt;&lt;/span&gt;このまま日本語にすると「共に来る」となる。これは何かと何かが一緒に来てそろうイメージ。例えば、条件がそろう、何かを必要としている人とそれを不要としている人が一緒に来るなど。ここから「都合のよい, 便利な」という意味になる。&lt;/span&gt;</t>
  </si>
  <si>
    <t>&lt;span class="w"&gt;&lt;b&gt;【396.domestic：家庭の, 国内の, （動物が）飼い慣らされた】&lt;/b&gt;&lt;/span&gt;
&lt;span class="ml"&gt;ラテン語に由来する語で、以下の2つの要素から成る。
&lt;span class="spacer"&gt;&lt;/span&gt;domus（家）
icus（形容詞化）
&lt;span class="spacer"&gt;&lt;/span&gt;家が形容詞となって「家の, 家庭の」という意味になる。また国をひとつの家と考えて「国内の」という意味にもなる。
&lt;span class="spacer"&gt;&lt;/span&gt;ここで重要なのは、家や国家の「内側」というイメージ。ここから動物に関して、外ではなく家や人の暮らしの中で飼われている＝「飼い慣らされた」という意味になる。&lt;/span&gt;</t>
  </si>
  <si>
    <t>&lt;span class="w"&gt;&lt;b&gt;【397.mass：大規模な, 大量の, 大衆の】&lt;/b&gt;&lt;/span&gt;
&lt;span class="ml"&gt;ラテン語のmassa（こねた生地, 塊）に由来する。
&lt;span class="spacer"&gt;&lt;/span&gt;粉がまとまってできた生地の「塊」というイメージから、多くのものが一つに集まった状態を表し、「大量の, 大規模な, 大衆の」という意味になる。&lt;/span&gt;</t>
  </si>
  <si>
    <t>&lt;span class="w"&gt;&lt;b&gt;【398.typical：典型的な】&lt;/b&gt;&lt;/span&gt;
&lt;span class="ml"&gt;ギリシャ語に由来する語で、以下の2つの要素から成る。
&lt;span class="spacer"&gt;&lt;/span&gt;typos（型, タイプ）
ikos（形容詞化）
&lt;span class="spacer"&gt;&lt;/span&gt;型から形容詞となり、何かの型をよく表しているものを指し、「典型的な」という意味になる。&lt;/span&gt;</t>
    <rPh sb="140" eb="144">
      <t>ケイヨウシカ</t>
    </rPh>
    <rPh sb="174" eb="175">
      <t>カタ</t>
    </rPh>
    <rPh sb="177" eb="180">
      <t>ケイヨウシ</t>
    </rPh>
    <rPh sb="184" eb="185">
      <t>ナニ</t>
    </rPh>
    <rPh sb="211" eb="213">
      <t>イミ</t>
    </rPh>
    <phoneticPr fontId="1"/>
  </si>
  <si>
    <t>&lt;span class="w"&gt;&lt;b&gt;【399.overseas：（副）海外へ, （形）海外の】&lt;/b&gt;&lt;/span&gt;
&lt;span class="ml"&gt;近代英語にさかのぼる語で、以下の2つの要素から成る。
&lt;span class="spacer"&gt;&lt;/span&gt;over（越えて）
sea（海）
&lt;span class="spacer"&gt;&lt;/span&gt;このまま日本語にすると「海を越えて」となり、「海外へ, 海外の」という意味になる。
&lt;span class="spacer"&gt;&lt;/span&gt;overseasは副詞だけではなく形容詞としても使える（overseas company）。&lt;/span&gt;</t>
    <rPh sb="77" eb="81">
      <t>キンダイエイゴ</t>
    </rPh>
    <rPh sb="181" eb="184">
      <t>ニホンゴ</t>
    </rPh>
    <rPh sb="212" eb="214">
      <t>イミ</t>
    </rPh>
    <phoneticPr fontId="1"/>
  </si>
  <si>
    <t>&lt;span class="w"&gt;&lt;b&gt;【401.demonstrate：〜を論証する, デモをする】&lt;/b&gt;&lt;/span&gt;
&lt;span class="ml"&gt;ラテン語に由来する語で、以下の2つの要素から成る。
&lt;span class="spacer"&gt;&lt;/span&gt;de（完全に）
monstrare（指し示す）
&lt;span class="spacer"&gt;&lt;/span&gt;このまま日本語にすると「完全に指し示す」となる。これは、ただ言うだけではなく、証拠や行動によってはっきり示すイメージ。
&lt;span class="spacer"&gt;&lt;/span&gt;議論や推論によって真実を指し示すことから「論証する」、実際にやって見せて指し示すことから「デモをする, 実演する」という意味になる。&lt;/span&gt;</t>
  </si>
  <si>
    <t>&lt;span class="w"&gt;&lt;b&gt;【402.behave：振る舞う】&lt;/b&gt;&lt;/span&gt;
&lt;span class="ml"&gt;中英語にさかのぼる語で、以下の2つの要素から成る。
&lt;span class="spacer"&gt;&lt;/span&gt;be（強意）
have（特定の方法で自分を持つ）
&lt;span class="spacer"&gt;&lt;/span&gt;特定の方法で自分を持つことから、特定の仕方で自分の行動を持つ、つまり「振る舞う」という意味になる。&lt;/span&gt;</t>
  </si>
  <si>
    <t>&lt;span class="w"&gt;&lt;b&gt;【403.educate：〜を教育する】&lt;/b&gt;&lt;/span&gt;
&lt;span class="ml"&gt;ラテン語に由来する語で、以下の2つの要素から成る。
&lt;span class="spacer"&gt;&lt;/span&gt;ex（外に）
ducere（導く）
&lt;span class="spacer"&gt;&lt;/span&gt;このまま日本語にすると「外へ導く」となる。これはもともと内側にあるものを外へ引き出すイメージから、知能や能力を引き出して成長させることを表し、「教育する」という意味になる。&lt;/span&gt;</t>
  </si>
  <si>
    <t>&lt;span class="w"&gt;&lt;b&gt;【404.purchase：〜を購入する】&lt;/b&gt;&lt;/span&gt;
&lt;span class="ml"&gt;古フランス語に由来する語で、以下の2つの要素から成る。
&lt;span class="spacer"&gt;&lt;/span&gt;pur（前へ）
chacier（追いかける：chaseの語源）
&lt;span class="spacer"&gt;&lt;/span&gt;このまま日本語にすると「前へ追いかける」となる。これは目標に向かって追いかけて手に入れるイメージ。そこから特にお金を払って手に入れる＝「購入する」という意味になる。&lt;/span&gt;</t>
  </si>
  <si>
    <t>&lt;span class="w"&gt;&lt;b&gt;【405.recommend：〜を勧める】&lt;/b&gt;&lt;/span&gt;
&lt;span class="ml"&gt;ラテン語に由来する語で、以下の2つの要素から成る。
&lt;span class="spacer"&gt;&lt;/span&gt;re（強意）
com（強意）
mendare（任せる）
&lt;span class="spacer"&gt;&lt;/span&gt;このまま日本語にすると「（人や物を）誰かに任せる」となる。特に信頼できるもの、価値あるものとして任せることから「勧める」という意味になる。&lt;/span&gt;</t>
  </si>
  <si>
    <t>&lt;span class="w"&gt;&lt;b&gt;【406.admit：〜を認める, 入場・入学を認める】&lt;/b&gt;&lt;/span&gt;
&lt;span class="ml"&gt;ラテン語に由来する語で、以下の2つの要素から成る。
&lt;span class="spacer"&gt;&lt;/span&gt;ad（～へ）
mittere（送る, 放つ）
&lt;span class="spacer"&gt;&lt;/span&gt;このまま日本語にすると「〜へ送る」となる。これは、外から来たものをそのまま内側へ送るイメージ。そこから、学校や会場で内側へ送るなら「入場・入学を認める」、議論において主張や真実を内側に送るなら「認める」という意味になる。
&lt;div class="sample_image admit"&gt;&lt;/div&gt;&lt;/span&gt;</t>
  </si>
  <si>
    <t>&lt;span class="w"&gt;&lt;b&gt;【407.generate：〜を生み出す】&lt;/b&gt;&lt;/span&gt;
&lt;span class="ml"&gt;ラテン語genus（種族,  血統, 性別）から派生した動詞generare（生む, 生じさせる）に由来する。
&lt;span class="spacer"&gt;&lt;/span&gt;印欧祖語*gene-（生む, 産む）と同じく「生み出す」という意味になる。
&lt;span class="spacer"&gt;&lt;/span&gt;名詞generationは同時代の種族全体や生むこと自体を表して「世代, 発生」という意味になる。
&lt;span class="spacer"&gt;&lt;/span&gt;形容詞generalは「種族全体に関する」から「一般的な」という意味になる。&lt;/span&gt;</t>
  </si>
  <si>
    <t>&lt;span class="w"&gt;&lt;b&gt;【408.explore：探検する, 調査する】&lt;/b&gt;&lt;/span&gt;
&lt;span class="ml"&gt;ラテン語に由来する語で、以下の2つの要素から成る。
&lt;span class="spacer"&gt;&lt;/span&gt;ex（外へ）
plorare（泣く, 叫ぶ）
&lt;span class="spacer"&gt;&lt;/span&gt;このまま日本語にすると「外へ叫ぶ」となる。これは、外に向かって声を出して様子を確かめるイメージ。
&lt;span class="spacer"&gt;&lt;/span&gt;古い説明では、狩猟の際に声をあげて獲物の様子を探ったことに由来するとも考えられている。そこから、未知の場所や物事を実際に確かめることを表し、「探検する・調査する」という意味になった。
&lt;div class="sample_image explore"&gt;&lt;/div&gt;&lt;/span&gt;</t>
  </si>
  <si>
    <t>&lt;span class="w"&gt;&lt;b&gt;【409.amaze：〜をびっくりさせる】&lt;/b&gt;&lt;/span&gt;
&lt;span class="ml"&gt;古英語amasod（呆然とした）にさかのぼる語。a（強意）と*mæs（迷宮）から成ると考えられる。
&lt;span class="spacer"&gt;&lt;/span&gt;人を迷宮に入れたような状態にすることから、相手をどうしたらよいかわからなくするイメージ。そこから驚きや衝撃で頭を混乱させることを表し、「びっくりさせる」という意味になる。&lt;/span&gt;</t>
  </si>
  <si>
    <t>&lt;span class="w"&gt;&lt;b&gt;【412.afford：〜する余裕がある】&lt;/b&gt;&lt;/span&gt;
&lt;span class="ml"&gt;古英語にさかのぼり、以下の2つの要素から成る。
&lt;span class="spacer"&gt;&lt;/span&gt;ge（完了）
forð（前へ：forthの語源）から派生した動詞forðian（前進させる）
&lt;span class="spacer"&gt;&lt;/span&gt;このまま日本語にすると「前へ進むことを完了する」となる。これは物事を前へ進めて実現するイメージ。そこから何かを実現するための費用や労力をもっていることを表し、「〜する余裕がある」という意味になった。&lt;/span&gt;</t>
  </si>
  <si>
    <t>&lt;span class="w"&gt;&lt;b&gt;【413.conclude：〜と結論づける, 〜を締めくくる】&lt;/b&gt;&lt;/span&gt;
&lt;span class="ml"&gt;ラテン語に由来する語で、以下の2つの要素から成る。
&lt;span class="spacer"&gt;&lt;/span&gt;com（共に）
claudere（閉じる：closeの語源）
&lt;span class="spacer"&gt;&lt;/span&gt;このまま日本語にすると「共に閉じる」となる。これはバラバラだったものをまとめて閉じるイメージ。そこから、議論や事柄をまとめて閉じ込める＝「結論づける, 締めくくる」という意味になる。
&lt;div class="sample_image conclude"&gt;&lt;/div&gt;&lt;/span&gt;</t>
  </si>
  <si>
    <t>&lt;span class="w"&gt;&lt;b&gt;【414.advertise：〜を宣伝する】&lt;/b&gt;&lt;/span&gt;
&lt;span class="ml"&gt;ラテン語に由来する語で、以下の2つの要素から成る。
&lt;span class="spacer"&gt;&lt;/span&gt;ad（〜へ）
vertere（回す, 向ける）
&lt;span class="spacer"&gt;&lt;/span&gt;この語の核は「注意をある方向へ向けさせる」ということ。人の注意を特定の対象に向けさせることから、商品などに目を向けさせる＝「何かを宣伝する」という意味になる。
&lt;div class="sample_image advertise"&gt;&lt;/div&gt;&lt;/span&gt;</t>
  </si>
  <si>
    <t>&lt;span class="w"&gt;&lt;b&gt;【415.encounter：〜に遭遇する, 〜に偶然出会う】&lt;/b&gt;&lt;/span&gt;
&lt;span class="ml"&gt;ラテン語に由来する語で、以下の2つの要素から成る。
&lt;span class="spacer"&gt;&lt;/span&gt;in（中に）
contra（反対して, 〜に対して）
&lt;span class="spacer"&gt;&lt;/span&gt;この語の核は「何かと対する状況の中にいる」ということ。何かと向かい合う状況の中にいるイメージから「遭遇する, 偶然出会う」という意味になる。
&lt;div class="sample_image encounter"&gt;&lt;/div&gt;&lt;/span&gt;</t>
  </si>
  <si>
    <t>&lt;span class="w"&gt;&lt;b&gt;【416.remind：〜に思い出させる】&lt;/b&gt;&lt;/span&gt;
&lt;span class="ml"&gt;近代英語にさかのぼり、以下の2つの要素から成る。
&lt;span class="spacer"&gt;&lt;/span&gt;re（再び）
mind（心にとめる）
&lt;span class="spacer"&gt;&lt;/span&gt;このまま日本語にすると「再び心にとめる」となる。誰かに対してもう一度心にとめさせることから、「思い出させる」という意味になる。&lt;/span&gt;</t>
  </si>
  <si>
    <t>&lt;span class="w"&gt;&lt;b&gt;【417.locate：（受け身で）位置する】&lt;/b&gt;&lt;/span&gt;
&lt;span class="ml"&gt;ラテン語locare（置く）に由来する。
&lt;span class="spacer"&gt;&lt;/span&gt;Aをある場所に置くということは、受け身になると、Aはある場所に「位置する」という意味になる。&lt;/span&gt;</t>
  </si>
  <si>
    <t>&lt;span class="w"&gt;&lt;b&gt;【418.aid：〜を援助する, 助ける】&lt;/b&gt;&lt;/span&gt;
&lt;span class="ml"&gt;ラテン語に由来する語で、以下の2つの要素から成る。
&lt;span class="spacer"&gt;&lt;/span&gt;ad（〜へ）
iuvare（助ける, 援助する）
&lt;span class="spacer"&gt;&lt;/span&gt;&lt;/span&gt;</t>
  </si>
  <si>
    <t>&lt;span class="w"&gt;&lt;b&gt;【419.bite：かむ, 噛みつく】&lt;/b&gt;&lt;/span&gt;
&lt;span class="ml"&gt;古英語bitan（歯で刺す, 噛む）にさかのぼる。
&lt;span class="spacer"&gt;&lt;/span&gt;古英語から意味の変化はほとんどない。biteは、bitterと同じ印欧祖語にさかのぼる。噛んで（bite）感じる苦味がbitterとなった。&lt;/span&gt;</t>
  </si>
  <si>
    <t>&lt;span class="w"&gt;&lt;b&gt;【420.deliver：〜を配達する】&lt;/b&gt;&lt;/span&gt;
&lt;span class="ml"&gt;ラテン語に由来する語で、以下の2つの要素から成る。
&lt;span class="spacer"&gt;&lt;/span&gt;de（離れて）
liber（自由な）から派生したliberare（自由にする, 解放する）
&lt;span class="spacer"&gt;&lt;/span&gt;このまま日本語にすると「離して自由にする」となる。これは、何かを手元から手放すイメージ。そこから、物を相手へ渡すことを表し、「配達する」という意味になる。&lt;/span&gt;</t>
  </si>
  <si>
    <t>&lt;span class="w"&gt;&lt;b&gt;【421.perceive：〜に気づく, 〜を知覚する, 〜を理解する】&lt;/b&gt;&lt;/span&gt;
&lt;span class="ml"&gt;ラテン語に由来する語で、以下の2つの要素から成る。
&lt;span class="spacer"&gt;&lt;/span&gt;per（完全に）
capere（取る, つかむ）
&lt;span class="spacer"&gt;&lt;/span&gt;このまま日本語にすると「完全につかむ」となる。物理的につかむことから、心で対象をとらえることへ発展し、「知覚する, 気づく, 理解する」という意味になる。
&lt;div class="sample_image perceive"&gt;&lt;/div&gt;&lt;/span&gt;</t>
  </si>
  <si>
    <t>&lt;span class="w"&gt;&lt;b&gt;【422.distinguish：〜を区別する】&lt;/b&gt;&lt;/span&gt;
&lt;span class="ml"&gt;ラテン語に由来する語で、以下の2つの要素から成る。
&lt;span class="spacer"&gt;&lt;/span&gt;dis（離れて）
stinguere（突く, 刺激する）
&lt;span class="spacer"&gt;&lt;/span&gt;このまま日本語にすると「突き刺して離す」となる。ここから何かを分ける＝「区別する」という意味になる。&lt;/span&gt;</t>
  </si>
  <si>
    <t>&lt;span class="w"&gt;&lt;b&gt;【423.imply：〜を暗に意味する】&lt;/b&gt;&lt;/span&gt;
&lt;span class="ml"&gt;ラテン語に由来する語で、以下の2つの要素から成る。
&lt;span class="spacer"&gt;&lt;/span&gt;in（中に）
plicare（折る, 畳む）
&lt;span class="spacer"&gt;&lt;/span&gt;このまま日本語にすると「中に折る」となる。これは、何かを中に入れた状態で折りたたんで包み込むイメージ。そこから、言葉の中に直接は言わない意味を包み込むことを表し、「暗に意味する」という意味になる。
&lt;div class="sample_image imply"&gt;&lt;/div&gt;&lt;/span&gt;</t>
  </si>
  <si>
    <t>&lt;span class="w"&gt;&lt;b&gt;【424.handle：〜を処理する, 扱う, 〜を商う】&lt;/b&gt;&lt;/span&gt;
&lt;span class="ml"&gt;古英語のhand（手）から派生した動詞handlian（手で触る, 取り扱う）にさかのぼる。
&lt;span class="spacer"&gt;&lt;/span&gt;手で触ることから、それを「扱う, 処理する」という意味になる。商売の文脈では、商品を扱う＝「商う」という意味になる。&lt;/span&gt;</t>
  </si>
  <si>
    <t>&lt;span class="w"&gt;&lt;b&gt;【425.praise：〜を賞賛する】&lt;/b&gt;&lt;/span&gt;
&lt;span class="ml"&gt;ラテン語pretium（価値：priceの語源）から派生した動詞pretiare（値段をつける, 評価する）に由来する。
&lt;span class="spacer"&gt;&lt;/span&gt;この語の核は、何かに価値をつけて評価すること。praiseは、特に高い価値や価格をつけることを表し、「賞賛する」という意味になる。
&lt;div class="sample_image praise"&gt;&lt;/div&gt;&lt;/span&gt;</t>
  </si>
  <si>
    <t>&lt;span class="w"&gt;&lt;b&gt;【426.appeal：訴える, 抗議する, 上訴する】&lt;/b&gt;&lt;/span&gt;
&lt;span class="ml"&gt;ラテン語に由来する語で、以下の2つの要素から成る。
&lt;span class="spacer"&gt;&lt;/span&gt;ad（〜へ）
pellere（打つ, 押す）
&lt;span class="spacer"&gt;&lt;/span&gt;このまま日本語にすると「〜へ押す」となる。これは、相手へ向かって強く働きかけるイメージ。そこから、人に向かって訴えかけることを表し、何かを「訴える, 抗議する, 上訴する」という意味になった。&lt;/span&gt;</t>
  </si>
  <si>
    <t>&lt;span class="w"&gt;&lt;b&gt;【427.insist：主張する】&lt;/b&gt;&lt;/span&gt;
&lt;span class="ml"&gt;ラテン語に由来する語で、以下の2つの要素から成る。
&lt;span class="spacer"&gt;&lt;/span&gt;in（中に, 上に）
sistere（立たせる）
&lt;span class="spacer"&gt;&lt;/span&gt;このまま日本語にすると「上に立たせる」となる。これは、ある場所や立場にしっかり立たせるイメージ。そこから、自分の立場にしっかり立って動かないことを表し、「強く主張する」という意味になる。
&lt;div class="sample_image insist"&gt;&lt;/div&gt;&lt;/span&gt;</t>
  </si>
  <si>
    <t>&lt;span class="w"&gt;&lt;b&gt;【428.compete：競う, 匹敵する】&lt;/b&gt;&lt;/span&gt;
&lt;span class="ml"&gt;ラテン語に由来する語で、以下の2つの要素から成る。
&lt;span class="spacer"&gt;&lt;/span&gt;com（共に）
petere（求める, 目指す）
&lt;span class="spacer"&gt;&lt;/span&gt;このまま日本語にすると「共に求める」となる。同じ目標を持つ人同士が争うことから「競う」という意味になる。また競い合えるということは、両者は同じレベルなので「匹敵する」という意味にもなる。&lt;/span&gt;</t>
  </si>
  <si>
    <t>&lt;span class="w"&gt;&lt;b&gt;【429.rank：〜を評価する, 〜を位置づける】&lt;/b&gt;&lt;/span&gt;
&lt;span class="ml"&gt;古フランス語ranc（列, 並び）に由来する。
&lt;span class="spacer"&gt;&lt;/span&gt;この語の核は、物事を列に並べること。そこから、順序をつけて位置を決めることを表し、「評価する, 位置づける」という意味になる。&lt;/span&gt;</t>
  </si>
  <si>
    <t>&lt;span class="w"&gt;&lt;b&gt;【430.deny：〜を否定する, 〜を拒む】&lt;/b&gt;&lt;/span&gt;
&lt;span class="ml"&gt;ラテン語に由来する語で、以下の2つの要素から成る。
&lt;span class="spacer"&gt;&lt;/span&gt;de（離れて）
negāre（否定する）
&lt;span class="spacer"&gt;&lt;/span&gt;ラテン語から意味の変化はほとんどなく「否定する, 拒む」という意味になる。&lt;/span&gt;</t>
  </si>
  <si>
    <t>&lt;span class="w"&gt;&lt;b&gt;【431.reject：〜を拒否する】&lt;/b&gt;&lt;/span&gt;
&lt;span class="ml"&gt;ラテン語に由来する語で、以下の2つの要素から成る。
&lt;span class="spacer"&gt;&lt;/span&gt;re（逆に, 後ろへ）
iacere（投げる）
&lt;span class="spacer"&gt;&lt;/span&gt;このまま日本語にすると「逆に投げる」となる。これは、相手が差し出したものを投げて返すイメージ。そこから申し出や考えを「拒否する」という意味になる。
&lt;span class="spacer"&gt;&lt;/span&gt;rejectは、基準に達していなかったり、不適切と判断されたりすることによる拒否。
&lt;div class="sample_image reject"&gt;&lt;/div&gt;&lt;/span&gt;</t>
  </si>
  <si>
    <t>&lt;span class="w"&gt;&lt;b&gt;【432.intend：〜を意図する】&lt;/b&gt;&lt;/span&gt;
&lt;span class="ml"&gt;ラテン語に由来する語で、以下の2つの要素から成る。
&lt;span class="spacer"&gt;&lt;/span&gt;in（中に）
tendere（伸ばす）
&lt;span class="spacer"&gt;&lt;/span&gt;このまま日本語にすると「中に伸ばす」となる。これは、対象の中に心や注意を伸ばすイメージ。そこから、目的に心や注意を向ける＝「意図する」という意味になる。
&lt;div class="sample_image intend"&gt;&lt;/div&gt;&lt;/span&gt;</t>
  </si>
  <si>
    <t>&lt;span class="w"&gt;&lt;b&gt;【433.expose：～をさらす, 〜を暴露する】&lt;/b&gt;&lt;/span&gt;
&lt;span class="ml"&gt;ラテン語に由来する語で、以下の2つの要素から成る。
&lt;span class="spacer"&gt;&lt;/span&gt;ex（外に）
ponere（置く）
&lt;span class="spacer"&gt;&lt;/span&gt;このまま日本語にすると「外に置く」となる。これは、内側にあるものを外側に置くイメージ。そこから何かを「さらす, 暴露する」という意味になる。
&lt;div class="sample_image expose"&gt;&lt;/div&gt;&lt;/span&gt;</t>
  </si>
  <si>
    <t>&lt;span class="w"&gt;&lt;b&gt;【434.favor：〜に賛成する, 〜を好む, 〜をひいきする】&lt;/b&gt;&lt;/span&gt;
&lt;span class="ml"&gt;ラテン語favor（好意, 支持, 偏愛）に由来する。
&lt;span class="spacer"&gt;&lt;/span&gt;この語の核は、相手に対して好意を持つこと。相手の考えを支持することから「賛成する」、好意を持って選ぶことから「好む」、特に強い好意を示すことから「ひいきする」という意味になる。&lt;/span&gt;</t>
  </si>
  <si>
    <t>&lt;span class="w"&gt;&lt;b&gt;【435.inspire：（人）を奮起させる】&lt;/b&gt;&lt;/span&gt;
&lt;span class="ml"&gt;ラテン語に由来する語で、以下の2つの要素から成る。
&lt;span class="spacer"&gt;&lt;/span&gt;in（中に）
spirāre（息をする）
&lt;span class="spacer"&gt;&lt;/span&gt;このまま日本語にすると「中へ息を吹き込む」となる。ここでの「息」は、もともと宗教的な意味で、神や霊の力や影響を表す。命や活力を相手の中に吹き込むイメージから、心に力や考えを与えることを表し、「奮起させる, ひらめきを与える」という意味になる。&lt;/span&gt;</t>
  </si>
  <si>
    <t>&lt;span class="w"&gt;&lt;b&gt;【436.propose：〜を提案する】&lt;/b&gt;&lt;/span&gt;
&lt;span class="ml"&gt;ラテン語に由来する語で、以下の2つの要素から成る。
&lt;span class="spacer"&gt;&lt;/span&gt;pro（前へ）
ponere（置く）
&lt;span class="spacer"&gt;&lt;/span&gt;このまま日本語にすると「前に置く」となる。意見や考えを相手の前に置くイメージから「提案する」という意味になる。&lt;/span&gt;</t>
  </si>
  <si>
    <t>&lt;span class="w"&gt;&lt;b&gt;【437.spell：（単語）を綴る】&lt;/b&gt;&lt;/span&gt;
&lt;span class="ml"&gt;古フランス語espelir（意味する, 説明する, 文字をつづる）に由来する。
&lt;span class="spacer"&gt;&lt;/span&gt;古フランス語から意味の変化はほとんどない。&lt;/span&gt;</t>
  </si>
  <si>
    <t>&lt;span class="w"&gt;&lt;b&gt;【438.breathe：呼吸する】&lt;/b&gt;&lt;/span&gt;
&lt;span class="ml"&gt;古英語bræð（息：breathの語源）にさかのぼる。
&lt;span class="spacer"&gt;&lt;/span&gt;breath（息）からbreathe（呼吸する）と覚えれば良い。&lt;/span&gt;</t>
  </si>
  <si>
    <t>&lt;span class="w"&gt;&lt;b&gt;【439.repair：〜を修理する, 〜を修復する】&lt;/b&gt;&lt;/span&gt;
&lt;span class="ml"&gt;ラテン語に由来する語で、以下の2つの要素から成る。
&lt;span class="spacer"&gt;&lt;/span&gt;re（再び）
parāre（整える）
&lt;span class="spacer"&gt;&lt;/span&gt;このまま日本語にすると「再び整える」となる。もとの状態に整えることから「修理する, 修復する」という意味になる。&lt;/span&gt;</t>
  </si>
  <si>
    <t>&lt;span class="w"&gt;&lt;b&gt;【441.comment：意見, コメント】&lt;/b&gt;&lt;/span&gt;
&lt;span class="ml"&gt;ラテン語ラテン語に由来する語で、以下の2つの要素から成る。
&lt;span class="spacer"&gt;&lt;/span&gt;com（強意）
mēns（心）に関連する動詞meminisse（思い出す）
&lt;span class="spacer"&gt;&lt;/span&gt;この語の核は、心（mind）で考えること。そこから考え出されたもの＝「意見, コメント」という意味になる。&lt;/span&gt;</t>
  </si>
  <si>
    <t>&lt;span class="w"&gt;&lt;b&gt;【442.instruction：指示, 使用書】&lt;/b&gt;&lt;/span&gt;
&lt;span class="ml"&gt;ラテン語に由来する語で、以下の2つの要素から成る。
&lt;span class="spacer"&gt;&lt;/span&gt;in（中に）
struere（積み上げる）
&lt;span class="spacer"&gt;&lt;/span&gt;このまま日本語にすると「中に積み上げる」となる。これは、相手の中に知識や方法を積み上げていくイメージ。そこから、何かをするための知識や手順を与えることを表し、「指示, 使用書」という意味になる。&lt;/span&gt;</t>
  </si>
  <si>
    <t>&lt;span class="w"&gt;&lt;b&gt;【443.religion：宗教, 信仰】&lt;/b&gt;&lt;/span&gt;
&lt;span class="ml"&gt;ラテン語に由来する語で、一説には以下の3つの要素から成るとされる。
&lt;span class="spacer"&gt;&lt;/span&gt;re（強意）
ligare（結ぶ）
io（名詞化）
&lt;span class="spacer"&gt;&lt;/span&gt;このまま日本語にすると「しっかりと結びつく」となる。人と神が結びつくイメージから「宗教, 信仰」という意味になる。
&lt;div class="sample_image religion"&gt;&lt;/div&gt;&lt;/span&gt;</t>
  </si>
  <si>
    <t>&lt;span class="w"&gt;&lt;b&gt;【444.neighborhood：地域, 近所】&lt;/b&gt;&lt;/span&gt;
&lt;span class="ml"&gt;古英語と中英語にさかのぼる語で、以下の3つの要素から成る。
&lt;span class="spacer"&gt;&lt;/span&gt;neah（近い）
gebur（住人）
hood（状態や性質を表す）※中英語で付いた
&lt;span class="spacer"&gt;&lt;/span&gt;このまま日本語にすると「近くの住人である状態」となる。ここから、隣人同士が集まっている関係や場所を表し、「近所」や近所の「地域」という意味になる。
&lt;span class="spacer"&gt;&lt;/span&gt;古英語neah（近い）は、現代英語nearの語源でもある。nearは、もともと古英語neahの比較級だったが、いまでは原級として使われている。
&lt;span class="spacer"&gt;&lt;/span&gt;また、状態を表すhoodは、childhoodにも見られる。これは「子どもである状態」からその期間である「子ども時代」となる。&lt;/span&gt;</t>
  </si>
  <si>
    <t>&lt;span class="w"&gt;&lt;b&gt;【445.laboratory：研究室, 実験室】&lt;/b&gt;&lt;/span&gt;
&lt;span class="ml"&gt;ラテン語に由来する語で、以下の2つの要素から成る。
&lt;span class="spacer"&gt;&lt;/span&gt;labor（労働）から派生した動詞laborare（働く）
orium（〜する場所）
&lt;span class="spacer"&gt;&lt;/span&gt;このまま日本語にすると「働く場所」となる。労働や作業のための場所から、特に科学実験のための部屋や建物を指すようになり、「実験室, 研究室」という意味になる。&lt;/span&gt;</t>
  </si>
  <si>
    <t>&lt;span class="w"&gt;&lt;b&gt;【446.presence：存在, 出席, 面前】&lt;/b&gt;&lt;/span&gt;
&lt;span class="ml"&gt;ラテン語に由来する語で、以下の2つの要素から成る。
&lt;span class="spacer"&gt;&lt;/span&gt;prae（前に）
esse（存在する）
&lt;span class="spacer"&gt;&lt;/span&gt;このまま日本語にすると「前に存在する」となる。目の前に存在するというイメージから「存在, 出席, 面前」という意味になる。
&lt;span class="spacer"&gt;&lt;/span&gt;形容詞present（存在している, 出席している, 現在の）も同じ語源。&lt;/span&gt;</t>
  </si>
  <si>
    <t>&lt;span class="w"&gt;&lt;b&gt;【447.confidence：自信】&lt;/b&gt;&lt;/span&gt;
&lt;span class="ml"&gt;ラテン語に由来する語で、以下の2つの要素から成る。
&lt;span class="spacer"&gt;&lt;/span&gt;con（強意）
fidere（信頼する）
&lt;span class="spacer"&gt;&lt;/span&gt;このまま日本語にすると「完全に信頼する」となる。この信頼から生まれる「自信, 確信」というイメージ。&lt;/span&gt;</t>
  </si>
  <si>
    <t>&lt;span class="w"&gt;&lt;b&gt;【448.harm：害, 悪影響】&lt;/b&gt;&lt;/span&gt;
&lt;span class="ml"&gt;古英語hearm（傷, 痛み, 害, 悪）にさかのぼる。
&lt;span class="spacer"&gt;&lt;/span&gt;傷や痛みという直接的な感覚から、そこから広がる「害, 悪影響」という意味になる。&lt;/span&gt;</t>
  </si>
  <si>
    <t>&lt;span class="w"&gt;&lt;b&gt;【449.instrument：器具, 道具,  楽器】&lt;/b&gt;&lt;/span&gt;
&lt;span class="ml"&gt;ラテン語に由来する語で、以下の3つの要素から成る。
&lt;span class="spacer"&gt;&lt;/span&gt;in（中に）
struere（積み上げる）
mentum（名詞化）
&lt;span class="spacer"&gt;&lt;/span&gt;このまま日本語にすると「中に積み上げるもの」となる。これは、何かを秩序立てて築き上げるための手段というイメージ。そこから、何かを作り上げる・目的を達成するため手段＝「器具, 道具」という意味になり、音楽を作り上げるためのものなら「楽器」という意味になる。
&lt;div class="sample_image instrument"&gt;&lt;/div&gt;&lt;/span&gt;</t>
  </si>
  <si>
    <t>&lt;span class="w"&gt;&lt;b&gt;【450.category：区分, 分類, 範疇, カテゴリー】&lt;/b&gt;&lt;/span&gt;
&lt;span class="ml"&gt;ギリシャ語に由来する語で、以下の2つの要素から成る。
&lt;span class="spacer"&gt;&lt;/span&gt;kata（下へ, 反対に）
agora（公共の集会, 広場）から派生した動詞agoreuein（公の場で演説する）
&lt;span class="spacer"&gt;&lt;/span&gt;もともとは「公共の場所（広場）での演説」、特に「告発」や「非難」を意味する言葉だった。この「ある対象に対して『Xは〜である』と公言する」というニュアンスを持つkatēgoriaを、アリストテレスは論理学において「主語に対する述語づけ（XはYであると語る）」を表す専門用語として採用した。
&lt;span class="spacer"&gt;&lt;/span&gt;そこからkatēgoriaは、アリストテレスが主語を説明するために用いた「実体・量・質・関係」など10個の基本的な枠組み（範疇）を指す言葉となり、それが一般化して現代の「区分、分類、カテゴリー」という意味になった。&lt;/span&gt;</t>
  </si>
  <si>
    <t>&lt;span class="w"&gt;&lt;b&gt;【452.outcome：結果, 成り行き】&lt;/b&gt;&lt;/span&gt;
&lt;span class="ml"&gt;近代英語にさかのぼり、以下の2つの要素から成る。
&lt;span class="spacer"&gt;&lt;/span&gt;out（外に）
come（来る）
&lt;span class="spacer"&gt;&lt;/span&gt;このまま日本語にすると「外に来る」となる。これは、何かから生じるものを表し、「結果, 成り行き」という意味になる。&lt;/span&gt;</t>
  </si>
  <si>
    <t>&lt;span class="w"&gt;&lt;b&gt;【453.notion：概念, 考え】&lt;/b&gt;&lt;/span&gt;
&lt;span class="ml"&gt;ラテン語に由来する語で、以下の2つの要素から成る。
&lt;span class="spacer"&gt;&lt;/span&gt;noscere（知る）
io（名詞化）
&lt;span class="spacer"&gt;&lt;/span&gt;この語の核は「知られているもの」。ここから頭の中にある「考え, 概念」という意味になる。&lt;/span&gt;</t>
  </si>
  <si>
    <t>&lt;span class="w"&gt;&lt;b&gt;【454.review：論評, 復習】&lt;/b&gt;&lt;/span&gt;
&lt;span class="ml"&gt;ラテン語に由来する語で、以下の2つの要素から成る。
&lt;span class="spacer"&gt;&lt;/span&gt;re（再び）
videre（見る）
&lt;span class="spacer"&gt;&lt;/span&gt;このまま日本語にすると「再び見る」となる。15世紀半ばには、軍事において、訓練を繰り返し見てその有効性を評価することを表した。そこから書籍や何かを評価すること＝「論評」という意味になる。
&lt;span class="spacer"&gt;&lt;/span&gt;また過去を繰り返し振り返ることから「復習」という意味にもなる。&lt;/span&gt;</t>
  </si>
  <si>
    <t>&lt;span class="w"&gt;&lt;b&gt;【455.trait：特性, 特徴】&lt;/b&gt;&lt;/span&gt;
&lt;span class="ml"&gt;ラテン語trahere（引く）に由来する。
&lt;span class="spacer"&gt;&lt;/span&gt;もともとは「（物理的にものを）引っ張る」という動作を意味していたが、そこからペンや筆で「引かれた線」を指すようになった。
&lt;span class="spacer"&gt;&lt;/span&gt;特に顔の絵を描く際の線は、他者と区別される「その人固有の顔立ち（身体的特徴）」となることから、最終的に目に見えない内面的な「特徴, 特性」という意味へと発展した。
&lt;div class="sample_image trait"&gt;&lt;/div&gt;&lt;/span&gt;</t>
  </si>
  <si>
    <t>&lt;span class="w"&gt;&lt;b&gt;【456.diversity：多様性, 相違点】&lt;/b&gt;&lt;/span&gt;
&lt;span class="ml"&gt;ラテン語に由来する語で、以下の3つの要素から成る。
&lt;span class="spacer"&gt;&lt;/span&gt;dis（離れて）
vertere（回す, 向ける）
tas（名詞化）
&lt;span class="spacer"&gt;&lt;/span&gt;このまま日本語にすると「離れた（異なる）方向に向けること」となる。これは、それぞれが異なる方向を向いているイメージ。そこから、物事がさまざまに分かれている状態を表し、「多様性, 相違点」という意味になる。&lt;/span&gt;</t>
  </si>
  <si>
    <t>&lt;span class="w"&gt;&lt;b&gt;【457.victim：犠牲, 被害者】&lt;/b&gt;&lt;/span&gt;
&lt;span class="ml"&gt;ラテン語victima（神に捧げる生贄としての動物や人）に由来する。
&lt;span class="spacer"&gt;&lt;/span&gt;もともとは、宗教的な意味で神に捧げられる犠牲や生贄を表した。しだいに宗教的な意味から、暴力的・社会的・心理的な被害へと発展し、他者によって傷つけられる・災害によって被害を受けるという「犠牲（者）, 被害者」という意味になった。&lt;/span&gt;</t>
  </si>
  <si>
    <t>&lt;span class="w"&gt;&lt;b&gt;【459.facility：施設, 設備】&lt;/b&gt;&lt;/span&gt;
&lt;span class="ml"&gt;ラテン語に由来する語で、以下の3つの要素から成る。
&lt;span class="spacer"&gt;&lt;/span&gt;facere（行う, 作る）
ilis（形容詞化）
tas（名詞化）
&lt;span class="spacer"&gt;&lt;/span&gt;この語は「行う」から「行いやすい, 容易な」という形容詞、そして「行いやすいこと, 容易さ」という名詞へと発展した。
&lt;span class="spacer"&gt;&lt;/span&gt;ここから、物事を容易に行える性質や能力を表し、さらにそうした「行いやすさ」を実現するための具体的な手段である「施設・設備」という意味になった。&lt;/span&gt;</t>
  </si>
  <si>
    <t>&lt;span class="w"&gt;&lt;b&gt;【460.stock：在庫品, 蓄え, 株】&lt;/b&gt;&lt;/span&gt;
&lt;span class="ml"&gt;古英語stocc（木の幹, 切り株）にさかのぼる。
&lt;span class="spacer"&gt;&lt;/span&gt;木の幹は植物の中心であり、そこから成長して広がっていくことから、何かの「もとになるもの, 蓄え」というイメージになる。そこから「蓄え」という意味になる。
&lt;span class="spacer"&gt;&lt;/span&gt;また、商人が持つ商品としての蓄えから「在庫品」、さらに事業のもととなる資本や元手から「株」という意味にもなった。</t>
  </si>
  <si>
    <t>&lt;span class="w"&gt;&lt;b&gt;【461.conference：会議, 協議】&lt;/b&gt;&lt;/span&gt;
&lt;span class="ml"&gt;ラテン語に由来する語で、以下の2つの要素から成る。
&lt;span class="spacer"&gt;&lt;/span&gt;com（共に）
ferre（運ぶ）
&lt;span class="spacer"&gt;&lt;/span&gt;このまま日本語にすると「共に運ぶ」となる。これは、人々が意見や話題を持ち寄って集まるというイメージ。そこから、意見や問題を持ち寄って話し合う「会議, 協議」という意味になる。
&lt;div class="sample_image conference"&gt;&lt;/div&gt;&lt;/span&gt;</t>
  </si>
  <si>
    <t>&lt;span class="w"&gt;&lt;b&gt;【462.humanity：人類, 人間性, （the humanities）人文科学】&lt;/b&gt;&lt;/span&gt;
&lt;span class="ml"&gt;ラテン語に由来する語で、以下の3つの要素から成る。
&lt;span class="spacer"&gt;&lt;/span&gt;humus（土, 地面）
us（形容詞化）
tas（名詞化）
&lt;span class="spacer"&gt;&lt;/span&gt;humus＋usから成るラテン語humanusは、human（人間）の語源でもある。天に存在する神に対して、地上に生きる存在である「人間の」を意味する。
&lt;span class="spacer"&gt;&lt;/span&gt;この形容詞が名詞となり、人間としての性質や人間全体を表し、「人間性, 人類」という意味になった。また学問においては、「人文科学」を意味する。 &lt;/span&gt;</t>
  </si>
  <si>
    <t>&lt;span class="w"&gt;&lt;b&gt;【463.dialect：方言】&lt;/b&gt;&lt;/span&gt;
&lt;span class="ml"&gt;ギリシャ語に由来する語で、以下の2つの要素から成る。
&lt;span class="spacer"&gt;&lt;/span&gt;dia（間で）
legein（話す）
&lt;span class="spacer"&gt;&lt;/span&gt;このまま日本語にすると「間で話す」となる。もともとは、人々の間で言葉を交わすこと、つまり会話を意味していた。
&lt;span class="spacer"&gt;&lt;/span&gt;古代ギリシャは、一つの国家ではなく、独立した多数の都市国家（ポリス）が基本単位であり、地域ごとに話し方が異なっていた。このような言葉遣いの違いを指してdialektosが使われるようになり、そこから「方言」という意味になった。&lt;/span&gt;</t>
  </si>
  <si>
    <t>&lt;span class="w"&gt;&lt;b&gt;【465.tip：助言, 秘訣, チップ, 先端】&lt;/b&gt;&lt;/span&gt;
&lt;span class="ml"&gt;中英語tippe（尖ったもの）やtippen（軽く叩く）から発展した可能性があるが、この語に関する正確な語源はわかっていない。
&lt;span class="spacer"&gt;&lt;/span&gt;「尖ったもの」からは「先端」という意味が生まれている。
&lt;span class="spacer"&gt;&lt;/span&gt;また「軽く叩く」からは、何かを軽く触れて渡す・与えるへと発展し、サービスに対して金銭を渡す「チップ」という意味になったと考えられている。
&lt;span class="spacer"&gt;&lt;/span&gt;さらに「軽く与える」というニュアンスから、内密の情報をこっそり与えるという意味が生まれ、これが「助言, 秘訣」という意味になったと考えられる。&lt;/span&gt;</t>
  </si>
  <si>
    <t>&lt;span class="w"&gt;&lt;b&gt;【466.lawyer：弁護士】&lt;/b&gt;&lt;/span&gt;
&lt;span class="ml"&gt;中英語にさかのぼる語で、以下の2つの要素から成る。
&lt;span class="spacer"&gt;&lt;/span&gt;lawe（法律）
ier（〜する人）
&lt;span class="spacer"&gt;&lt;/span&gt;これは、法律に精通した人から「弁護士」という意味になる。&lt;/span&gt;</t>
  </si>
  <si>
    <t>&lt;span class="w"&gt;&lt;b&gt;【467.stuff：もの, 素材（不可算名詞）】&lt;/b&gt;&lt;/span&gt;
&lt;span class="ml"&gt;古フランス語estoffe（キルティング素材,  材料, 装備）に由来する。
&lt;span class="spacer"&gt;&lt;span&gt;もともとは、衣服やクッションを作る際の詰め物や布地（素材）を表した。そこから意味が広がり、布地に限らず、何かを作るためのさまざまな「素材」を表すようになる。さらに抽象化して、いちいち名前を特定せずに「もの」一般を意味するようになった。
&lt;div class="sample_image stuff"&gt;&lt;/div&gt;&lt;/span&gt;</t>
  </si>
  <si>
    <t>&lt;span class="w"&gt;&lt;b&gt;【468.comfort：快適さ, 慰め】&lt;/b&gt;&lt;/span&gt;
&lt;span class="ml"&gt;ラテン語に由来する語で、以下の2つの要素から成る。
&lt;span class="spacer"&gt;&lt;/span&gt;com（強意）
fortis（強い）
&lt;span class="spacer"&gt;&lt;/span&gt;このまま日本語にすると「大いに強くする」となる。これは、苦痛の中にいる相手を力づけて、精神的に強くいられるようにするイメージ。そこから、人を安心させる「慰め」や、不安や苦痛のない「快適さ」という意味になる。
&lt;div class="sample_image comfort"&gt;&lt;/div&gt;&lt;/span&gt;</t>
  </si>
  <si>
    <t>&lt;span class="w"&gt;&lt;b&gt;【469.philosophy：哲学, 人生観】&lt;/b&gt;&lt;/span&gt;
&lt;span class="ml"&gt;ギリシャ語に由来する語で、以下の2つの要素から成る。
&lt;span class="spacer"&gt;&lt;/span&gt;philo（愛する）
sophia（知恵）
&lt;span class="spacer"&gt;&lt;/span&gt;このまま日本語にすると「知恵を愛する」となる。知恵を愛して求め続ける姿勢から、真理や本質について考えて探究する学問である「哲学」と言う意味になった。&lt;/span&gt;</t>
  </si>
  <si>
    <t>&lt;span class="w"&gt;&lt;b&gt;【470.mammal：哺乳類】&lt;/b&gt;&lt;/span&gt;
&lt;span class="ml"&gt;ラテン語mamma（胸）に由来する。
&lt;span class="spacer"&gt;&lt;/span&gt;mammalは、このラテン語をもとに1758年に博物学者リンネ（＝分類学の父）が造語したもの。授乳によって子を育てる動物を指す言葉で、そこから「哺乳類」という意味になる。&lt;/span&gt;</t>
  </si>
  <si>
    <t>&lt;span class="w"&gt;&lt;b&gt;【471.quantity：量】&lt;/b&gt;&lt;/span&gt;
&lt;span class="ml"&gt;ラテン語に由来する語で、以下の2つの要素から成る。
&lt;span class="spacer"&gt;&lt;/span&gt;quantus（どれくらい大きいか, どれくらい多いか, どのくらいの量か）
tas（名詞化）
&lt;span class="spacer"&gt;&lt;/span&gt;英語で言えばhow muchやhow manyに近い、量・数・程度などを表すラテン語quantusが名詞化したことで、「量」という意味になった。&lt;/span&gt;</t>
  </si>
  <si>
    <t>&lt;span class="w"&gt;&lt;b&gt;【472.landscape：風景, 状況】&lt;/b&gt;&lt;/span&gt;
&lt;span class="ml"&gt;中世オランダ語に由来する語で、以下の2つの要素から成る。
&lt;span class="spacer"&gt;&lt;/span&gt;land（土地）
scap（〜の状態）
&lt;span class="spacer"&gt;&lt;/span&gt;このまま日本語にすると「土地の状態」となる。もともとは美術用語で風景画を表したが、美術用語から意味が一般化して「風景」や「状況」という意味になった。&lt;/span&gt;</t>
  </si>
  <si>
    <t>&lt;span class="w"&gt;&lt;b&gt;【473.tribe：部族, 仲間】&lt;/b&gt;&lt;/span&gt;
&lt;span class="ml"&gt;ラテン語tribus（古代ローマの3つの政治的・民族的区分）に由来する。
&lt;span class="spacer"&gt;&lt;/span&gt;ラテン語tribusは、初期のローマ社会を構成する、ラムネス・ティテス・ルケレスという3つの政治的・民族的区分を表した。
&lt;span class="spacer"&gt;&lt;/span&gt;&lt;span class="obsolete"&gt;ラテン語tribusのtriは「3」を意味する。これは英語のtriple（トリプル）やtriangle（トライアングル）にも見られる。&lt;/span&gt;
&lt;span class="spacer"&gt;&lt;/span&gt;中英語では、キリスト教における古代ヘブライ人の12部族を表すようになる。ここから首長がまとめる同族の集団である「部族」という意味になった。&lt;/span&gt;</t>
  </si>
  <si>
    <t>&lt;span class="w"&gt;&lt;b&gt;【474.organ：器官, 臓器, オルガン】&lt;/b&gt;&lt;/span&gt;
&lt;span class="ml"&gt;ギリシャ語organon（何かを行うためのもの, 道具, 感覚器官, 身体器官, 楽器）に由来する。
&lt;span class="spacer"&gt;&lt;/span&gt;この語の核は「全体を機能させるための道具」。ここから生物の体全体を機能させるための「臓器・器官」を意味するようになった。また音楽に関して、音を奏でるための道具である楽器を意味し、14世紀後期までには特に「オルガン」を指す言葉として定着した。&lt;/span&gt;</t>
  </si>
  <si>
    <t>&lt;span class="w"&gt;&lt;b&gt;【475.trial：試み, （品質, 性能の）試験, 裁判, 試用期間】&lt;/b&gt;&lt;/span&gt;
&lt;span class="ml"&gt;古フランス語trier（試す：tryの語源）に由来する。
&lt;span class="spacer"&gt;&lt;/span&gt;動詞「試す」から名詞「試すこと, 試み」になった。有罪か無罪かを試すことなら「裁判」という意味に、品質や性能を試すことなら「品質や性能の試験」という意味になる。&lt;/span&gt;</t>
  </si>
  <si>
    <t>&lt;span class="w"&gt;&lt;b&gt;【476.norm：規範, 標準】&lt;/b&gt;&lt;/span&gt;
&lt;span class="ml"&gt;ラテン語norma（大工の定規, 規範）に由来する。
&lt;span class="spacer"&gt;&lt;/span&gt;もともとは大工が使う物理的な定規を指していたが、「正しい角度や長さの基準となるもの」という本来の役割から意味が拡張され、社会や集団における「標準」や「規範」という意味へと発展した。&lt;/span&gt;</t>
  </si>
  <si>
    <t>&lt;span class="w"&gt;&lt;b&gt;【477.code：規範, 暗号, 法典】&lt;/b&gt;&lt;/span&gt;
&lt;span class="ml"&gt;ラテン語caudex（木の板に蝋を流して作った本）に由来する。
&lt;span class="spacer"&gt;&lt;/span&gt;語源はラテン語で、もともとは「木製の書物（木の板に蝋を流して束ねた本）」を表す言葉だった。
&lt;span class="spacer"&gt;&lt;/span&gt;古代ローマなどで、この形式の書物に膨大な法律が体系的にまとめられたため、やがて本そのものを「法典」と呼ぶようになる。そこから「ルールを体系的にまとめたもの」という核となるイメージが定着し、社会の「規範」や、情報を特定の規則で変換する「暗号」、さらにはコンピュータの「プログラムコード」といった意味へと発展していった。
&lt;div class="sample_image code"&gt;&lt;/div&gt;&lt;/span&gt;</t>
  </si>
  <si>
    <t>&lt;span class="w"&gt;&lt;b&gt;【479.multiple：多様な】&lt;/b&gt;&lt;/span&gt;
&lt;span class="ml"&gt;ラテン語に由来する語で、以下の2つの要素から成る。
&lt;span class="spacer"&gt;&lt;/span&gt;multi（多数の）
plus（n倍, n重）
&lt;span class="spacer"&gt;&lt;/span&gt;このまま日本語にすると「多重の」となる。たくさん折り重なっているイメージから「多様な」という意味になる。
&lt;span class="spacer"&gt;&lt;/span&gt;-plus（n倍の, n重の）はラテン語plicare（折る, 重ねる）と関係がある。折り重ねることからn重という意味になる。ラテン語-plusは、以下の英語にも見られる。
&lt;span class="spacer"&gt;&lt;/span&gt;double（2倍, 2重）
dou（2）ble（-plus）
&lt;span class="spacer"&gt;&lt;/span&gt;triple（3倍, 3重）
tri（3）ple（-plus）&lt;/span&gt;</t>
  </si>
  <si>
    <t>&lt;span class="w"&gt;&lt;b&gt;【480.numerous：多数の】&lt;/b&gt;&lt;/span&gt;
&lt;span class="ml"&gt;ラテン語に由来する語で、以下の2つの要素から成る。
&lt;span class="spacer"&gt;&lt;/span&gt;numerus（数：numberの語源）
osus（〜が多い）
&lt;span class="spacer"&gt;&lt;/span&gt;このまま日本語にすると「数が多い」となり、ここから「多数の」という意味になる。numer部分は、numberと同じ語源にさかのぼる。&lt;/span&gt;</t>
  </si>
  <si>
    <t>&lt;span class="w"&gt;&lt;b&gt;【481.narrow：狭い, 細い, 限られた】&lt;/b&gt;&lt;/span&gt;
&lt;span class="ml"&gt;古英語nearu（幅が狭い, 制限された, 心の狭い, 圧迫的な, 厳格な）にさかのぼる。
&lt;span class="spacer"&gt;&lt;/span&gt;物理的な「狭い」という意味から、視野や心が狭い、範囲や可能性などが「限られた」という意味にもなった。&lt;/span&gt;</t>
  </si>
  <si>
    <t>&lt;span class="w"&gt;&lt;b&gt;【482.widespread：広範囲にわたる】&lt;/b&gt;&lt;/span&gt;
&lt;span class="ml"&gt;近代英語にさかのぼり、以下の2つの要素から成る。
&lt;span class="spacer"&gt;&lt;/span&gt;wide（広く）
spread（広まった）
&lt;span class="spacer"&gt;&lt;/span&gt;このまま「広くひろがった, 広範囲にわたる」という意味になる。
&lt;span class="spacer"&gt;&lt;/span&gt;spread（広がる）は過去形と過去分詞も同じスペル。ここでは過去分詞spread（広まった）となっている。&lt;/span&gt;</t>
  </si>
  <si>
    <t>&lt;span class="w"&gt;&lt;b&gt;【483.sufficient：十分な（=enough）】&lt;/b&gt;&lt;/span&gt;
&lt;span class="ml"&gt;ラテン語に由来する語で、以下の2つの要素から成る。
&lt;span class="spacer"&gt;&lt;/span&gt;sub（下から）
facere（行う, 作る）
&lt;span class="spacer"&gt;&lt;/span&gt;このまま日本語にすると「下から作る」となる。これは、下から必要とされるラインまで作り上げるというイメージ。ここから、数量が足りていて「十分な」という意味になる。
&lt;div class="sample_image sufficient"&gt;&lt;/div&gt;
&lt;span class="spacer"&gt;&lt;/span&gt;［sufficientとadequate］
&lt;span class="spacer"&gt;&lt;/span&gt;sufficient：必要な分まで足りるという意味で「十分な」という感じ。否定のinsufficientは「不足している」という意味になる。
&lt;span class="spacer"&gt;&lt;/span&gt;adequate：必要最低限の水準は満たしていて「十分な」という感じ。否定のinadequateは「不適切な」という意味になる。またadequateは、質はまぁまぁという少しネガティブな印象を含むことがある。&lt;/span&gt;</t>
  </si>
  <si>
    <t>&lt;span class="w"&gt;&lt;b&gt;【484.proper：適切な, 正式の, 固有の】&lt;/b&gt;&lt;/span&gt;
&lt;span class="ml"&gt;ラテン語に由来する語で、以下の2つの要素から成る。
&lt;span class="spacer"&gt;&lt;/span&gt;pro（〜のために）
privus（個人的な, 個別の：privateの語源）
&lt;span class="spacer"&gt;&lt;/span&gt;このまま日本語にすると「個人のための」となる。もともとは「自分専用の」「自分に属している」ということを表していた。そこから「特定の人物や目的にぴったりと合っている」というニュアンスに広がり、現在の「固有の, 適切な, 正式な」という意味へと発展した。
&lt;span class="spacer"&gt;&lt;/span&gt;名詞propertyは「自分自身のもの」から「財産, 所有物」という意味になる。&lt;/span&gt;</t>
  </si>
  <si>
    <t>&lt;span class="w"&gt;&lt;b&gt;【486.annual：年1回の, 1年の】&lt;/b&gt;&lt;/span&gt;
&lt;span class="ml"&gt;ラテン語に由来する語で、以下の2つの要素から成る。
&lt;span class="spacer"&gt;&lt;/span&gt;annus（年）
alis（形容詞化）
&lt;span class="spacer"&gt;&lt;/span&gt;このまま日本語にすると「年の」、つまり「1年の, 年1回の」という意味になる。
&lt;span class="spacer"&gt;&lt;/span&gt;［紀元前B.C.と紀元後A.D.］
Before Christ：キリスト誕生以前という英語
Anno Domini：主の年に＝キリスト誕生の年というラテン語
&lt;span class="spacer"&gt;&lt;/span&gt;A.D.のAnno（年）は、annualの語源でもある。
&lt;span class="spacer"&gt;&lt;/span&gt;anniversary（周年）のanniは、ラテン語annus（年）に由来する。&lt;/span&gt;</t>
  </si>
  <si>
    <t>&lt;span class="w"&gt;&lt;b&gt;【487.contemporary：現代の, 同時代の】&lt;/b&gt;&lt;/span&gt;
&lt;span class="ml"&gt;ラテン語に由来する語で、以下の3つの要素から成る。
&lt;span class="spacer"&gt;&lt;/span&gt;com（共に）
tempus（時間）
arius（形容詞化）
&lt;span class="spacer"&gt;&lt;/span&gt;このまま日本語にすると「共通の時間の」となる。つまり、同じ時間を共にしていることから「同時代の」という意味になる。また、いま現在の時間を共にしていることから「現代の」という意味にもなる。&lt;/span&gt;</t>
  </si>
  <si>
    <t>&lt;span class="w"&gt;&lt;b&gt;【488.contrary：反対の】&lt;/b&gt;&lt;/span&gt;
&lt;span class="ml"&gt;ラテン語に由来する語で、以下の2つの要素から成る。
&lt;span class="spacer"&gt;&lt;/span&gt;contra（〜に対して, 反対に）
arius（形容詞化）
&lt;span class="spacer"&gt;&lt;/span&gt;このまま日本語にすると「反対の」という意味になる。&lt;/span&gt;</t>
  </si>
  <si>
    <t>&lt;span class="w"&gt;&lt;b&gt;【489.strict：厳しい, 厳格な】&lt;/b&gt;&lt;/span&gt;
&lt;span class="ml"&gt;ラテン語stringere（強く引き締める）の過去分詞strictus（引き締められた）に由来する。
&lt;span class="spacer"&gt;&lt;/span&gt;この語の核は「強く引き締める」。何かを強く引き締めるように、きつく制限されて「厳しい, 厳格な」という意味になる。&lt;/span&gt;</t>
  </si>
  <si>
    <t>&lt;span class="w"&gt;&lt;b&gt;【490.civil：市民の, 民間の, 民事の, 礼儀正しい】&lt;/b&gt;&lt;/span&gt;
&lt;span class="ml"&gt;ラテン語に由来する語で、以下の2つの要素から成る。
&lt;span class="spacer"&gt;&lt;/span&gt;civis（市民：cityの語源）
alis（形容詞化）
&lt;span class="spacer"&gt;&lt;/span&gt;この語の核は「市民」。軍隊や宗教と区別して「一般市民の」や「民間の」という意味になる。また法においては、刑事に対して「民事の」となる。
&lt;span class="spacer"&gt;&lt;/span&gt;さらに、文明化されていない野蛮な状態ではなく、都市の市民としてふさわしい洗練された態度を持つというニュアンスから「礼儀正しい」という意味になった。
&lt;span class="spacer"&gt;&lt;/span&gt;現代英語cityもラテン語civis（町の住民）に由来し「町, 都市」を意味するようになった。
&lt;span class="spacer"&gt;&lt;/span&gt;civilize（文明化する）やcivilization（文明）も市民が集まって都市を作り、法を整備し、野蛮な生活から脱した状態を指す。
&lt;span class="spacer"&gt;&lt;/span&gt;シビリアンコントロール（文民統制）は軍ではなく、民間側が軍をコントロールするということを言う。&lt;/span&gt;</t>
  </si>
  <si>
    <t>&lt;span class="w"&gt;&lt;b&gt;【491.odd：奇妙な, 奇数の】&lt;/b&gt;&lt;/span&gt;
&lt;span class="ml"&gt;古ノルド語oddi（陸地の先端, 角, 三角形, 3番目, ペアにならない余分な数）に由来する。
&lt;span class="spacer"&gt;&lt;/span&gt;もともとは、陸地の突き出た先端や三角形のように、3つ目の角がポツンとはみ出した部分を表した。そこから、ペアにしたときに1つ余る「奇数の」という意味になる。そして、ペアにならずに浮いていることから「奇妙な」という意味になる。&lt;/span&gt;</t>
  </si>
  <si>
    <t>&lt;span class="w"&gt;&lt;b&gt;【492.unknown：不明の, 知られていない】&lt;/b&gt;&lt;/span&gt;
&lt;span class="ml"&gt;中英語にさかのぼり、以下の2つの要素から成る。
&lt;span class="spacer"&gt;&lt;/span&gt;un（否定）
knowの過去分詞known
&lt;span class="spacer"&gt;&lt;/span&gt;このまま「知られていない」という意味になる。&lt;/span&gt;</t>
  </si>
  <si>
    <t>&lt;span class="w"&gt;&lt;b&gt;【494.sensitive：敏感な, 神経質な】&lt;/b&gt;&lt;/span&gt;
&lt;span class="ml"&gt;ラテン語に由来する語で、以下の2つの要素から成る。
&lt;span class="spacer"&gt;&lt;/span&gt;sentire（感じる）
ivus（形容詞化）
&lt;span class="spacer"&gt;&lt;/span&gt;この語の核は「感覚で受け取ること」。もともとは物理的な刺激を感じ取る能力がある状態を表していた。そこから、わずかな変化も察知する「敏感な, 神経質な」という意味になった。&lt;/span&gt;</t>
  </si>
  <si>
    <t>&lt;span class="w"&gt;&lt;b&gt;【495.violent：激しい, 暴力的な】&lt;/b&gt;&lt;/span&gt;
&lt;span class="ml"&gt;ラテン語vis（力）から派生したviolare（力によって踏みにじる）に由来する。
&lt;span class="spacer"&gt;&lt;/span&gt;この語の核は「強い力を行使すること」。もともとは物理的な「力」そのものを表していた。そこから、他者に対して無理やり力を振るう「暴力的な」という意味になる。さらにその強い力のイメージが自然現象や感情に向かい、コントロールできないほど「激しい」という意味へと広がった。&lt;/span&gt;</t>
  </si>
  <si>
    <t>&lt;span class="w"&gt;&lt;b&gt;【496.virtual：仮想の, 事実上の】&lt;/b&gt;&lt;/span&gt;
&lt;span class="ml"&gt;ラテン語に由来する語で、以下の3つの要素から成る。
vir（男）
tus（名詞化）
alis（形容詞化）
&lt;span class="spacer"&gt;&lt;/span&gt;ラテン語vir（男）から「男らしさ」や、そこから連想される「力」という概念へと発展した。
&lt;span class="spacer"&gt;&lt;/span&gt;この「力」は、目に見える形として存在しなくても、実際には働いているもの。そこから「見た目はそうではなくても本質的にはそうである」という意味になり、「事実上の」という意味が生まれた。
&lt;span class="spacer"&gt;&lt;/span&gt;さらに現代では、コンピューター技術の発展により、実体はないが現実のように機能するものを指して、「仮想の」という意味でも使われるようになった&lt;/span&gt;</t>
  </si>
  <si>
    <t>&lt;span class="w"&gt;&lt;b&gt;【498.immediate：即座の, 当面の, 直接の】&lt;/b&gt;&lt;/span&gt;
&lt;span class="ml"&gt;ラテン語に由来する語で、以下の2つの要素から成る。
&lt;span class="spacer"&gt;&lt;/span&gt;in（否定）
medius（中間の）
&lt;span class="spacer"&gt;&lt;/span&gt;このまま日本語にすると「間に何もない」となる。間に何も介さないことから「直接の」という意味になる。また時間において、何かと何かの間に余分な時間がないことから「即座の, 当面の」という意味になる。&lt;/span&gt;</t>
  </si>
  <si>
    <t>&lt;span class="w"&gt;&lt;b&gt;【500.somewhat：いくぶん, ある程度の, 多少の】&lt;/b&gt;&lt;/span&gt;
&lt;span class="ml"&gt;古英語にはsum dæl（多少の）という語が存在した。これは、現代英語でいえばsomeとdealから成る語で、ゼロではないけれど100でもないという度合い・量を表した。dealが程度や数量を表すことは、a good deal of（多数の）という表現があることからわかる。
&lt;span class="spacer"&gt;&lt;/span&gt;ここから中英語になると、sumedælではなくsomewhatが広く使われるようになり、「多少の, いくぶん, ある程度」といった不特定の量や程度の表現となった。
&lt;span class="spacer"&gt;&lt;/span&gt;some~で不特定性を表現する語は他にもある。
somewhere（どこか＝不特定の場所）
somehow（どうにかして＝不特定の方法）
sometime（いつか＝不特定の時）
something（何か＝不特定のもの）&lt;/span&gt;</t>
    <rPh sb="110" eb="114">
      <t>ゲンダイエイゴ</t>
    </rPh>
    <rPh sb="168" eb="170">
      <t>テイド</t>
    </rPh>
    <rPh sb="276" eb="277">
      <t>ヒロ</t>
    </rPh>
    <rPh sb="278" eb="279">
      <t>ツカ</t>
    </rPh>
    <phoneticPr fontId="1"/>
  </si>
  <si>
    <t>&lt;span class="w"&gt;&lt;b&gt;【501.interpret：〜を解釈する, 〜を通訳する】&lt;/b&gt;&lt;/span&gt;
&lt;span class="ml"&gt;ラテン語に由来する語で、以下の2つの要素から成る。2つ目の要素は、印欧祖語*per-（取引する, 売る）にさかのぼると考えられる。
&lt;span class="spacer"&gt;&lt;/span&gt;inter（〜の間）
pres（*per-：取引する, 売る）
&lt;span class="spacer"&gt;&lt;/span&gt;このまま日本語にすると「取引の間にいる」となる。もともとは、買い手と売り手の間に入って仲介することを表した。そこから、ある言葉と別の言葉の間に入って「通訳する」、ある物事とその意味の間に入って「解釈する」という意味になった。
&lt;div class="sample_image interpret"&gt;&lt;/div&gt;&lt;/span&gt;</t>
  </si>
  <si>
    <t>&lt;span class="w"&gt;&lt;b&gt;【502.translate：〜を翻訳する】&lt;/b&gt;&lt;/span&gt;
&lt;span class="ml"&gt;ラテン語に由来する語で、以下の2つの要素から成る。
&lt;span class="spacer"&gt;&lt;/span&gt;trans（越えて）
ferre（運ぶ）の過去分詞latus
&lt;span class="spacer"&gt;&lt;/span&gt;このまま日本語にすると「越えて運ぶ」となる。何かがある場所から別の場所へ運ばれるという物理的な移動から、ある言語が別の言語へ運ばれる、つまり「翻訳する」という意味になった。
&lt;div class="sample_image translate"&gt;&lt;/div&gt;&lt;/span&gt;</t>
  </si>
  <si>
    <t>&lt;span class="w"&gt;&lt;b&gt;【503.concentrate：（on）〜に集中する】&lt;/b&gt;&lt;/span&gt;
&lt;span class="ml"&gt;ラテン語に由来する語で、以下の2つの要素から成る。
&lt;span class="spacer"&gt;&lt;/span&gt;con（共に）
centrum（中心：centerの語源）
&lt;span class="spacer"&gt;&lt;/span&gt;このまま日本語にすると「共通の中心へ」となる。中心へ集めることから「集中する」という意味になる。&lt;/span&gt;</t>
  </si>
  <si>
    <t>&lt;span class="w"&gt;&lt;b&gt;【504.request：〜に（…するように）頼む, 〜を要請する】&lt;/b&gt;&lt;/span&gt;
&lt;span class="ml"&gt;ラテン語に由来する語で、以下の2つの要素から成る。
&lt;span class="spacer"&gt;&lt;/span&gt;re（再び）
quaerere（求める）
&lt;span class="spacer"&gt;&lt;/span&gt;このまま日本語にすると「再び求める」となる。相手に繰り返し求めることから、相手への依頼＝「〜に頼む, 要請する」という意味になる。
&lt;span class="spacer"&gt;&lt;/span&gt;requestとrequireは同じ語源に遡る。
&lt;span class="spacer"&gt;&lt;/span&gt;request：依頼
require：規則や条件に基づく要求&lt;/span&gt;</t>
  </si>
  <si>
    <t>&lt;span class="w"&gt;&lt;b&gt;【505.criticize：〜を批評する, 〜を批判する】&lt;/b&gt;&lt;/span&gt;
&lt;span class="ml"&gt;近代英語にさかのぼり、以下の2つの要素から成る。
&lt;span class="spacer"&gt;&lt;/span&gt;critic（批評家）
ize（動詞化）
&lt;span class="spacer"&gt;&lt;/span&gt;［criticの語源］
印欧祖語*krei-（ふるいにかける）にさかのぼり、ギリシャ語krinein（分ける, 判断する）に由来する。良いものと悪いものを分ける、区別する、判断するといった意味を経て、良し悪しを判断する者＝「批評家」という意味になった。
&lt;span class="spacer"&gt;&lt;/span&gt;［criticize］
近代英語において、critic（良し悪しを判断する者）に動詞を作る-izeが付いて「批評する」という意味になった。さらに、評価の中でも特に欠点を指摘する意味が強まって「 批判する」という意味になった。&lt;/span&gt;</t>
  </si>
  <si>
    <t>&lt;span class="w"&gt;&lt;b&gt;【506.overcome：〜を克服する, 〜に打ち勝つ】&lt;/b&gt;&lt;/span&gt;
&lt;span class="ml"&gt;古英語にさかのぼり、以下の2つの要素から成る。
&lt;span class="spacer"&gt;&lt;/span&gt;ofer（上に, 越えて）
cuman（来る）
&lt;span class="spacer"&gt;&lt;/span&gt;このまま日本語にすると「越えて来る」となる。もともとは「上から来る, 乗り越えて来る」というイメージ。そこから、相手や困難を上から押さえつけるようにして勝つという意味に発展し、「克服する, 打ち勝つ」という意味になった。&lt;/span&gt;</t>
  </si>
  <si>
    <t>&lt;span class="w"&gt;&lt;b&gt;【507.obtain：〜を得る】&lt;/b&gt;&lt;/span&gt;
&lt;span class="ml"&gt;ラテン語に由来する語で、以下の2つの要素から成る。
&lt;span class="spacer"&gt;&lt;/span&gt;ob（強意）
tenere（保つ）
&lt;span class="spacer"&gt;&lt;/span&gt;この語の核は「しっかり保つ」。ここから、何かをしっかりつかみとってそれを離さない、つまり努力して何かを「得る」という意味になる。
&lt;div class="sample_image obtain"&gt;&lt;/div&gt;&lt;/span&gt;</t>
  </si>
  <si>
    <t>&lt;span class="w"&gt;&lt;b&gt;【508.inform：〜に知らせる, 情報を提供する】&lt;/b&gt;&lt;/span&gt;
&lt;span class="ml"&gt;ラテン語に由来する語で、以下の2つの要素から成る。
&lt;span class="spacer"&gt;&lt;/span&gt;in（中に）
formare（形作る）
&lt;span class="spacer"&gt;&lt;/span&gt;このまま日本語にすると「内側に形作る」となる。これは、相手の頭の中に知識を形成するというイメージ。ここから、教育によって教えることへとつながる。そして教育することから情報の伝達が意味の中心となり、相手に「情報を与える, 知らせる」という意味になった。&lt;/span&gt;</t>
  </si>
  <si>
    <t>&lt;span class="w"&gt;&lt;b&gt;【509.ensure：～を確実にする】&lt;/b&gt;&lt;/span&gt;
&lt;span class="ml"&gt;古フランス語に由来する語で、以下の2つの要素から成る。
&lt;span class="spacer"&gt;&lt;/span&gt;en（動詞化）
seur（確実な, 確かな：sureの語源）
&lt;span class="spacer"&gt;&lt;/span&gt;このまま日本語にすると「確実な状態にする」となる。つまり「何かが確実にそうなるようにする」というイメージで、ここから「〜を確実にする」という意味になる。&lt;/span&gt;</t>
  </si>
  <si>
    <t>&lt;span class="w"&gt;&lt;b&gt;【510.announce：〜を発表（公表）する, 〜を知らせる】&lt;/b&gt;&lt;/span&gt;
&lt;span class="ml"&gt;ラテン語に由来する語で、以下の2つの要素から成る。
&lt;span class="spacer"&gt;&lt;/span&gt;ad（〜へ）
nuntius（使者, 伝令）から派生したnuntiare（伝える）
&lt;span class="spacer"&gt;&lt;/span&gt;このまま日本語にすると「（人々）へ伝える」となる。もともとは、使者が知らせを伝えるイメージで、そこから多くの人に対して伝える＝「発表する, 公表する, 知らせる」という意味になった。&lt;/span&gt;</t>
  </si>
  <si>
    <t>&lt;span class="w"&gt;&lt;b&gt;【511.grant：（人）に（許可・権利など）を与える, 〜を認める】&lt;/b&gt;&lt;/span&gt;
&lt;span class="ml"&gt;ラテン語credere（信じる）に由来する。
&lt;span class="spacer"&gt;&lt;/span&gt;相手を信用するから「許可や権利を与える, 認める」という意味になる。
&lt;span class="spacer"&gt;&lt;/span&gt;［take A for granted］
これはtake A for B（AをBと受け取る）のBにgrantedが入っている形。grantedは「すでに与えられているもの, 認められているもの」から「当然のもの」を意味する。ここから「Aを当然のこととして受け取る」となる。
&lt;div class="sample_image grant"&gt;&lt;/div&gt;&lt;/span&gt;</t>
  </si>
  <si>
    <t>&lt;span class="w"&gt;&lt;b&gt;【512.freeze：凍る, 〜を凍らせる】&lt;/b&gt;&lt;/span&gt;
&lt;span class="ml"&gt;古英語freosan（氷になる）にさかのぼる。
&lt;span class="spacer"&gt;&lt;/span&gt;「氷になる」から「凍る, 凍らせる」という意味になる。&lt;/span&gt;</t>
  </si>
  <si>
    <t>&lt;span class="w"&gt;&lt;b&gt;【513.oppose：〜に反対する, 〜を対抗させる】&lt;/b&gt;&lt;/span&gt;
&lt;span class="ml"&gt;ラテン語に由来する語で、以下の2つの要素から成る。
&lt;span class="spacer"&gt;&lt;/span&gt;ob（〜に対して）
ponere（置く）
&lt;span class="spacer"&gt;&lt;/span&gt;このまま日本語にすると「～に対して置く」となる。相手に対して自分を置く、つまり相手と自分が向かい合うように置くイメージから「反対する, 対抗させる」という意味になる。
&lt;div class="sample_image oppose"&gt;&lt;/div&gt;&lt;/span&gt;</t>
  </si>
  <si>
    <t>&lt;span class="w"&gt;&lt;b&gt;【514.differ：異なる】&lt;/b&gt;&lt;/span&gt;
&lt;span class="ml"&gt;ラテン語に由来する語で、以下の2つの要素から成る。
&lt;span class="spacer"&gt;&lt;/span&gt;dis（離して）
ferre（運ぶ）
&lt;span class="spacer"&gt;&lt;/span&gt;このまま日本語にすると「離れて運ぶ」となる。もともとは別々の方向に運ぶというイメージ。そこから同じではない、つまり「異なる」という意味になる。&lt;/span&gt;</t>
  </si>
  <si>
    <t>&lt;span class="w"&gt;&lt;b&gt;【515.hate：〜をひどく嫌う】&lt;/b&gt;&lt;/span&gt;
&lt;span class="ml"&gt;古英語hatian（激しい悪意をもって嫌う, 強い嫌悪感を抱く, 敵として扱う）にさかのぼる。
&lt;span class="spacer"&gt;&lt;/span&gt;強い嫌悪感を抱くことから「ひどく嫌う」という意味になる。&lt;/span&gt;</t>
  </si>
  <si>
    <t>&lt;span class="w"&gt;&lt;b&gt;【516.emphasize：〜を強調する】&lt;/b&gt;&lt;/span&gt;
&lt;span class="ml"&gt;近代英語にさかのぼり、以下の2つの要素から成る。
&lt;span class="spacer"&gt;&lt;/span&gt;emphasis（強調）
ize（動詞化）
&lt;span class="spacer"&gt;&lt;/span&gt;［emphasisの語源］
ギリシャ語en（中に）＋phainein（示す）に由来する。これは「中にあるものを示す」というイメージで、言葉の中に含まれる重要な意味や内容をはっきり示すこと、つまり「強調」を意味した（例えば発音の強調など）。
&lt;span class="spacer"&gt;&lt;/span&gt;［emphasize］
近代英語において、emphasis（強調）に動詞を作る-izeが付いて「強調する」という意味になった。
&lt;div class="sample_image emphasize"&gt;&lt;/div&gt;&lt;/span&gt;</t>
  </si>
  <si>
    <t>&lt;span class="w"&gt;&lt;b&gt;【517.employ：〜を雇う】&lt;/b&gt;&lt;/span&gt;
&lt;span class="ml"&gt;ラテン語に由来する語で、以下の2つの要素から成る。
&lt;span class="spacer"&gt;&lt;/span&gt;in（中に）
plicare（折る）
&lt;span class="spacer"&gt;&lt;/span&gt;このまま日本語にすると「中に折る」となる。これは、中に入れた状態で折りたたむイメージ。そこから、何らかの目的に巻き込む、事業に巻き込むことへと発展し、「雇う」という意味になった。
&lt;div class="sample_image employ"&gt;&lt;/div&gt;
&lt;span class="spacer"&gt;&lt;/span&gt;employは、implyと同じ語源にさかのぼる。
imply（暗に意味する）は中に折り込むという元のイメージをより保っている。
&lt;span class="spacer"&gt;&lt;/span&gt;employは元のイメージから発展して事業に巻き込む＝「雇う」になった。&lt;/span&gt;</t>
  </si>
  <si>
    <t>&lt;span class="w"&gt;&lt;b&gt;【518.credit：〜を信じる, （功績などを）〜に帰属させる】&lt;/b&gt;&lt;/span&gt;
&lt;span class="ml"&gt;ラテン語credere（信じる）に由来する。
&lt;span class="spacer"&gt;&lt;/span&gt;「対象を信じる」という意味はラテン語と変わらない。しかし英語では、ここから発展して、信頼によって功績と人や物を結びつける、つまり「（功績などを）〜に帰属させる」という意味にもなった。&lt;/span&gt;</t>
  </si>
  <si>
    <t>&lt;span class="w"&gt;&lt;b&gt;【519.transform：〜を変える】&lt;/b&gt;&lt;/span&gt;
&lt;span class="ml"&gt;ラテン語に由来する語で、以下の2つの要素から成る。
&lt;span class="spacer"&gt;&lt;/span&gt;trans（越えて）
forma（形）から派生したformare（形作る）
&lt;span class="spacer"&gt;&lt;/span&gt;このまま日本語にすると「越えて形作る」となる。これは、今ある状態から別の状態へと形を変えるイメージで、形や質を「変える」という意味になる。&lt;/span&gt;</t>
  </si>
  <si>
    <t>&lt;span class="w"&gt;&lt;b&gt;【520.construct：〜を建設する, 〜を構成する】&lt;/b&gt;&lt;/span&gt;
&lt;span class="ml"&gt;ラテン語に由来する語で、以下の2つの要素から成る。
&lt;span class="spacer"&gt;&lt;/span&gt;com（共に）
struere（積み上げる）
&lt;span class="spacer"&gt;&lt;/span&gt;このまま日本語にすると「共に積み上げる」となる。パーツを一緒にして積み上げるイメージから「建設する, 構成する」という意味になる。
&lt;div class="sample_image construct"&gt;&lt;/div&gt;&lt;/span&gt;</t>
  </si>
  <si>
    <t>&lt;span class="w"&gt;&lt;b&gt;【521.arise：生じる】&lt;/b&gt;&lt;/span&gt;
&lt;span class="ml"&gt;古英語にさかのぼり、以下の2つの要素から成る。
&lt;span class="spacer"&gt;&lt;/span&gt;a（〜から）
risan（上がる：riseの語源）
&lt;span class="spacer"&gt;&lt;/span&gt;このまま日本語にすると「〜から上がる」となる。もともとは下から上方向の物理的な動きを表したが、そこから比喩的に何かが「生じる, 発生する」という意味になった。
&lt;span class="spacer"&gt;&lt;/span&gt;古英語ではrisanとarisanは発音のリズムに応じた使い分けが行われており、意味の違いはなかった。しかしその後、riseは物理的な上方向の動き、ariseは問題や状況の発生という意味に分化した。&lt;/span&gt;</t>
  </si>
  <si>
    <t>&lt;span class="w"&gt;&lt;b&gt;【522.beat：〜を打ち負かす, 打つ/叩く, リズムを打つ, 叩き出す】&lt;/b&gt;&lt;/span&gt;
&lt;span class="ml"&gt;古英語beatan（打撃を与える, 繰り返し打つ）にさかのぼる。
&lt;span class="spacer"&gt;&lt;/span&gt;この語の核は「打撃を与えること」。ここから、物理的に「打つ, 叩く」や、音楽の「リズムを打つ」という意味になる。また叩いて相手を負かすことから「打ち負かす」や、対象を「叩き出す」という意味にもなる。&lt;/span&gt;</t>
  </si>
  <si>
    <t>&lt;span class="w"&gt;&lt;b&gt;【524.alter：〜を変える, 変わる】&lt;/b&gt;&lt;/span&gt;
&lt;span class="ml"&gt;次の2つの印欧祖語の要素にさかのぼる。
&lt;span class="spacer"&gt;&lt;/span&gt;*al（向こう側に）
ter（比較級接尾辞）
&lt;span class="spacer"&gt;&lt;/span&gt;この語はもともと比較の要素を持っており、核となるのは「こちら側と向こう側を比較して向こう側」ということ。ここから、2つのうち一方ではなくてもう一方ということを表した。これが動詞になって一方から他方に「変える, 変わる」という意味になった。&lt;/span&gt;</t>
  </si>
  <si>
    <t>&lt;span class="w"&gt;&lt;b&gt;【525.absorb：〜を吸収する, 〜を夢中にさせる】&lt;/b&gt;&lt;/span&gt;
&lt;span class="ml"&gt;ラテン語に由来する語で、以下の2つの要素から成る。
&lt;span class="spacer"&gt;&lt;/span&gt;ab（離れて）
sorbere（吸い込む）
&lt;span class="spacer"&gt;&lt;/span&gt;このまま日本語にすると「（元の場所から）離して吸い込む」となる。対象を吸い込んで自分のものにすることから「吸収する」という意味になる。また比喩的に、何かが人の注意を吸い込むことから、人を「夢中にさせる」という意味にもなる。
&lt;div class="sample_image absorb"&gt;&lt;/div&gt;&lt;/span&gt;</t>
  </si>
  <si>
    <t>&lt;span class="w"&gt;&lt;b&gt;【527.cure：〜を治す, 〜を取り除く, 病気が治る】&lt;/b&gt;&lt;/span&gt;
&lt;span class="ml"&gt;ラテン語curare（世話をする）に由来する。
&lt;span class="spacer"&gt;&lt;/span&gt;これは対象の状態に注意を払い、管理し、整えることを意味する。医療的な文脈では、病人の世話をして健康な状態へ導くことから、「病気を治す, 病を取り除く, 病気が治る」という意味になる。&lt;/span&gt;</t>
  </si>
  <si>
    <t>&lt;span class="w"&gt;&lt;b&gt;【528.transport：〜を輸送する, 〜を運ぶ】&lt;/b&gt;&lt;/span&gt;
&lt;span class="ml"&gt;ラテン語に由来する語で、以下の2つの要素から成る。
&lt;span class="spacer"&gt;&lt;/span&gt;trans（越えて）
portare（運ぶ）
&lt;span class="spacer"&gt;&lt;/span&gt;このまま日本語にすると「越えて運ぶ」となる。ある場所から別の場所へ運ぶことから「輸送する, 運ぶ」という意味になる。&lt;/span&gt;</t>
  </si>
  <si>
    <t>&lt;span class="w"&gt;&lt;b&gt;【529.rush：急いで行く, 性急に行う, 〜をせき立てる】&lt;/b&gt;&lt;/span&gt;
&lt;span class="ml"&gt;rushがラテン語に由来するという説では、以下の2つの要素にさかのぼる。
&lt;span class="spacer"&gt;&lt;/span&gt;re（再び）
causa（原因：causeの語源）
&lt;span class="spacer"&gt;&lt;/span&gt;これは、再び原因に言及することから、異議を唱えて何かを拒むという意味になった。そして、何かを拒む際の動作から、物理的に強く押し返す動きを表すようになる。さらに、勢いよく押して相手を促すことから「急いで行く, 性急に行う, 〜をせき立てる」という意味になった。&lt;/span&gt;</t>
  </si>
  <si>
    <t>&lt;span class="w"&gt;&lt;b&gt;【530.hang：〜を掛ける, 〜を絞首刑にする】&lt;/b&gt;&lt;/span&gt;
&lt;span class="ml"&gt;古英語hon（吊るす）とhangian（吊るされている）にさかのぼる。
&lt;span class="spacer"&gt;&lt;/span&gt;吊るすことから「掛ける, 絞首刑にする」という意味になる。&lt;/span&gt;</t>
  </si>
  <si>
    <t>&lt;span class="w"&gt;&lt;b&gt;【531.blame：〜を責める, 〜の責任を追わせる】&lt;/b&gt;&lt;/span&gt;
&lt;span class="ml"&gt;ラテン語blasphemare（悪口を言う, 非難する）に由来する。
&lt;span class="spacer"&gt;&lt;/span&gt;この語はもともと悪口を言うことを意味したが、相手に悪い言葉を向けることから、悪いことの原因を相手に帰属させることへと変化した。ここから「非難する」という意味になり、さらに相手に「責任を負わせる」という意味にもなった。&lt;/span&gt;</t>
    <rPh sb="155" eb="157">
      <t>イミ</t>
    </rPh>
    <rPh sb="161" eb="163">
      <t>アイテ</t>
    </rPh>
    <rPh sb="164" eb="165">
      <t>ワル</t>
    </rPh>
    <rPh sb="166" eb="168">
      <t>コトバ</t>
    </rPh>
    <rPh sb="169" eb="170">
      <t>ム</t>
    </rPh>
    <rPh sb="182" eb="184">
      <t>ゲンイン</t>
    </rPh>
    <rPh sb="197" eb="199">
      <t>ヘンカ</t>
    </rPh>
    <phoneticPr fontId="1"/>
  </si>
  <si>
    <t>&lt;span class="w"&gt;&lt;b&gt;【533.fascinate：〜を魅了する】&lt;/b&gt;&lt;/span&gt;
&lt;span class="ml"&gt;ラテン語fascinare（魔法をかける, 魅了する）に由来する。
&lt;span class="spacer"&gt;&lt;/span&gt;英語ではもともと、魔法で相手を動けなくすることを表した。そこから比喩的に、相手の注意や関心を完全にとらえて引きつける、つまり「魅了する」という意味になった。&lt;/span&gt;</t>
  </si>
  <si>
    <t>&lt;span class="w"&gt;&lt;b&gt;【534.recover：回復する, 〜を取り戻す】&lt;/b&gt;&lt;/span&gt;
&lt;span class="ml"&gt;ラテン語に由来する語で、以下の2つの要素に関連する。
&lt;span class="spacer"&gt;&lt;/span&gt;re（再び）
capere（取る）
&lt;span class="spacer"&gt;&lt;/span&gt;再び取るということから、何かを「取り戻す」や元の状態に「回復する」という意味になる。&lt;/span&gt;</t>
    <rPh sb="95" eb="97">
      <t>カンレン</t>
    </rPh>
    <rPh sb="187" eb="188">
      <t>ナニ</t>
    </rPh>
    <rPh sb="197" eb="198">
      <t>モト</t>
    </rPh>
    <rPh sb="199" eb="201">
      <t>ジョウタイ</t>
    </rPh>
    <rPh sb="211" eb="213">
      <t>イミ</t>
    </rPh>
    <phoneticPr fontId="1"/>
  </si>
  <si>
    <t>&lt;span class="w"&gt;&lt;b&gt;【535.celebrate：〜を祝う】&lt;/b&gt;&lt;/span&gt;
&lt;span class="ml"&gt;ラテン語celeber（人の多い, 有名な）から派生したcelebrare（大勢で集まる, 祭典などを執り行う）に由来する。
&lt;span class="spacer"&gt;&lt;/span&gt;この語の核は「人が多く集まる」こと。もともとは、多くの人が集まって宗教的な儀式や公的な行事を行うことを指した。そこから、特に喜ばしいことで人が集まって「祝う」という意味になった。
&lt;span class="spacer"&gt;&lt;/span&gt;有名人を意味するcelebrityも同じ語源にさかのぼる。人が多く集まるということは、多くの人に知られている「有名人」というイメージ。&lt;/span&gt;</t>
    <rPh sb="92" eb="94">
      <t>ハセイ</t>
    </rPh>
    <rPh sb="125" eb="127">
      <t>ユライ</t>
    </rPh>
    <rPh sb="161" eb="162">
      <t>ゴ</t>
    </rPh>
    <rPh sb="163" eb="164">
      <t>カク</t>
    </rPh>
    <rPh sb="166" eb="167">
      <t>ヒト</t>
    </rPh>
    <rPh sb="168" eb="169">
      <t>オオ</t>
    </rPh>
    <rPh sb="170" eb="171">
      <t>アツ</t>
    </rPh>
    <rPh sb="183" eb="184">
      <t>オオ</t>
    </rPh>
    <rPh sb="186" eb="187">
      <t>ヒト</t>
    </rPh>
    <rPh sb="188" eb="189">
      <t>アツ</t>
    </rPh>
    <rPh sb="192" eb="195">
      <t>シュウキョウテキ</t>
    </rPh>
    <rPh sb="196" eb="198">
      <t>ギシキ</t>
    </rPh>
    <rPh sb="199" eb="201">
      <t>コウテキ</t>
    </rPh>
    <rPh sb="202" eb="204">
      <t>ギョウジ</t>
    </rPh>
    <rPh sb="205" eb="206">
      <t>オコナ</t>
    </rPh>
    <rPh sb="210" eb="211">
      <t>サ</t>
    </rPh>
    <rPh sb="219" eb="220">
      <t>トク</t>
    </rPh>
    <rPh sb="221" eb="222">
      <t>ヨロコ</t>
    </rPh>
    <rPh sb="228" eb="229">
      <t>ヒト</t>
    </rPh>
    <rPh sb="230" eb="231">
      <t>アツ</t>
    </rPh>
    <rPh sb="241" eb="243">
      <t>イミ</t>
    </rPh>
    <rPh sb="277" eb="280">
      <t>ユウメイジン</t>
    </rPh>
    <rPh sb="281" eb="283">
      <t>イミ</t>
    </rPh>
    <rPh sb="295" eb="296">
      <t>オナ</t>
    </rPh>
    <rPh sb="297" eb="299">
      <t>ゴゲン</t>
    </rPh>
    <rPh sb="306" eb="307">
      <t>ヒト</t>
    </rPh>
    <rPh sb="308" eb="309">
      <t>オオ</t>
    </rPh>
    <rPh sb="310" eb="311">
      <t>アツ</t>
    </rPh>
    <rPh sb="320" eb="321">
      <t>オオ</t>
    </rPh>
    <rPh sb="323" eb="324">
      <t>ヒト</t>
    </rPh>
    <rPh sb="325" eb="326">
      <t>シ</t>
    </rPh>
    <rPh sb="332" eb="334">
      <t>ユウメイ</t>
    </rPh>
    <rPh sb="334" eb="335">
      <t>ヒト</t>
    </rPh>
    <phoneticPr fontId="1"/>
  </si>
  <si>
    <t>&lt;span class="w"&gt;&lt;b&gt;【536.manufacture：製造する, でっちあげる】&lt;/b&gt;&lt;/span&gt;
&lt;span class="ml"&gt;ラテン語に由来する語で、以下の2つの要素から成る。
&lt;span class="spacer"&gt;&lt;/span&gt;manus（手）
facere（作る, する）
&lt;span class="spacer"&gt;&lt;/span&gt;このまま日本語にすると「手で作る」となる。もともとは手作業で作ることを表したが、工業化が進む中で、手や機械をつかって「製造する」という意味になった。また人工的に作り出すことから発展して、「でっちあげる」という意味にもなった。&lt;/span&gt;</t>
    <rPh sb="188" eb="191">
      <t>ニホンゴ</t>
    </rPh>
    <rPh sb="210" eb="213">
      <t>テサギョウ</t>
    </rPh>
    <rPh sb="214" eb="215">
      <t>ツク</t>
    </rPh>
    <rPh sb="219" eb="220">
      <t>アラワ</t>
    </rPh>
    <rPh sb="224" eb="227">
      <t>コウギョウカ</t>
    </rPh>
    <rPh sb="228" eb="229">
      <t>スス</t>
    </rPh>
    <rPh sb="230" eb="231">
      <t>ナカ</t>
    </rPh>
    <rPh sb="251" eb="253">
      <t>イミ</t>
    </rPh>
    <rPh sb="272" eb="274">
      <t>ハッテン</t>
    </rPh>
    <rPh sb="288" eb="290">
      <t>イミ</t>
    </rPh>
    <phoneticPr fontId="1"/>
  </si>
  <si>
    <t>&lt;span class="w"&gt;&lt;b&gt;【537.interact：影響し合う, 相互に作用する】&lt;/b&gt;&lt;/span&gt;
&lt;span class="ml"&gt;近代英語にさかのぼり、以下の2つの要素から成る。
&lt;span class="spacer"&gt;&lt;/span&gt;inter（〜の間に）
act（行う, 作用する）
&lt;span class="spacer"&gt;&lt;/span&gt;このまま日本語にすると「何かと何かの間で作用する」となる。ここから「お互いが影響し合う」や「相互に作用する」という意味になる。&lt;/span&gt;</t>
    <rPh sb="188" eb="191">
      <t>ニホンゴ</t>
    </rPh>
    <rPh sb="219" eb="220">
      <t>タガ</t>
    </rPh>
    <rPh sb="241" eb="243">
      <t>イミ</t>
    </rPh>
    <phoneticPr fontId="1"/>
  </si>
  <si>
    <t>&lt;span class="w"&gt;&lt;b&gt;【538.arrange：段取りをつける, 手配する, 配置する】&lt;/b&gt;&lt;/span&gt;
&lt;span class="ml"&gt;古フランス語に由来する語で、以下の2つの要素から成る。
&lt;span class="spacer"&gt;&lt;/span&gt;a（〜へ）
rang（列, 階級, ランク）から派生したrangier（列に並べる）
&lt;span class="spacer"&gt;&lt;/span&gt;arrangeは、rank（ランク）と同じ語源に由来する。この語の核は、ランク付けのように「列に並べて整える」こと。ここから、何かを「配置する」という意味になった。
&lt;span class="spacer"&gt;&lt;/span&gt;また、予定や計画を並べて整えることから「段取りをつける, 手配する」という意味になった。
&lt;div class="sample_image arrange"&gt;&lt;/div&gt;&lt;/span&gt;</t>
  </si>
  <si>
    <t>&lt;span class="w"&gt;&lt;b&gt;【539.adjust：〜を調整する, 〜を適合させる】&lt;/b&gt;&lt;/span&gt;
&lt;span class="ml"&gt;ラテン語に由来する語で、以下の2つの要素から成る。
&lt;span class="spacer"&gt;&lt;/span&gt;ad（〜へ）
iuxta（近くに）
&lt;span class="spacer"&gt;&lt;/span&gt;このまま日本語にすると「近くへ（持っていく）」となる。つまり、もとのラテン語では物理的な移動を表すにすぎなかった。
&lt;span class="spacer"&gt;&lt;/span&gt;しかし近代フランスにおいて、adjustの語源はjust（正しい, 公正な）であると誤解されてしまう。これにより、近づけるという物理的な移動から、「正しい状態へピッタリと合わせる」というニュアンスへと変化する。その結果、基準や他のものに合うようにする、つまり「調整する, 適合させる」という意味になった。&lt;/span&gt;</t>
    <rPh sb="180" eb="183">
      <t>ニホンゴ</t>
    </rPh>
    <rPh sb="265" eb="267">
      <t>キンダイ</t>
    </rPh>
    <rPh sb="283" eb="285">
      <t>ゴゲン</t>
    </rPh>
    <rPh sb="319" eb="320">
      <t>チカ</t>
    </rPh>
    <rPh sb="326" eb="329">
      <t>ブツリテキ</t>
    </rPh>
    <rPh sb="330" eb="332">
      <t>イドウ</t>
    </rPh>
    <rPh sb="362" eb="364">
      <t>ヘンカ</t>
    </rPh>
    <rPh sb="369" eb="371">
      <t>ケッカ</t>
    </rPh>
    <rPh sb="407" eb="409">
      <t>イミ</t>
    </rPh>
    <phoneticPr fontId="1"/>
  </si>
  <si>
    <t>&lt;span class="w"&gt;&lt;b&gt;【540.confirm：〜を確認する, 〜を裏づける】&lt;/b&gt;&lt;/span&gt;
&lt;span class="ml"&gt;ラテン語に由来する語で、以下の2つの要素から成る。
&lt;span class="spacer"&gt;&lt;/span&gt;com（強意）
firmus（堅固な, 強い, 安定した）から派生したfirmare（強くする, 固める）
&lt;span class="spacer"&gt;&lt;/span&gt;このまま日本語にすると「しっかり固める, しっかり強める」となる。これは、物事を間違いのない確固たる状態にするというイメージ。ここから、「確認する, 裏づける」という意味になる。
&lt;div class="sample_image confirm"&gt;&lt;/div&gt;&lt;/span&gt;</t>
  </si>
  <si>
    <t>&lt;span class="w"&gt;&lt;b&gt;【541.insight：見識, 理解（力）, 洞察力】&lt;/b&gt;&lt;/span&gt;
&lt;span class="ml"&gt;以下の2つの要素から成る。
in（中に）
sight（見えるもの）
&lt;span class="spacer"&gt;&lt;/span&gt;自分の中にある心を通して見えるものから「見識, 理解」という意味になる。また、対象の内部を見抜く力から「洞察力」という意味になる。&lt;/span&gt;</t>
  </si>
  <si>
    <t>&lt;span class="w"&gt;&lt;b&gt;【542.innovation：革新】&lt;/b&gt;&lt;/span&gt;
&lt;span class="ml"&gt;ラテン語に由来する語で、以下の3つの要素から成る。
&lt;span class="spacer"&gt;&lt;/span&gt;in（中に）
novus（新しい）
io（名詞化）
&lt;span class="spacer"&gt;&lt;/span&gt;既存のものの中に新しさを入れることから「革新」という意味になる。&lt;/span&gt;</t>
  </si>
  <si>
    <t>&lt;span class="w"&gt;&lt;b&gt;【543.budget：予算】&lt;/b&gt;&lt;/span&gt;
&lt;span class="ml"&gt;ラテン語bulga（革の袋）に由来する。
&lt;span class="spacer"&gt;&lt;/span&gt;18世紀初頭、イギリスの財務長官が予算報告書を革の袋に入れて運んでいたことから、革の袋を指していたbudgetが「予算」そのものを意味するようになった。
&lt;div class="sample_image budget"&gt;&lt;/div&gt;&lt;/span&gt;</t>
  </si>
  <si>
    <t>&lt;span class="w"&gt;&lt;b&gt;【544.fee：料金】&lt;/b&gt;&lt;/span&gt;
&lt;span class="ml"&gt;古英語feoh（家畜, 財産）とアングロ・フランス語feeが合わさってできた語。
&lt;span class="spacer"&gt;&lt;/span&gt;古代の社会において家畜や財産を指した語。物々交換が基本だった時代において、家畜は富や財産そのものであった。
&lt;span class="spacer"&gt;&lt;/span&gt;その後、中世の封建制度のもとで、主君に仕える対価として与えられる領地や権利と結びつき、さらには奉仕を伴う特権的な役職そのものも意味するようになる。そして、こうした役職が金銭的な見返りを伴うものであったことから、特定の職務に対する報酬という意味へと発展した。
&lt;span class="spacer"&gt;&lt;/span&gt;ここから、専門的なサービスへの対価や、ギルドへの入会などで支払う「料金」という、現代の意味へと定着した。&lt;/span&gt;</t>
  </si>
  <si>
    <t>&lt;span class="w"&gt;&lt;b&gt;【546.debt：負債, 借金, 恩義】&lt;/b&gt;&lt;/span&gt;
&lt;span class="ml"&gt;ラテン語に由来する語で、以下の2つの要素から成る。
&lt;span class="spacer"&gt;&lt;/span&gt;de（離れて）
habere（持っている）
&lt;span class="spacer"&gt;&lt;/span&gt;このまま日本語にすると「離れて持っているもの」となる。これは、本来の持ち主の手を離れて自分が持っているものを表す。つまり誰かから借りているもので、そこから「負債, 借金, 恩義」という意味になった。
&lt;div class="sample_image debt"&gt;&lt;/div&gt;&lt;/span&gt;</t>
  </si>
  <si>
    <t>&lt;span class="w"&gt;&lt;b&gt;【547.loan：貸付金, ローン】&lt;/b&gt;&lt;/span&gt;
&lt;span class="ml"&gt;古ノルド語lan（貸し付け）に由来する。
&lt;span class="spacer"&gt;&lt;/span&gt;返すことを前提で借りているものを表し、「貸付金」という意味になる。
&lt;span class="spacer"&gt;&lt;/span&gt;古ノルド語lanからは英語のlend（貸す）も生まれている。&lt;/span&gt;</t>
  </si>
  <si>
    <t>&lt;span class="w"&gt;&lt;b&gt;【548.duty：義務, 関税】&lt;/b&gt;&lt;/span&gt;
&lt;span class="ml"&gt;ラテン語に由来する語で、以下の2つの要素から成る。
&lt;span class="spacer"&gt;&lt;/span&gt;de（離れて）
habere（持っている）
&lt;span class="spacer"&gt;&lt;/span&gt;このまま日本語にすると「離れて持っている」となる。これは、本来の持ち主の手を離れて自分が持っている、つまり「誰かから何かを借りている状態」であることを表す。
&lt;span class="spacer"&gt;&lt;/span&gt;ここから、借りているものを返すべき、何かを支払うべき、恩に報いて何かをするべきといった「義務」を意味するようになった。さらに、金銭的な支払いの側面が特化して残り、輸出入の際に国へ納めるべき「関税」という意味にも繋がっている。&lt;/span&gt;</t>
  </si>
  <si>
    <t>&lt;span class="w"&gt;&lt;b&gt;【549.alarm：不安, 恐れ, 警報装置】&lt;/b&gt;&lt;/span&gt;
&lt;span class="ml"&gt;イタリア語に由来する語で、以下の3つの要素から成る。
&lt;span class="spacer"&gt;&lt;/span&gt;a（〜へ）
le（その）
arme（武器）
&lt;span class="spacer"&gt;&lt;/span&gt;このまま日本語にすると「武器へ」となる。これは「武器へ！武器を取れ！」という危険や敵が来た状況を知らせ、戦闘態勢へ呼びかける言葉だった。ここから現代の「警報装置」という意味になる。
&lt;span class="spacer"&gt;&lt;/span&gt;また、警戒しているときの人々の心理状態から、「恐怖」や「不安」を意味するようになった。&lt;/span&gt;</t>
  </si>
  <si>
    <t>&lt;span class="w"&gt;&lt;b&gt;【550.emergency：緊急（事態）】&lt;/b&gt;&lt;/span&gt;
&lt;span class="ml"&gt;ラテン語に由来する語で、以下の2つの要素から成る。
&lt;span class="spacer"&gt;&lt;/span&gt;ex（外に）
mergere（浸す, 沈める）
&lt;span class="spacer"&gt;&lt;/span&gt;このまま日本語にすると「沈んだところから外へ」となる。見えないところから突然外へ出てくることから、緊急で対処する必要がある予期せぬ出来事、つまり「緊急（事態）」という意味になった。&lt;/span&gt;</t>
  </si>
  <si>
    <t>&lt;span class="w"&gt;&lt;b&gt;【551.democracy：民主主義, 民主政治】&lt;/b&gt;&lt;/span&gt;
&lt;span class="ml"&gt;ギリシャ語に由来する語で、以下の2つの要素から成る。
&lt;span class="spacer"&gt;&lt;/span&gt;dēmos（民衆）
kratos（支配, 統治）
&lt;span class="spacer"&gt;&lt;/span&gt;このまま日本語にすると「人民による統治」となり、「民主主義, 民主政治」という意味になる。&lt;/span&gt;</t>
  </si>
  <si>
    <t>&lt;span class="w"&gt;&lt;b&gt;【552.minister：大臣, プロテスタントの聖職者】&lt;/b&gt;&lt;/span&gt;
&lt;span class="ml"&gt;ラテン語に由来する語で、以下の2つの要素から成る。
&lt;span class="spacer"&gt;&lt;/span&gt;minor（より小さい）
teros（比較級を作る）
&lt;span class="spacer"&gt;&lt;/span&gt;この語の核は「より小さい者」で、上位者に仕える者・下位の者を表した。
&lt;span class="spacer"&gt;&lt;/span&gt;中世では、キリスト教と結びつき、神に仕えて人々に奉仕する人たちを「神のしもべ」と位置付けたことから「聖職者」という意味になった。
&lt;span class="spacer"&gt;&lt;/span&gt;また政治の文脈では、君主に仕えて国政を補佐する役人たち、すなわち「国王のしもべ」である「大臣」を指すようになった。&lt;/span&gt;</t>
  </si>
  <si>
    <t>&lt;span class="w"&gt;&lt;b&gt;【554.candidate：候補（者）, 志願者】&lt;/b&gt;&lt;/span&gt;
&lt;span class="ml"&gt;ラテン語candere（白く輝く）から派生したcandidātus（白衣を着た者, 公職を志望する者）に由来する。
&lt;span class="spacer"&gt;&lt;/span&gt;この語の核は「白く輝く」。古代ローマでは、公職志願者は自らの潔白を示すため、まぶしいくらい白い服を身にまとったことから「候補者, 志願者」という意味になった。
&lt;span class="spacer"&gt;&lt;/span&gt;ラテン語candere（白く輝く）は、キャンドルの語源でもある。「白く輝く」はまさに白いキャンドルが火を灯す様子にピッタリ当てはまる。
&lt;div class="sample_image candidate"&gt;&lt;/div&gt;&lt;/span&gt;</t>
  </si>
  <si>
    <t>&lt;span class="w"&gt;&lt;b&gt;【557.route：道（筋）, 路線, ルート, 方法】&lt;/b&gt;&lt;/span&gt;
&lt;span class="ml"&gt;ラテン語rumpere（壊す）のrupta（力ずくで切り開かれた）に由来する。
&lt;span class="spacer"&gt;&lt;/span&gt;もともとはラテン語でrupta via（壊して切り開かれた道）と使われていたが、やがてvia（道）を伴わずに前者のみで「道（筋）, ルート, 路線」を意味するようになった。&lt;/span&gt;</t>
  </si>
  <si>
    <t>&lt;span class="w"&gt;&lt;b&gt;【558.disorder：障害, 心身の不調, 混乱】&lt;/b&gt;&lt;/span&gt;
&lt;span class="ml"&gt;ラテン語に由来する語で、以下の2つの要素から成る。
&lt;span class="spacer"&gt;&lt;/span&gt;dis（否定）
ordo（列, 順序, 配置）
&lt;span class="spacer"&gt;&lt;/span&gt;この語の核は「秩序だった状態の否定」。つまり秩序が乱れて混乱した状態やバランスが崩れた状態を表す。ここから「障害, 心身の不調, 混乱」といった意味になる。&lt;/span&gt;</t>
  </si>
  <si>
    <t>&lt;span class="w"&gt;&lt;b&gt;【559.depression：憂うつ, 不況】&lt;/b&gt;&lt;/span&gt;
&lt;span class="ml"&gt;ラテン語に由来する語で、以下の3つの要素から成る。
&lt;span class="spacer"&gt;&lt;/span&gt;de（下に）
premere（押す, 圧する）
io（名詞化）
&lt;span class="spacer"&gt;&lt;/span&gt;このまま日本語にすると「下に押す」となる。これは、通常の状態から押し下げるというイメージ。気分を押し下げれば「憂うつ」、経済活動を押し下げれば「不況」という意味になる。&lt;/span&gt;</t>
  </si>
  <si>
    <t>&lt;span class="w"&gt;&lt;b&gt;【560.weapon：武器, 凶器, 兵器】&lt;/b&gt;&lt;/span&gt;
&lt;span class="ml"&gt;古英語wæpen（戦闘や防御の道具）にさかのぼる。
&lt;span class="spacer"&gt;&lt;/span&gt;もともとは争いや闘争で役立つもの一般を表したが、そこから攻撃の道具に特化して「武器, 凶器, 兵器」という意味になった。&lt;/span&gt;</t>
  </si>
  <si>
    <t>&lt;span class="w"&gt;&lt;b&gt;【561.immigration：（他国からの）移民, 移住, 入国管理】&lt;/b&gt;&lt;/span&gt;
&lt;span class="ml"&gt;ラテン語に由来する語で、以下の2つの要素から成る。
&lt;span class="spacer"&gt;&lt;/span&gt;in（中に）
migrare（移動する, 移住する）
&lt;span class="spacer"&gt;&lt;/span&gt;このまま日本語にすると「（ある場所の）中に移住する」となる。ここから「移住」や、移住してくる「移民全体」、またそれを管理する「入国管理局」という意味になった。
&lt;span class="spacer"&gt;&lt;/span&gt;［immigrate］
in（中に）＋migrare（移動する）
他国から移住する（受け入れる側の視点）
&lt;span class="spacer"&gt;&lt;/span&gt;［emigrate］
ex（外へ）＋migrare（移動する）
自国から別の国へ移住する（出ていく側の視点）
&lt;div class="sample_image immigration"&gt;&lt;/div&gt;&lt;/span&gt;</t>
  </si>
  <si>
    <t>&lt;span class="w"&gt;&lt;b&gt;【562.barrier：障壁, 防壁】&lt;/b&gt;&lt;/span&gt;
&lt;span class="ml"&gt;古フランス語barra（棒）から派生したbarriere（障害物）に由来する。
&lt;span class="spacer"&gt;&lt;/span&gt;もともとは、敵や動物の侵入を防ぐために棒を並べて作った柵や門を指した。ここから比喩的に、何かをすることや物事がすすむことの邪魔になるもの、つまり「障壁, 防壁」という意味になった。&lt;/span&gt;</t>
  </si>
  <si>
    <t>&lt;span class="w"&gt;&lt;b&gt;【563.disadvantage：不利, 障害】&lt;/b&gt;&lt;/span&gt;
&lt;span class="ml"&gt;古フランス語に由来する語で、以下の2つの要素から成る。
&lt;span class="spacer"&gt;&lt;/span&gt;des（否定）
avantage（有利, 利益）
&lt;span class="spacer"&gt;&lt;/span&gt;有利や利益の否定なので「不利, 障害」という意味になる。&lt;/span&gt;</t>
  </si>
  <si>
    <t>&lt;span class="w"&gt;&lt;b&gt;【565.mood：気分, 機嫌, 雰囲気】&lt;/b&gt;&lt;/span&gt;
&lt;span class="ml"&gt;古英語mod（心, 精神, 勇気）にさかのぼる。
&lt;span class="spacer"&gt;&lt;/span&gt;古英語の時代までは戦闘における勇敢さや激しい感情を表していたが、中世以降になるとその戦闘的なニュアンスは徐々に薄れ、全体的な「心の状態」や「気質」を意味するようになった。
&lt;span class="spacer"&gt;&lt;/span&gt;そして近代に入ると、さらに意味が穏やかになり、現在のように「良い気分」や「悪い気分」といった、「気分, 機嫌, 雰囲気」といった日常的で移ろいやすい言葉として定着した。&lt;/span&gt;</t>
  </si>
  <si>
    <t>&lt;span class="w"&gt;&lt;b&gt;【565.motion：動き, 運動】&lt;/b&gt;&lt;/span&gt;
&lt;span class="ml"&gt;ラテン語に由来する語で、以下の2つの要素から成る。
&lt;span class="spacer"&gt;&lt;/span&gt;movere（動かす）
io（名詞化）
&lt;span class="spacer"&gt;&lt;/span&gt;このまま日本語にすると「動かすこと」となり、そのまま「動き, 運動」という意味になる。&lt;/span&gt;</t>
  </si>
  <si>
    <t>&lt;span class="w"&gt;&lt;b&gt;【566.routine：決まりきった仕事, いつもの手順】&lt;/b&gt;&lt;/span&gt;
&lt;span class="ml"&gt;フランス語に由来する語で、以下の2つの要素から成る。
&lt;span class="spacer"&gt;&lt;/span&gt;rute（道, 道路）
ine（名詞化）
&lt;span class="spacer"&gt;&lt;/span&gt;踏みならされた道やいつも通る道のように、いつもの決まったやり方や行動、つまり「決まりきった仕事, いつもの手順」という意味になる。&lt;/span&gt;</t>
  </si>
  <si>
    <t>&lt;span class="w"&gt;&lt;b&gt;【567.discipline：規律, しつけ, 訓練, 学問分野】&lt;/b&gt;&lt;/span&gt;
&lt;span class="ml"&gt;ラテン語discipulus（弟子, 学生）から派生したdisciplina（教えられたこと）に由来する。
&lt;span class="spacer"&gt;&lt;/span&gt;もともとは生徒に対する教えや学問そのものを指した。「学問分野」という意味はこの名残である。
&lt;span class="spacer"&gt;&lt;/span&gt;しかし時代が進むにつれ、生徒に教える内容よりも、正しく導くための指導に焦点が移っていった。その結果、子どもへの「しつけ」や、人に守らせるべき「規律」、学ぶ者に行う「訓練」といった意味が定着した。&lt;/span&gt;</t>
  </si>
  <si>
    <t>&lt;span class="w"&gt;&lt;b&gt;【568.myth：神話, 作り話】&lt;/b&gt;&lt;/span&gt;
&lt;span class="ml"&gt;ギリシャ語mythos（話し言葉, 会話, 語り, 伝承, 神話）に由来する。
&lt;span class="spacer"&gt;&lt;/span&gt;もともとは話し言葉や会話といった口から出る言葉を指した。これには古くから口承で受け継がれてきた物語も含まれる。口頭で伝承された話は、真偽がわからないため、神々に関する「神話」や人が作り上げた「作り話」を意味するようになった。&lt;/span&gt;</t>
  </si>
  <si>
    <t>&lt;span class="w"&gt;&lt;b&gt;【570.physician：医師, 内科医】&lt;/b&gt;&lt;/span&gt;
&lt;span class="ml"&gt;ギリシャ語physis（自然）に由来する。
&lt;span class="spacer"&gt;&lt;/span&gt;ここでいう自然とは、人工の対義語となる森や川などの自然ではなく、あるものに生まれつき備わった成長や変化の原理を意味する。
&lt;span class="spacer"&gt;&lt;/span&gt;大昔の医師は自然の法則や体液のバランスを理解し、その摂理によって健康を回復させる学者であったため、「自然」から「医師, 内科医」という意味が生まれた。
&lt;span class="spacer"&gt;&lt;/span&gt;一方で外科医（surgeon）は、語源的に「手で行う仕事」を意味する。自然の力や理論に基づく内科的治療に対し、実際に刃物を握って物理的な手作業で治療を行う職人であったためphysicianとは明確に区別され、現在でもその区別が残っている。&lt;/span&gt;</t>
  </si>
  <si>
    <t>&lt;span class="w"&gt;&lt;b&gt;【571.client：顧客, （弁護士などへの）依頼人】&lt;/b&gt;&lt;/span&gt;
&lt;span class="ml"&gt;ラテン語clinare（傾く）に関連するclientem（家臣, 従者）に由来する。
&lt;span class="spacer"&gt;&lt;/span&gt;この語の核は「他者に傾いて寄りかかる者」。ここから自分のことに関して誰かを頼る者を表し、弁護士などへの「依頼人」や、助言やサービスを依頼する「顧客」という意味になった。&lt;/span&gt;</t>
  </si>
  <si>
    <t>&lt;span class="w"&gt;&lt;b&gt;【572.colony：植民地】&lt;/b&gt;&lt;/span&gt;
&lt;span class="ml"&gt;ラテン語colere（耕す, 住む）から派生したcolonia（農地, 定住地）に由来する。もともとの耕すという行為から、耕す人、そしてその人々が開拓した新しい定住地へと意味が発展した。
&lt;span class="spacer"&gt;&lt;/span&gt;この「開拓した地に住む」ということが、支配した国や地域に自国民を移住させて開拓を行うという概念と結びつき、「植民地」という意味になった。
&lt;div class="sample_image colony"&gt;&lt;/div&gt;&lt;/span&gt;</t>
  </si>
  <si>
    <t>&lt;span class="w"&gt;&lt;b&gt;【573.statistics：統計（複数扱い）, 統計学（単数扱い）】&lt;/b&gt;&lt;/span&gt;
&lt;span class="ml"&gt;ラテン語status（立つこと, 位置, 状態, 共同体の体制）に由来する。
&lt;span class="spacer"&gt;&lt;/span&gt;もともとは共同体や国家のあり方・状況を表した。そこから、国家の状況を左右する国家運営の専門家、つまり政治家や、国家の状態に関するデータを扱う学問へと発展した。
&lt;span class="spacer"&gt;&lt;/span&gt;そしてこのデータを扱う学問から、国家に限らず広く一般的なデータを扱う「統計学」、またそこで扱われる「統計」という意味になった。
&lt;span class="spacer"&gt;&lt;/span&gt;sの無いstatisticは「統計値, 統計項目」を意味する。&lt;/span&gt;</t>
  </si>
  <si>
    <t>&lt;span class="w"&gt;&lt;b&gt;【574.grain：穀物, 粒, きめ】&lt;/b&gt;&lt;/span&gt;
&lt;span class="ml"&gt;ラテン語granum（穀粒, 種子, 小さな核）に由来する。
&lt;span class="spacer"&gt;&lt;/span&gt;もともとは穀物の食べられる部分である穀粒を指したが、それだけではなく「穀物」全体も表すようになった（稲や麦など）。稲でイメージすると、食べられる粒（米）だけではなく稲そのものも表す。
&lt;span class="spacer"&gt;&lt;/span&gt;また穀物の粒から、一般的に何かの「粒（a grain of 〜）」や、粒のような表面の粗さや質感から「きめ」という意味にもなった。&lt;/span&gt;</t>
  </si>
  <si>
    <t>&lt;span class="w"&gt;&lt;b&gt;【575.ingredient：成分, 材料】&lt;/b&gt;&lt;/span&gt;
&lt;span class="ml"&gt;ラテン語に由来する語で、以下の2つの要素から成る。
&lt;span class="spacer"&gt;&lt;/span&gt;in（中に）
gradi（歩く, 進む）
&lt;span class="spacer"&gt;&lt;/span&gt;このまま日本語にすると「中に歩く」となる。これは「何かの中に入る」イメージ。そこから、混合物や調合などに入るもの、つまり「成分, 材料」という意味になる。
&lt;div class="sample_image ingredient"&gt;&lt;/div&gt;&lt;/span&gt;</t>
  </si>
  <si>
    <t>&lt;span class="w"&gt;&lt;b&gt;【576.treasure：宝物, 財産】&lt;/b&gt;&lt;/span&gt;
&lt;span class="ml"&gt;ギリシャ語thēsauros（蓄え, 宝）に由来する。
&lt;span class="spacer"&gt;&lt;/span&gt;ギリシャ語から意味の変化はほとんどなく「宝物」、蓄え＝「財産」という意味になる。&lt;/span&gt;</t>
  </si>
  <si>
    <t>&lt;span class="w"&gt;&lt;b&gt;【577.contract：契約（書）】&lt;/b&gt;&lt;/span&gt;
&lt;span class="ml"&gt;ラテン語に由来する語で、以下の2つの要素から成る。
&lt;span class="spacer"&gt;&lt;/span&gt;con（共に）
trahere（引く）
&lt;span class="spacer"&gt;&lt;/span&gt;このまま日本語にすると「共に引く」となる。人と人が互いの条件や意見を引き寄せ合い、一つの合意点にまとめることから「契約（書）」という意味になる。
&lt;div class="sample_image contract"&gt;&lt;/div&gt;&lt;/span&gt;</t>
  </si>
  <si>
    <t>&lt;span class="w"&gt;&lt;b&gt;【578.welfare：福祉】&lt;/b&gt;&lt;/span&gt;
&lt;span class="ml"&gt;古英語にさかのぼり、以下の2つの要素から成る。
&lt;span class="spacer"&gt;&lt;/span&gt;wel（良く：wellの語源）
faran（やっていく, 進む）
&lt;span class="spacer"&gt;&lt;/span&gt;このまま日本語にすると「良くやっていく」となる。もともとは、安心もしくは安全な状態で暮らしていくことを表し、ここから市民の安全な生活維持のための「福祉」という意味になった。
&lt;span class="spacer"&gt;&lt;/span&gt;別れを意味するfarewellも同じ古英語にさかのぼる。faren wel（あなたが良くやっていけますように）という別れの挨拶が元になっている。
&lt;span class="spacer"&gt;&lt;/span&gt;またfare（運賃）も古英語faran（進む）にさかのぼる。移動や旅から、その移動手段、そして移動手段の料金という意味になった。&lt;/span&gt;</t>
  </si>
  <si>
    <t>&lt;span class="w"&gt;&lt;b&gt;【579.prime：主要な, 最も重要な】&lt;/b&gt;&lt;/span&gt;
&lt;span class="ml"&gt;ラテン語primus（第一の, 主要な）に由来する。これは「前」を表すpri部分の最上級で「最も前」と考えればよい。
&lt;span class="spacer"&gt;&lt;/span&gt;「最も前」ということから、程度や重要性において第一、つまり「主要な, 最も重要な」という意味になる。&lt;/span&gt;</t>
  </si>
  <si>
    <t>&lt;span class="w"&gt;&lt;b&gt;【580.curious：好奇心の強い】&lt;/b&gt;&lt;/span&gt;
&lt;span class="ml"&gt;ラテン語に由来する語で、以下の2つの要素から成る。
cura（注意, 関心）
osus（形容詞化：〜に満ちた）
&lt;span class="spacer"&gt;&lt;/span&gt;このまま日本語にすると「注意や関心に満ちた」となる。ここから関心が溢れて、熱心に探りたがる、つまり「好奇心が強い」という意味になる。
&lt;div class="sample_image curious"&gt;&lt;/div&gt;&lt;/span&gt;</t>
  </si>
  <si>
    <t>&lt;span class="w"&gt;&lt;b&gt;【581.dramatic：劇的な, 演劇の】&lt;/b&gt;&lt;/span&gt;
&lt;span class="ml"&gt;ギリシャ語に由来する語で、以下の2つの要素から成る。
&lt;span class="spacer"&gt;&lt;/span&gt;drama（劇）
ikos（形容詞化）
&lt;span class="spacer"&gt;&lt;/span&gt;このまま日本語にすると「演劇の」となる。ここから実際の演劇ではなくても、まるで演劇のようであることから「劇的な」という意味になる。&lt;/span&gt;</t>
  </si>
  <si>
    <t>&lt;span class="w"&gt;&lt;b&gt;【582.distinct：明らかに異なる, 明瞭な】&lt;/b&gt;&lt;/span&gt;
&lt;span class="ml"&gt;ラテン語に由来する語で、以下の2つの要素から成る。
&lt;span class="spacer"&gt;&lt;/span&gt;［distinguishの語源］
dis（離れて）
stinguere（突く, 刺激する）
&lt;span class="spacer"&gt;&lt;/span&gt;このまま日本語にすると「突き刺して離す」となる。ここから何かを分ける＝「区別する」という意味になる。
&lt;span class="spacer"&gt;&lt;/span&gt;［disitinctの語源］
動詞distinguishには、中英語期にdistinctenという異なる形があり、この過去分詞からdisitinctという形容詞が生まれた。
&lt;span class="spacer"&gt;&lt;/span&gt;「区別する」の過去分詞「区別された」から、他から切り離されているので他のものとは「明らかに異なる」、違いが「明瞭な」という意味になった。
&lt;div class="sample_image distinct"&gt;&lt;/div&gt;&lt;/span&gt;</t>
    <rPh sb="142" eb="144">
      <t>ゴゲン</t>
    </rPh>
    <rPh sb="293" eb="295">
      <t>ゴゲン</t>
    </rPh>
    <phoneticPr fontId="1"/>
  </si>
  <si>
    <t>&lt;span class="w"&gt;&lt;b&gt;【583.anxious：心配して, 不安で, 切望して】&lt;/b&gt;&lt;/span&gt;
&lt;span class="ml"&gt;ラテン語angere（締め付ける, 窒息させる）に由来する。
&lt;span class="spacer"&gt;&lt;/span&gt;物理的に締め付けて息苦しくさせることから精神的な意味へと変化して、胸が締めつけられて息苦しくなる心の状態、つまり「心配して, 不安で」という意味になった。
&lt;span class="spacer"&gt;&lt;/span&gt;また、胸が強く締め付けられる不安状態のときは、何かを強く望む気持ちにつながる。たとえば受験への心配と合格を切望する気持ちが共存するように、心配と切望は心理的にとても近い。ここから何かを「切望して」という意味にもなる｡
&lt;span class="spacer"&gt;&lt;/span&gt;be anxious to do（〜することを切望している）
&lt;div class="sample_image anxious"&gt;&lt;/div&gt;&lt;/span&gt;</t>
  </si>
  <si>
    <t>&lt;span class="w"&gt;&lt;b&gt;【584.vital：必要不可欠な, 生命に関わる】&lt;/b&gt;&lt;/span&gt;
&lt;span class="ml"&gt;ラテン語に由来する語で、以下の2つの要素から成る。
&lt;span class="spacer"&gt;&lt;/span&gt;vivere（生きる）に関連するvita（生命）
alis（形容詞化）
&lt;span class="spacer"&gt;&lt;/span&gt;このまま日本語にすると「生命に関わる」という意味になる。また、実際に生命の維持に関わることから比喩的に、何かにおいて欠かせないほど重要であることを表し、「必要不可欠な」という意味になった。&lt;/span&gt;</t>
  </si>
  <si>
    <t>&lt;span class="w"&gt;&lt;b&gt;【585.conventional：従来通りの, 型にはまった】&lt;/b&gt;&lt;/span&gt;
&lt;span class="ml"&gt;ラテン語に由来する語で、以下の4つの要素から成る。
&lt;span class="spacer"&gt;&lt;/span&gt;com（共に）
venire（来る）
io（名詞化）
alis（形容詞化）
&lt;span class="spacer"&gt;&lt;/span&gt;まずは「共に来ること」から、①人が集まること、②人が集まって形成される合意、③人が集まることで作られる暗黙のルール＝慣習という意味になる。
&lt;span class="spacer"&gt;&lt;/span&gt;慣習というのは、古くから受け継がれるもの。そこから昔から変わらない、つまり「従来通りの」という意味になる。また少しネガティブなニュアンスになると、新しさがなくて「型にはまった」という意味になる。
&lt;div class="sample_image conventional"&gt;&lt;/div&gt;&lt;/span&gt;</t>
  </si>
  <si>
    <t>&lt;span class="w"&gt;&lt;b&gt;【587.minor：些細な, 小さい】&lt;/b&gt;&lt;/span&gt;
&lt;span class="ml"&gt;ラテン語の比較級minor（より小さい, 重要度の低い）に由来する。
&lt;span class="spacer"&gt;&lt;/span&gt;ここから「小さい」や、重要度が小さい、つまり「些細な」という意味になる。&lt;/span&gt;</t>
  </si>
  <si>
    <t>&lt;span class="w"&gt;&lt;b&gt;【588.extraordinary：並外れた, 驚くべき】&lt;/b&gt;&lt;/span&gt;
&lt;span class="ml"&gt;ラテン語に由来する語で、以下の2つの要素から成る。
&lt;span class="spacer"&gt;&lt;/span&gt;extra（外に, 外側へ）
ordo（列, 順序, 秩序）
&lt;span class="spacer"&gt;&lt;/span&gt;このまま日本語にすると「秩序の外」となる。つまり通常の秩序から外れていることから、「並外れた, 驚くべき」という意味になる。&lt;/span&gt;</t>
  </si>
  <si>
    <t>&lt;span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t>
  </si>
  <si>
    <t>&lt;span class="w"&gt;&lt;b&gt;【590.flexible：融通のきく, 柔軟な】&lt;/b&gt;&lt;/span&gt;
&lt;span class="ml"&gt;ラテン語に由来する語で、以下の2つの要素から成る。
&lt;span class="spacer"&gt;&lt;/span&gt;flectere（曲げる）
bilis（できる）
&lt;span class="spacer"&gt;&lt;/span&gt;このまま日本語にすると「曲げることができる」となる。もともとは物理的に曲げられることだったが、それだけではなく思考や規則、予定などを状況に応じて曲げられるという意味にも広がった。ここから「柔軟な, 融通のきく」という意味になった。&lt;/span&gt;</t>
  </si>
  <si>
    <t>&lt;span class="w"&gt;&lt;b&gt;【591.brief：簡潔な, 短い】&lt;/b&gt;&lt;/span&gt;
&lt;span class="ml"&gt;ラテン語brevis（短い）に由来する。
&lt;span class="spacer"&gt;&lt;/span&gt;もともとは時間的に短いことを表していたが、言葉や文章が短いことも表すようになった。そこから「短い, 簡潔な」という意味になった。&lt;/span&gt;</t>
  </si>
  <si>
    <t>&lt;span class="w"&gt;&lt;b&gt;【593.visible：目に見える】&lt;/b&gt;&lt;/span&gt;
&lt;span class="ml"&gt;ラテン語に由来する語で、以下の2つの要素から成る。
&lt;span class="spacer"&gt;&lt;/span&gt;videre（見る）
bilis（できる）
&lt;span class="spacer"&gt;&lt;/span&gt;このまま日本語にすると「見ることができる」つまり「目に見える」という意味になる。&lt;/span&gt;</t>
  </si>
  <si>
    <t>&lt;span class="w"&gt;&lt;b&gt;【594.unexpected：思いがけない】&lt;/b&gt;&lt;/span&gt;
&lt;span class="ml"&gt;［expectの語源］
ラテン語に由来する語で、以下の2つの要素から成る。
&lt;span class="spacer"&gt;&lt;/span&gt;ex（外に, 徹底的に）
specere（見る）
&lt;span class="spacer"&gt;&lt;/span&gt;このまま日本語にすると「外を徹底的に見る」となる。これが頭の中で未来の出来事に目を向けることへと発展し、未来に起こることを「期待する」という意味になった。
&lt;span class="spacer"&gt;&lt;/span&gt;［unexpectedの語源］
近代英語にさかのぼり、以下の2つの要素から成る。
&lt;span class="spacer"&gt;&lt;/span&gt;un（否定）
expectの過去分詞expected
&lt;span class="spacer"&gt;&lt;/span&gt;ここから、起きることを期待して見ていなかった、つまり「思いがけない」という意味になる。&lt;/span&gt;</t>
  </si>
  <si>
    <t>&lt;span class="w"&gt;&lt;b&gt;【595.ethnic：民族の, 人種の】&lt;/b&gt;&lt;/span&gt;
&lt;span class="ml"&gt;ギリシャ語に由来する語で、以下の2つの要素から成る。
&lt;span class="spacer"&gt;&lt;/span&gt;ethnos（共に生活する人々の集団, 民族）
ikos（形容詞化）
&lt;span class="spacer"&gt;&lt;/span&gt;もともとは一緒に生活する人々の集団を表し、ここから民族となる。これが形容詞となって「民族の」という意味になる。&lt;/span&gt;</t>
  </si>
  <si>
    <t>&lt;span class="w"&gt;&lt;b&gt;【597.initial：初めの】&lt;/b&gt;&lt;/span&gt;
&lt;span class="ml"&gt;ラテン語に由来する語で、以下の4つの要素から成る。
&lt;span class="spacer"&gt;&lt;/span&gt;in（中に）
ire（行く）
ium（名詞化）
alis（形容詞化）
&lt;span class="spacer"&gt;&lt;/span&gt;この語の核は「中へ入って行く」こと。もともとは物理的にどこかの場所へ足を踏み入れる動作から、その「入り口」を表していた。やがて、その空間的な入口という概念が時間やプロセスへと拡張され、物事の「始まり」や行動の「開始」も意味するようになった。つまり、空間・時間・プロセスのすべてにおける「一番最初」を指すことから、「初めの」という意味へと繋がっていった。&lt;/span&gt;</t>
  </si>
  <si>
    <t>&lt;span class="w"&gt;&lt;b&gt;【598.exact：正確な, まさにその】&lt;/b&gt;&lt;/span&gt;
&lt;span class="ml"&gt;ラテン語に由来する語で、以下の2つの要素から成る。
&lt;span class="spacer"&gt;&lt;/span&gt;ex（外へ）
agere（動かす, 駆り立てる）
&lt;span class="spacer"&gt;&lt;/span&gt;このまま日本語にすると「外へ駆り立てる」となる。これは、物事を最後まで徹底的にやり切らせることを表した。そこから、抜けや不足がなく徹底的に行われて完了したことを表すようになり、「正確な, まさにその」という意味へとつながった。&lt;/span&gt;</t>
  </si>
  <si>
    <t>&lt;span class="w"&gt;&lt;b&gt;【599.precise：精密な, 正確な】&lt;/b&gt;&lt;/span&gt;
&lt;span class="ml"&gt;ラテン語に由来する語で、以下の2つの要素から成る。
&lt;span class="spacer"&gt;&lt;/span&gt;prae（前に）
caedere（切る）
&lt;span class="spacer"&gt;&lt;/span&gt;このまま日本語にすると「前もって切る」となる。これは、あらかじめ無駄な部分を切り落としておくことを表した。この余分な部分や曖昧な部分が一切ないということから、「正確な, 精密な」という意味になった。
&lt;div class="sample_image precise"&gt;&lt;/div&gt;&lt;/span&gt;</t>
  </si>
  <si>
    <t>&lt;span class="w"&gt;&lt;b&gt;【601.commit：（受け身で）献身する, 罪などを犯す】&lt;/b&gt;&lt;/span&gt;
&lt;span class="ml"&gt;ラテン語に由来する語で、以下の2つの要素から成る。
&lt;span class="spacer"&gt;&lt;/span&gt;com（共に）
mittere（送る, 放つ）
&lt;span class="spacer"&gt;&lt;/span&gt;このまま日本語にすると「共に送る」となる。ここから現代英語の「献身する」や「罪などを犯す」という意味への発展経緯は明らかではないため、あくまでイメージで覚えておく。この語の核は「対象の元へ何かをまとめて送る」。
&lt;span class="spacer"&gt;&lt;/span&gt;①まだ実行していないものを現実に送る感じから「何かを行う」となる。特に後戻りできない重大なことを行うことから「罪などを犯す」という意味になる。
&lt;span class="spacer"&gt;&lt;/span&gt;②自分自身や自分の能力、時間、権限など、自分と自分に関するものをまとめて対象に送る感じから「献身する, 専念する」という意味になる。この場合は、commit oneself to A / be committed to Aといった形で使われる。&lt;/span&gt;</t>
  </si>
  <si>
    <t>&lt;span class="w"&gt;&lt;b&gt;【602.stimulate：〜を刺激する】&lt;/b&gt;&lt;/span&gt;
&lt;span class="ml"&gt;ラテン語stimulus（突き棒）に由来する。
&lt;span class="spacer"&gt;&lt;/span&gt;突き棒で突くことから「刺激する」という意味になる。
&lt;span class="spacer"&gt;&lt;/span&gt;stimulateのsti部分は、おそらくstick（棒）と関わっているため、stimulateとstickを関連させて覚える。&lt;/span&gt;</t>
  </si>
  <si>
    <t>&lt;span class="w"&gt;&lt;b&gt;【605.react：反応する】&lt;/b&gt;&lt;/span&gt;
&lt;span class="ml"&gt;近代英語にさかのぼり、以下の2つの要素から成る。
&lt;span class="spacer"&gt;&lt;/span&gt;re（後ろへ, 返して）
act（行う）
&lt;span class="spacer"&gt;&lt;/span&gt;このまま日本語にすると「何かに返して行う」となる。出来事や行為に対して何かを行うことから「反応する」という意味になる。&lt;/span&gt;</t>
  </si>
  <si>
    <t>&lt;span class="w"&gt;&lt;b&gt;【606.disagree：不賛成である】&lt;/b&gt;&lt;/span&gt;
&lt;span class="ml"&gt;古フランス語に由来する語で、以下の2つの要素から成る。
&lt;span class="spacer"&gt;&lt;/span&gt;des（否定）
agreer（喜ばせる, 好意的に受け入れる）
&lt;span class="spacer"&gt;&lt;/span&gt;これはagree（賛成する）の反対と覚えればよい。&lt;/span&gt;</t>
  </si>
  <si>
    <t>&lt;span class="w"&gt;&lt;b&gt;【607.stare：じっと見る】&lt;/b&gt;&lt;/span&gt;
&lt;span class="ml"&gt;印欧祖語*ster-（硬い）にさかのぼる。
&lt;span class="spacer"&gt;&lt;/span&gt;この語の核は「硬直して動かない」。視線を硬直させて動かないイメージから「じっとみる」という意味になる。
&lt;span class="spacer"&gt;&lt;/span&gt;印欧祖語*ster-（硬い）は、cholesterol（コレステロール）のステ部分の語源でもある。コレステロールは胆石から見つかった固形物質だったことから、コレ（胆汁）＋ステロール（硬い）という名前がついた。&lt;/span&gt;</t>
  </si>
  <si>
    <t>quit（やめる）
quiet（静かな）
quite（全く, 完全に）
これらは全て同じ語源から生まれている。</t>
  </si>
  <si>
    <t>quietus（静かな, 自由な, 解放された）</t>
  </si>
  <si>
    <t>quite（自由な, 拘束のない, 完全な）
&lt;span class="spacer"&gt;&lt;/span&gt;動詞になって
quiter（精算する, 解放する, 放棄する）</t>
  </si>
  <si>
    <t>cap（取る）系はまとめて覚える。</t>
  </si>
  <si>
    <t>&lt;span class="w"&gt;&lt;b&gt;【610.capture：〜をとらえる】&lt;/b&gt;&lt;/span&gt;
&lt;span class="ml"&gt;ラテン語capere（取る, つかむ）に由来する。
&lt;span class="spacer"&gt;&lt;/span&gt;この語の核は「対象をつかんで自分のもとに置く」。単に取るだけでなく、逃げられない状態にすることを含む。そこから、人や物を「捕える」という意味になり、さらに比喩的に、注意・感情・映像などをとらえるという意味にも広がった。&lt;/span&gt;</t>
  </si>
  <si>
    <t>fer（運ぶ）系はまとめて覚える。</t>
  </si>
  <si>
    <t>1718年
困惑させる, 混乱させる</t>
  </si>
  <si>
    <t>persuadeは「相手の心を心地よく（甘く）動かして納得させる」というイメージ。</t>
  </si>
  <si>
    <t>&lt;span class="w"&gt;&lt;b&gt;【614.rent：〜を賃借りする, 〜を賃貸しする】&lt;/b&gt;&lt;/span&gt;
&lt;span class="ml"&gt;ラテン語に由来する語で、以下の2つの要素から成る。
&lt;span class="spacer"&gt;&lt;/span&gt;re（後ろへ）
dare（与える）
&lt;span class="spacer"&gt;&lt;/span&gt;このまま日本語にすると「後ろへ与える」となる。これは、相手から自分の方に何かが来て、その移動方向の後ろ＝相手方向に何かを与えるイメージ。ここから何かを返すとなる。
&lt;span class="spacer"&gt;&lt;/span&gt;何かを貸す代わりにお金が返ってくることから「賃貸しする」、お金を出す代わりに何かが借りられることから「賃借りする」という意味になる。&lt;/span&gt;</t>
  </si>
  <si>
    <t>re（後ろへ）＋dare（与える）
reddere（返す, 与える, 差し出す）</t>
  </si>
  <si>
    <t>&lt;span class="w"&gt;&lt;b&gt;【615.breed：〜を繁殖させる, 〜を育てる】&lt;/b&gt;&lt;/span&gt;
&lt;span class="ml"&gt;古英語bredan（子を産ませる）にさかのぼる。
&lt;span class="spacer"&gt;&lt;/span&gt;子を産ませることから、特に家畜などを「繁殖させる, 育てる」という意味になる。&lt;/span&gt;</t>
  </si>
  <si>
    <t>serve（保つ, 守る）系はまとめて覚える。</t>
  </si>
  <si>
    <t>re（後ろへ）＋servare（保つ, 守る）
reservare（後ろに守る, 後ろに取っておく, 保存する）</t>
  </si>
  <si>
    <t>&lt;span class="w"&gt;&lt;b&gt;【618.trace：（足跡・起源など）をたどる】&lt;/b&gt;&lt;/span&gt;
&lt;span class="ml"&gt;ラテン語trahere（引く）に由来する。
&lt;span class="spacer"&gt;&lt;/span&gt;何かを引くとそのあとに跡ができる。その跡を目印にしてなぞることから「たどる」という意味になった。&lt;/span&gt;</t>
  </si>
  <si>
    <t>illustrateはイルミネーション（illumination）と同じで「照らしてはっきりさせる」イメージ。</t>
  </si>
  <si>
    <t>&lt;span class="w"&gt;&lt;b&gt;【619.illustrate：（具体例や視覚情報で）〜を説明する, 挿絵を入れる】&lt;/b&gt;&lt;/span&gt;
&lt;span class="ml"&gt;ラテン語に由来する語で、以下の2つの要素から成る。
&lt;span class="spacer"&gt;&lt;/span&gt;in（中に）
lustrare（照らす）
&lt;span class="spacer"&gt;&lt;/span&gt;このまま日本語にすると「中を照らす」となる。不明点やわかりにくい点に光を当ててわかりやすくするイメージから、具体例をつかって「説明する」という意味になる。
&lt;span class="spacer"&gt;&lt;/span&gt;また、明るく華やかにするというイメージから、説明や装飾のために「挿絵を入れる」となる。&lt;/span&gt;</t>
  </si>
  <si>
    <t>日本語の「アドバイスする」と同じ。
vise部分は「見る」に関連する。</t>
  </si>
  <si>
    <t>&lt;span class="w"&gt;&lt;b&gt;【620.advise：〜に/を助言（忠告）する】&lt;/b&gt;&lt;/span&gt;
&lt;span class="ml"&gt;ラテン語videre（見る）から派生した名詞visum（見解）に由来する。
&lt;span class="spacer"&gt;&lt;/span&gt;「見る」ことから「見解」という思考系の意味に派生することは、seeとI see.（なるほど）の関係からわかる。見ることと知ることは密接に結びついている。
&lt;span class="spacer"&gt;&lt;/span&gt;「見解」から自分の見解を出すという行為になって、「助言する, 忠告する」という意味になった。&lt;/span&gt;</t>
  </si>
  <si>
    <t>16世紀
ラテン語のadにならって、dが入ったスペルが定着</t>
  </si>
  <si>
    <t>&lt;span class="w"&gt;&lt;b&gt;【621.convey：〜を伝える, 〜を運ぶ】&lt;/b&gt;&lt;/span&gt;
&lt;span class="ml"&gt;ラテン語に由来する語で、以下の2つの要素から成る。
&lt;span class="spacer"&gt;&lt;/span&gt;com（共に）
via（道）
&lt;span class="spacer"&gt;&lt;/span&gt;このまま日本語にすると「道を共に」となる。もともとは、誰かに付き添って同行することを表したが、そこから人や物を伴って移動する、つまり「運ぶ」という意味になった。さらに抽象化して、具体的な物ではなく、情報や感情を「伝える」という意味になった。&lt;/span&gt;</t>
  </si>
  <si>
    <t>日本語でも付属品のことをアタッチメントと言う。</t>
  </si>
  <si>
    <t>&lt;span class="w"&gt;&lt;b&gt;【623.stretch：〜を伸ばす, 〜を広げる】&lt;/b&gt;&lt;/span&gt;
&lt;span class="ml"&gt;古英語streccan（伸ばす, 広げる）にさかのぼる。
&lt;span class="spacer"&gt;&lt;/span&gt;古英語からほとんど意味の変化はない。&lt;/span&gt;</t>
  </si>
  <si>
    <t>日本語でも使われるパズル（人を悩ませるもの）と関連させて覚える。</t>
  </si>
  <si>
    <t>&lt;span class="w"&gt;&lt;b&gt;【624.puzzle：〜を当惑させる, 〜を困惑させる】&lt;/b&gt;&lt;/span&gt;
&lt;span class="ml"&gt;近代英語pose（難しい問題や質問で当惑させる）にさかのぼる。
&lt;span class="spacer"&gt;&lt;/span&gt;この語はパズルのように「頭に引っかかって前に進めない状態にする」というイメージ。ここから「当惑させる, 困惑させる」という意味になる。
&lt;span class="spacer"&gt;&lt;/span&gt;もともとはposeという形だったが、反復・継続を表すpuzzleという形になった。これにより困惑や当惑が反復・継続している状態、つまり頭の中がぐるぐる回るような状態を表した。&lt;/span&gt;</t>
  </si>
  <si>
    <t>pausare（停止する）</t>
  </si>
  <si>
    <t>poser（置く）</t>
  </si>
  <si>
    <t>poser（仮定する）</t>
  </si>
  <si>
    <t>1520年代
質問する, 問い詰める
&lt;span class="spacer"&gt;&lt;/span&gt;1590年代
困惑させる, 混乱させる, 難解にする
&lt;span class="spacer"&gt;&lt;/span&gt;poseの反復形
pusle（混乱させる）
&lt;span class="spacer"&gt;&lt;/span&gt;pose→puzzleは、nose（鼻）→nuzzle（鼻をすりつける）を真似て作られたと考えられる</t>
  </si>
  <si>
    <t>disturbのturb部分は、troubleと同じ語源に由来する。そのためトラブルと関連させて覚える。</t>
  </si>
  <si>
    <t>&lt;span class="w"&gt;&lt;b&gt;【625.disturb：〜を掻き乱す, 〜を妨害する】&lt;/b&gt;&lt;/span&gt;
&lt;span class="ml"&gt;ラテン語に由来する語で、以下の2つの要素から成る。
&lt;span class="spacer"&gt;&lt;/span&gt;dis（完全に）
turba（混乱）
&lt;span class="spacer"&gt;&lt;/span&gt;このまま日本語にすると「完全に混乱させる」となる。混乱した状態では物事がうまく進まないことから「掻き乱す, 妨害する」となる。
&lt;span class="spacer"&gt;&lt;/span&gt;また、ラテン語turba（混乱）からは英語trouble（トラブル）も生まれている。トラブルというのは物事の進行を妨害するものなので、それと関連させて「妨害する, 掻き乱す」と覚えるとよい。&lt;/span&gt;</t>
  </si>
  <si>
    <t>日本語でも使われる車がクラッシュするなどと関連させて覚える。</t>
  </si>
  <si>
    <t>&lt;span class="w"&gt;&lt;b&gt;【626.crash：衝突する, 墜落する】&lt;/b&gt;&lt;/span&gt;
&lt;span class="ml"&gt;中英語crasschen（粉々に壊す, ガシャガシャと大きな音を立てる）にさかのぼる。
&lt;span class="spacer"&gt;&lt;/span&gt;これはおそらく擬音語で、大きくガチャガチャ音を立てることや、何かを粉々に壊すことを表した。そこから、車や飛行機が登場して「衝突する, 墜落する」という意味へ発展した。&lt;/span&gt;</t>
  </si>
  <si>
    <t>&lt;span class="w"&gt;&lt;b&gt;【627.cope：（with ~）〜に対処する】&lt;/b&gt;&lt;/span&gt;
&lt;span class="ml"&gt;copeはもともと打つ・殴るという意味だったが、18世紀頃までに「対処する」という意味へと発展した。
&lt;span class="spacer"&gt;&lt;/span&gt;これは、北海において「取引する」を意味した交易用語の影響を受けたと考えられる。取引においてうまくやり取りすることから、物事に「対処する」となったと考えられる。&lt;/span&gt;</t>
  </si>
  <si>
    <t>15〜17世紀
&lt;span class="obsolete"&gt;取引する, 交渉する（現在は廃用）
これは北海での貿易用語（取引, 商売）に由来する&lt;/span&gt;
&lt;span class="spacer"&gt;&lt;/span&gt;18世紀までに
物事にうまく対処する, 扱う</t>
  </si>
  <si>
    <t>impressは「中に押し込む」イメージ。</t>
  </si>
  <si>
    <t>&lt;span class="w"&gt;&lt;b&gt;【866.shame：恥, 残念なこと】&lt;/b&gt;&lt;/span&gt;
&lt;span class="ml"&gt;古英語から恥や不名誉に関連する意味があり、そこから大きく変わっていない。&lt;/span&gt;</t>
  </si>
  <si>
    <t>&lt;span class="w"&gt;&lt;b&gt;【458.occasion：時, 場合, 機会】&lt;/b&gt;&lt;/span&gt;
&lt;span class="ml"&gt;ラテン語に由来する語で、以下の3つの要素から成る。
&lt;span class="spacer"&gt;&lt;/span&gt;ob（〜に向かって）
cadere（落ちる）
io（名詞化）
&lt;span class="spacer"&gt;&lt;/span&gt;このまま日本語にすると「何かに向かって落ちること」となる。何かが目の前に向かって落ちてくるように、ある出来事やタイミングが転がりこんでくるイメージ。そこから、ある出来事が起こる「時」という意味になる。
&lt;span class="spacer"&gt;&lt;/span&gt;「場合, 機会」という訳は、文脈に応じて「時」の代わりにするものとして覚えておけばよい。一番重要なのは、何かが起こる「時」という意味。
&lt;span class="spacer"&gt;&lt;/span&gt;ギリシャ語やラテン語では、自分の意思とは関係なく降りかかる出来事を「落ちてくる」という感覚で表現することがある。たとえば、incident（出来事）, case（事例）, symptom（症状）といったものが挙げられる。おそらく神様が天から落とすイメージ。
&lt;span class="spacer"&gt;&lt;/span&gt;このような出来事が落ちてくるという感覚は、日本語の「チャンスが舞い込む」や「災難が降りかかる」という表現にも見られる。自分の意思ではコントロールできないことは、天から落ちてくるという感覚。
&lt;div class="sample_image occasion"&gt;&lt;/div&gt;&lt;/span&gt;</t>
  </si>
  <si>
    <t>&lt;span class="w"&gt;&lt;b&gt;【604.pursue：追い求める】&lt;/b&gt;&lt;/span&gt;
&lt;span class="ml"&gt;ラテン語に由来する語で、以下の2つの要素から成る。
&lt;span class="spacer"&gt;&lt;/span&gt;pro（前へ）
sequi（従う）
&lt;span class="spacer"&gt;&lt;/span&gt;このまま日本語にすると「前に従う」となる。この核は「前にいるものの後を追って従い続ける」。物理的に何かを追いかけることから、比喩的に目標や目的を「追い求める」という意味になった。
&lt;div class="sample_image pursue"&gt;&lt;/div&gt;&lt;/span&gt;</t>
  </si>
  <si>
    <t>&lt;span class="w"&gt;&lt;b&gt;【609.quit：〜をやめる, （場所）を去る】&lt;/b&gt;&lt;/span&gt;
&lt;span class="ml"&gt;ラテン語quietus（静かな, 自由な, 解放された）に由来する。
&lt;span class="spacer"&gt;&lt;/span&gt;義務や責任などに縛られた状態から解放されて静かな状態を表し、ここからquit, quiet, quiteが生まれた。
&lt;span class="spacer"&gt;&lt;/span&gt;quitは、関わっている行動や状況から解放されて離れることから「やめる, 去る」という意味になった。
&lt;span class="spacer"&gt;&lt;/span&gt;quietは解放されて「静かな」、quiteは完全に解放された状態から副詞「完全に」という意味になった。
&lt;div class="sample_image quit"&gt;&lt;/div&gt;&lt;/span&gt;</t>
  </si>
  <si>
    <t>&lt;span class="w"&gt;&lt;b&gt;【611.transfer：〜を移す, 乗り換える】&lt;/b&gt;&lt;/span&gt;
&lt;span class="ml"&gt;ラテン語に由来する語で、以下の2つの要素から成る。
&lt;span class="spacer"&gt;&lt;/span&gt;trans（越えて）
ferre（運ぶ）
&lt;span class="spacer"&gt;&lt;/span&gt;このまま日本語にすると「越えて運ぶ」となる。これは、ある場所から越えた向こう側へ運ぶイメージ。そこから、物や人を一つの状態・場所・手段から別の状態・場所・手段に「移す」という意味になる。
&lt;div class="sample_image transfer"&gt;&lt;/div&gt;&lt;/span&gt;</t>
  </si>
  <si>
    <t>&lt;span class="w"&gt;&lt;b&gt;【613.persuade：〜を説得する, 納得させる】&lt;/b&gt;&lt;/span&gt;
&lt;span class="ml"&gt;ラテン語に由来する語で、以下の2つの要素から成る。
&lt;span class="spacer"&gt;&lt;/span&gt;per（完全に）
suadere（甘くする, 勧める）
&lt;span class="spacer"&gt;&lt;/span&gt;suade部分は英語sweet（甘い）と関連する。この語の核は「甘い言葉で相手を心地よくして、心を動かす」。そこから何かを勧める、そして「説得する, 納得させる」という意味になった。
&lt;div class="sample_image persuade"&gt;&lt;/div&gt;&lt;/span&gt;</t>
  </si>
  <si>
    <t>&lt;span class="w"&gt;&lt;b&gt;【616.invest：投資する】&lt;/b&gt;&lt;/span&gt;
&lt;span class="ml"&gt;ラテン語に由来する語で、以下の2つの要素から成る。
&lt;span class="spacer"&gt;&lt;/span&gt;in（中に）
vetsire（服を着せる）
&lt;span class="spacer"&gt;&lt;/span&gt;もともとは官職の正装を着せることを表した。官職の服を着せるとは、その人に新しい地位を与えること。そこから、何かに価値や力を与えることにつながり、事業に対してお金を与える＝「投資する」という意味になった。
&lt;div class="sample_image invest"&gt;&lt;/div&gt;&lt;/span&gt;</t>
  </si>
  <si>
    <t>&lt;span class="w"&gt;&lt;b&gt;【617.reserve：〜を予約する, 〜を取っておく】&lt;/b&gt;&lt;/span&gt;
&lt;span class="ml"&gt;ラテン語に由来する語で、以下の2つの要素から成る。
&lt;span class="spacer"&gt;&lt;/span&gt;re（後ろへ）
servare（保つ, 守る）
&lt;span class="spacer"&gt;&lt;/span&gt;このまま日本語にすると「後ろへ保つ」となる。何かを後ろに置いて保っておくイメージから「取っておく, 予約する」という意味になる。
&lt;div class="sample_image reserve"&gt;&lt;/div&gt;&lt;/span&gt;</t>
  </si>
  <si>
    <t>&lt;span class="w"&gt;&lt;b&gt;【628.permit：〜を許可する】&lt;/b&gt;&lt;/span&gt;
&lt;span class="ml"&gt;ラテン語に由来する語で、以下の2つの要素から成る。
&lt;span class="spacer"&gt;&lt;/span&gt;per（前へ, 通って）
mittere（送る, 放つ）
&lt;span class="spacer"&gt;&lt;/span&gt;このまま日本語にすると「通して送る」となる。これは、通過を妨げないで行かせることから「許可する」という意味になる。
&lt;div class="sample_image permit"&gt;&lt;/div&gt;&lt;/span&gt;</t>
  </si>
  <si>
    <t>&lt;span class="w"&gt;&lt;b&gt;【629.impress：〜を感動させる, 〜に印象を与える】&lt;/b&gt;&lt;/span&gt;
&lt;span class="ml"&gt;ラテン語に由来する語で、以下の2つの要素から成る。
&lt;span class="spacer"&gt;&lt;/span&gt;in（中に）
premere（押す, 圧する）
&lt;span class="spacer"&gt;&lt;/span&gt;このまま日本語にすると「中に押す」となる。物理的に何かに押し込むことから発展して、心や精神に刻み込む、つまり「印象付ける」という意味になった。また、心や精神に強い影響を与えることから「感動させる」という意味にもなった。
&lt;div class="sample_image impress"&gt;&lt;/div&gt;&lt;/span&gt;</t>
  </si>
  <si>
    <t>spect（見る）系はまとめて覚える。
suspectは名詞だと「容疑者」＝疑われる人になる。</t>
  </si>
  <si>
    <t>&lt;span class="w"&gt;&lt;b&gt;【630.suspect：〜を疑う, 〜ではないかと思う】&lt;/b&gt;&lt;/span&gt;
&lt;span class="ml"&gt;ラテン語に由来する語で、以下の2つの要素から成る。
&lt;span class="spacer"&gt;&lt;/span&gt;sub（下から）
specere（見る）
&lt;span class="spacer"&gt;&lt;/span&gt;このまま日本語にすると「下から見る」となる。これは、下からこっそり見上げて疑いの目を向けるイメージ。ここから「疑う」という意味になる。
&lt;div class="sample_image suspect"&gt;&lt;/div&gt;&lt;/span&gt;</t>
  </si>
  <si>
    <t>&lt;span class="w"&gt;&lt;b&gt;【632.frighten：〜を怖がらせる】&lt;/b&gt;&lt;/span&gt;
&lt;span class="ml"&gt;近代英語にさかのぼり、以下の2つの要素から成る。
&lt;span class="spacer"&gt;&lt;/span&gt;fright（恐怖）
en（動詞化）
&lt;span class="spacer"&gt;&lt;/span&gt;このまま日本語にすると「怖がらせる」という意味になる。「怖がる」の場合は受け身be frightenedになる。&lt;/span&gt;</t>
  </si>
  <si>
    <t>import / export / transportはまとめて覚える。
このport部分は、英語port（港）と関連している。</t>
  </si>
  <si>
    <t>&lt;span class="w"&gt;&lt;b&gt;【633.import：〜を輸入する, 〜を取り込む】&lt;/b&gt;&lt;/span&gt;
&lt;span class="ml"&gt;ラテン語に由来する語で、以下の2つの要素から成る。
&lt;span class="spacer"&gt;&lt;/span&gt;in（中に）
portare（運ぶ）
&lt;span class="spacer"&gt;&lt;/span&gt;このまま日本語にすると「中に運ぶ」となる。他国や他地域から運び込むイメージから「輸入する」や、外から「取り込む」という意味になる。&lt;/span&gt;</t>
  </si>
  <si>
    <t>export / import / transportはまとめて覚える。
このport部分は、英語port（港）と関連している。</t>
  </si>
  <si>
    <t>&lt;span class="w"&gt;&lt;b&gt;【634.export：〜を輸出する】&lt;/b&gt;&lt;/span&gt;
&lt;span class="ml"&gt;ラテン語に由来する語で、以下の2つの要素から成る。
&lt;span class="spacer"&gt;&lt;/span&gt;ex（外に）
portare（運ぶ）
&lt;span class="spacer"&gt;&lt;/span&gt;このまま日本語にすると「外に運ぶ」となる。他国や他地域へ運び出すイメージから「輸出する」という意味になる。&lt;/span&gt;</t>
  </si>
  <si>
    <t>&lt;span class="w"&gt;&lt;b&gt;【636.monitor：〜を監視する】&lt;/b&gt;&lt;/span&gt;
&lt;span class="ml"&gt;ラテン語に由来する語で、以下の2つの要素から成る。
&lt;span class="spacer"&gt;&lt;/span&gt;monere（思い出させる, 警告する）
or（〜するもの）
&lt;span class="spacer"&gt;&lt;/span&gt;このまま日本語にすると「警告するもの」となる。これは、問題がないか目を光らせるイメージで。そこから、何かを「監視する」という意味になる。&lt;/span&gt;</t>
  </si>
  <si>
    <t>1931年
放送の品質を継続的にチェックするための装置
特定のカメラからの映像を映し出す画面
&lt;span class="spacer"&gt;&lt;/span&gt;1944年から
一般的に、何かを監視する</t>
  </si>
  <si>
    <t>英語chalk（チョーク）と関連する語。</t>
  </si>
  <si>
    <t>eはex（外に）で、limineはlimitと同じ語源に由来する。</t>
  </si>
  <si>
    <t>ex（外に）＋limine（敷居, 境界：limitの語源）
ex limine（敷居の外へ）
&lt;span class="spacer"&gt;&lt;/span&gt;動詞になって
eliminare（敷居の外へ押し出す）
&lt;span class="spacer"&gt;&lt;/span&gt;過去分詞eliminatus</t>
  </si>
  <si>
    <t>easy（簡単な, 気楽な）の動詞として覚えればよい。</t>
  </si>
  <si>
    <t>&lt;span class="w"&gt;&lt;b&gt;【639.ease：〜を軽減する, 和らぐ】&lt;/b&gt;&lt;/span&gt;
&lt;span class="ml"&gt;古フランス語aise（快適さ）から派生した動詞aiserに由来する。
&lt;span class="spacer"&gt;&lt;/span&gt;このまま日本語にすると「快適にする」となる。これは、対象を圧力・負担・緊張などがない状態にすることを表す。そこから「軽減する, 和らぐ」という意味になった。&lt;/span&gt;</t>
  </si>
  <si>
    <t>launchは「ランス（槍）を投げるように何かを発射する, 開始する」というイメージ。</t>
  </si>
  <si>
    <t>sequi（従う, 続く）系はまとめて覚える。</t>
  </si>
  <si>
    <t>アニマルセラピーなどでも使われる「セラピー（治療法）」と関連させて覚える。</t>
  </si>
  <si>
    <t>&lt;span class="w"&gt;&lt;b&gt;【642.therapy：療法】&lt;/b&gt;&lt;/span&gt;
&lt;span class="ml"&gt;ギリシャ語therapeuein（世話をする, 治療する）に由来する。
&lt;span class="spacer"&gt;&lt;/span&gt;治療するという動詞から「治療法」という名詞になった。&lt;/span&gt;</t>
  </si>
  <si>
    <t>symptomは「突然降りかかる体の異常」というイメージ。</t>
  </si>
  <si>
    <t>&lt;span class="w"&gt;&lt;b&gt;【644.incident：出来事, 事件】&lt;/b&gt;&lt;/span&gt;
&lt;span class="ml"&gt;ラテン語に由来する語で、以下の2つの要素から成る。
&lt;span class="spacer"&gt;&lt;/span&gt;in（中に）
cadere（落ちる）
&lt;span class="spacer"&gt;&lt;/span&gt;このまま日本語にすると「中に落ちる」となる。物理的に落ちてくることから比喩的に、人や状況に降りかかる「出来事」という意味になった。
&lt;span class="spacer"&gt;&lt;/span&gt;ギリシャ語やラテン語では、自分の意思とは関係なく降りかかる出来事を「落ちてくる」という感覚で表現することがある。たとえば、occasion（場合, 時）, case（事例）, symptom（症状）といったものが挙げられる。おそらく神様が天から落とすイメージ。
&lt;span class="spacer"&gt;&lt;/span&gt; このような出来事が落ちてくるという感覚は、日本語の「チャンスが舞い込む」や「災難が降りかかる」という表現にも見られる。自分の意思ではコントロールできないことは、天から落ちてくるという感覚。&lt;/span&gt;&lt;/span&gt;</t>
  </si>
  <si>
    <t>15世紀初頭
他の事柄に付随して偶然に起こるもの
&lt;span class="spacer"&gt;&lt;/span&gt;15世紀半ば
他の事柄とは関係ないひとつの出来事</t>
  </si>
  <si>
    <t>witnessは「事実を見た人とその人の知っていること」というイメージ。</t>
  </si>
  <si>
    <t>*weid-（見る）</t>
  </si>
  <si>
    <t>sumは、superの最上級で「一番上に書かれたまとめ」と考えればよい。</t>
  </si>
  <si>
    <t>burdenのbur部分は、bear, birth, bringと同じ。</t>
  </si>
  <si>
    <t>&lt;span class="w"&gt;&lt;b&gt;【647.burden：負担, 積み荷】&lt;/b&gt;&lt;/span&gt;
&lt;span class="ml"&gt;印欧祖語*bher-（運ぶ）に由来する。
&lt;span class="spacer"&gt;&lt;/span&gt;ここから運ばれるもの、つまり「負担, 積荷」という意味になる。
&lt;span class="spacer"&gt;&lt;/span&gt;この印欧祖語からは、bear（耐える, 生む）, birth（誕生）, bring（持ってくる）なども生まれている。どれも抱えて運ぶイメージが根底にある。&lt;/span&gt;</t>
  </si>
  <si>
    <t>日本語でも使われるトーン（音色）と関連させて覚える。toneは、tendやtensionのように「何か引き伸ばす」イメージ。</t>
  </si>
  <si>
    <t>&lt;span class="w"&gt;&lt;b&gt;【648.tone：口調, 音色, 色調】&lt;/b&gt;&lt;/span&gt;
&lt;span class="ml"&gt;ギリシャ語tonos（張ること, 締め付けること, 声の高さ, 音楽の調）に由来する。
&lt;span class="spacer"&gt;&lt;/span&gt;もともとは、伸ばすこと・張ること・弦の張り具合を表した。弦楽器は弦の張り方の強弱によって音が変わることから「音色」という意味になった。また音色のように程度が変化するものとして、話し方の「口調」、色の違いの「色調」という意味にもなった。&lt;/span&gt;</t>
  </si>
  <si>
    <t>&lt;span class="w"&gt;&lt;b&gt;【649.honor：名誉, 敬意, 光栄】&lt;/b&gt;&lt;/span&gt;
&lt;span class="ml"&gt;ラテン語honorem（名誉, 名声）に由来する。
&lt;span class="spacer"&gt;&lt;/span&gt;ラテン語から変わらず「名誉」という意味をもつ。「名誉」ある人は「敬意」を向けられて「光栄」と覚える。&lt;/span&gt;</t>
  </si>
  <si>
    <t>&lt;span class="w"&gt;&lt;b&gt;【650.award：賞, 授与】&lt;/b&gt;&lt;/span&gt;
&lt;span class="ml"&gt;古北フランス語に由来する語で、以下の2つの要素から成る。
&lt;span class="spacer"&gt;&lt;/span&gt;es（外に）
warder（注意して見る）
&lt;span class="spacer"&gt;&lt;/span&gt;この語の核は「注意深く見て判断した結果、何かを外に出す」。そこから、注意深い観察の後に送られる「賞」や、賞を与えること＝「授与」という意味になった。&lt;/span&gt;</t>
  </si>
  <si>
    <t>prior（先の, 優先している）の名詞として覚える。</t>
  </si>
  <si>
    <t>&lt;span class="w"&gt;&lt;b&gt;【651.priority：優先（事項）】&lt;/b&gt;&lt;/span&gt;
&lt;span class="ml"&gt;ラテン語に由来する語で、以下の3つの要素から成る。
&lt;span class="spacer"&gt;&lt;/span&gt;pri（前に, 以前に）
or（比較級）
tas（名詞化）
&lt;span class="spacer"&gt;&lt;/span&gt;このまま日本語にすると「他より前にあること」となる。他よりも前にあるということは、他よりも優先されるということ。そこから「優先（事項）」という意味になる。&lt;/span&gt;</t>
  </si>
  <si>
    <t>priorに名詞を作る-tasが付いて
prioritas（先行していること）</t>
  </si>
  <si>
    <t>日本語でも使われるロジック（論理）と関連させて覚える。</t>
  </si>
  <si>
    <t>&lt;span class="w"&gt;&lt;b&gt;【652.logic：論理, 論理学】&lt;/b&gt;&lt;/span&gt;
&lt;span class="ml"&gt;ギリシャ語に由来する語で、以下の2つの要素から成る。
&lt;span class="spacer"&gt;&lt;/span&gt;logos（理性, 思考, 言葉, ロゴス）
ikos（形容詞化）
&lt;span class="spacer"&gt;&lt;/span&gt;古代ギリシャにおけるロゴスとは、混沌としているように見える世界の背後にある秩序や法則。人々は理性によってその秩序を理解し、言葉によってその法則を表現・説明した。ここから秩序・法則・理性・言葉という概念が「ロゴス」という言葉で結びつく。
&lt;span class="spacer"&gt;&lt;/span&gt;一貫した秩序（ロゴス）に従って正しく考え、矛盾なく言葉で表現するための方法がロジック＝「論理」という意味になる。&lt;/span&gt;</t>
  </si>
  <si>
    <t>ミニマムはマイナーの最上級。</t>
  </si>
  <si>
    <t>&lt;span class="w"&gt;&lt;b&gt;【653.minimum：最小限度】&lt;/b&gt;&lt;/span&gt;
&lt;span class="ml"&gt;ラテン語に由来する語で、以下の3つの要素から成る。
minor（より小さい）
imus（最上級を作る）
um（名詞化）
&lt;span class="spacer"&gt;&lt;/span&gt;このまま日本語にすると「最も小さいもの」つまり「最小限度」となる。&lt;/span&gt;</t>
  </si>
  <si>
    <t>minor（より小さい）
&lt;span class="spacer"&gt;&lt;/span&gt;最上級を作る-imusが付いて
minimus（もっとも小さい）
&lt;span class="spacer"&gt;&lt;/span&gt;名詞を作る-umが付いて
minimum（最小のもの）</t>
  </si>
  <si>
    <t>cept（取る）系はまとめて覚える。
またexcept（～を除いて）の名詞として覚える。</t>
  </si>
  <si>
    <t>&lt;span class="w"&gt;&lt;b&gt;【654.exception：例外】&lt;/b&gt;&lt;/span&gt;
&lt;span class="ml"&gt;ラテン語に由来する語で、以下の3つの要素から成る。
&lt;span class="spacer"&gt;&lt;/span&gt;ex（外に）
capere（取る）
io（名詞化）
&lt;span class="spacer"&gt;&lt;/span&gt;このまま日本語にすると「外に取り出すこと」となる。あるルールや条件の範囲の外に取り出すことから「例外」という意味になる。&lt;/span&gt;</t>
  </si>
  <si>
    <t>&lt;span class="w"&gt;&lt;b&gt;【655.clue：手がかり】&lt;/b&gt;&lt;/span&gt;
&lt;span class="ml"&gt;中英語clewe（毛糸の玉）に由来する。
&lt;span class="spacer"&gt;&lt;/span&gt;これはギリシャ神話の「アリアドネの糸」の影響で「手がかり」という意味になった。
&lt;span class="spacer"&gt;&lt;/span&gt;［アリアドネの糸］
迷宮に住むミノタウロスを倒しに行くテセウスが、倒した後に道に迷わずに迷宮を脱出できるよう、アリアドネはテセウスに糸玉を渡す。テセウスは入り口に糸の端を結びつけ、糸を伸ばしながら進み、帰りはその糸を手がかりに入り口に戻ることができた。&lt;/span&gt;</t>
  </si>
  <si>
    <t>&lt;span class="w"&gt;&lt;b&gt;【657.virus：ウイルス】&lt;/b&gt;&lt;/span&gt;
&lt;span class="ml"&gt;ラテン語virus（毒）に由来する。
&lt;span class="spacer"&gt;&lt;/span&gt;もともとは、毒という他人に感染するものを表した。そして病気を引き起こすウイルスが発見され、「ウイルス」という意味になった。&lt;/span&gt;</t>
  </si>
  <si>
    <t>1790年代
感染症の伝染因子
&lt;span class="spacer"&gt;&lt;/span&gt;1870年代
病原性の微小因子
&lt;span class="spacer"&gt;&lt;/span&gt;1890年代後半
ウイルスが発見されてから、ウイルスという意味になる</t>
  </si>
  <si>
    <t>physician（内科医）と関連させて覚える。</t>
  </si>
  <si>
    <t>&lt;span class="w"&gt;&lt;b&gt;【658.surgery：外科手術】&lt;/b&gt;&lt;/span&gt;
&lt;span class="ml"&gt;ギリシャ語に由来する語で、以下の2つの要素から成る。
&lt;span class="spacer"&gt;&lt;/span&gt;kheir（手）
ergon（仕事）
&lt;span class="spacer"&gt;&lt;/span&gt;このまま日本語にすると「手仕事」となる。特に医療において手で行う治療を指し、そこから「外科手術」という意味になった。
&lt;span class="spacer"&gt;&lt;/span&gt;外科医はsurgeonという。&lt;/span&gt;</t>
  </si>
  <si>
    <t>insuranceは以下のイメージ。
sura（心配から離れた）
in（状態にする）
ance（もの）</t>
  </si>
  <si>
    <t>&lt;span class="w"&gt;&lt;b&gt;【660.frame：枠, 縁, 骨組み】&lt;/b&gt;&lt;/span&gt;
&lt;span class="ml"&gt;古英語fram（〜から, 前方へ, 活動的な, 前進する）にさかのぼる。
&lt;span class="spacer"&gt;&lt;/span&gt;もともとはfrom（〜から）の語源と同じ語から出発した。「〜から」という起点を表す語から、物事を前へ進めていくこと、何かを前に進めるための準備、さらに木材などを準備して組み立てられた構造物へと意味がシフトしていった。そして組み立てられた構造物の「枠, 骨組み, 縁」といった意味になった。&lt;/span&gt;</t>
  </si>
  <si>
    <t>日本語でも使われるシェルター（避難所）と関連させて覚える。
shelterは、shield（盾）と関連する語。</t>
  </si>
  <si>
    <t>&lt;span class="w"&gt;&lt;b&gt;【661.shelter：避難所, 保護, シェルター】&lt;/b&gt;&lt;/span&gt;
&lt;span class="ml"&gt;古英語にさかのぼり、に由来する語で、以下の2つの要素から成る。
&lt;span class="spacer"&gt;&lt;/span&gt;scield（盾）
truma（軍隊）
&lt;span class="spacer"&gt;&lt;/span&gt;もともとは、軍の兵士が密集して盾を組み合わせた防御陣形を表した。盾を組み合わせて作られた壁や屋根から、身を守るために作られた構造物、つまり「避難所, 保護」という意味になった。&lt;/span&gt;</t>
  </si>
  <si>
    <t>日本語でも使われるテリトリーと関連させて覚える。</t>
  </si>
  <si>
    <t>&lt;span class="w"&gt;&lt;b&gt;【663.boundary：境界（線）, （boundaries）限界】&lt;/b&gt;&lt;/span&gt;
&lt;span class="ml"&gt;中世ラテン語bodina（境界を示す目印）に由来する、近代英語bound（境界）にary（場所や物を示す）が付いた語。
&lt;span class="spacer"&gt;&lt;/span&gt;もともとは、境界を示す目印を結んだ地理的な「境界（線）」を意味していた。そしてさらに比喩的に、公私の境界や人間関係における心理的な境界、ルールの限界など、目に見えない「境界（線）, 限界」という意味になった。&lt;/span&gt;</t>
  </si>
  <si>
    <t>bodina（境界を示す目印）</t>
  </si>
  <si>
    <t>habitatのhabit部分は「持ち続ける」というイメージ。&lt;span class="obsolete"&gt;habit（習慣）も行動を持ち続けているということ。&lt;/span&gt;</t>
  </si>
  <si>
    <t>habēre（持つ, 所有する）
&lt;span class="spacer"&gt;&lt;/span&gt;反復形habitāre（持ち続ける, 占有する, 住む）</t>
  </si>
  <si>
    <t>1762年
植物や生物の生息地
&lt;span class="obsolete"&gt;イギリスの動植物に関するラテン語で書かれた文献で使われていた専門用語&lt;/span&gt;
&lt;span class="spacer"&gt;&lt;/span&gt;1854年
一般的な住居, 住処</t>
  </si>
  <si>
    <t>アメリカの首都：ワシントン D.C.
Washington District of Colombia
初代大統領の名前ワシントン＋「コロンビア特別区」
&lt;span class="obsolete"&gt;コロンビアは、新大陸を象徴するコロンブスの名前に基づく。&lt;/span&gt;</t>
  </si>
  <si>
    <t>&lt;span class="w"&gt;&lt;b&gt;【17.concern：（受け身で）心配している, 関係する】&lt;/b&gt;&lt;/span&gt;
&lt;span class="ml"&gt;ラテン語に由来する語で、以下の2つの要素から成る。
&lt;span class="spacer"&gt;&lt;/span&gt;com（共に）
cernere（ふるいにかける）
&lt;span class="spacer"&gt;&lt;/span&gt;このまま日本語にすると「共にふるいにかける」となる。ふるいにかけ&lt;strong&gt;られる&lt;/strong&gt;と似たような関係のあるものが残るので、ふるいにかけられる側の目線（受け身）で「関係する」という意味になる。
&lt;span class="spacer"&gt;&lt;/span&gt;be concerned &lt;strong&gt;with&lt;/strong&gt; Aは、Aと一緒にふるいにかけられて残るイメージから「Aと関係する」となる。
&lt;span class="spacer"&gt;&lt;/span&gt;また関係ある物事の中でも、特に自分自身の利益に関係することはどうしても気になってしまうことから、be concerned &lt;strong&gt;about&lt;/strong&gt;で「心配する」へと発展する。
&lt;div class="sample_image concern"&gt;&lt;/div&gt;&lt;/span&gt;</t>
  </si>
  <si>
    <t>&lt;span class="w"&gt;&lt;b&gt;【100.despite：～にもかかわらず】&lt;/b&gt;&lt;/span&gt;
&lt;span class="ml"&gt;ラテン語に由来する語で、以下の2つの要素から成る。
&lt;span class="spacer"&gt;&lt;/span&gt;de（下に）
specere（見る）
&lt;span class="spacer"&gt;&lt;/span&gt;このまま日本語にすると「下に見る」となる。これは見下すという対象の存在を軽く見る行為。「対象があってもなくても関係ない」から「～にもかかわらず」という意味になる。
&lt;span class="spacer"&gt;&lt;/span&gt;ターゲットの例文 "They went hiking despite the fact a storm was coming" は「嵐が来ている事実を、それが事実であろうとなかろうと関係なくハイキングに行った」ということを伝えている。この日本語訳を「嵐が来ているという事実&lt;strong&gt;にもかかわらず&lt;/strong&gt;」と表現しているだけ。&lt;/span&gt;</t>
  </si>
  <si>
    <t>&lt;span class="w"&gt;&lt;b&gt;【286.familiar：よく知っている（with）, よく知られている（to）】&lt;/b&gt;&lt;/span&gt;
&lt;span class="ml"&gt;ラテン語に由来する語で、以下の2つの要素から成る。
&lt;span class="spacer"&gt;&lt;/span&gt;familia（家族）
aris（形容詞化）
&lt;span class="spacer"&gt;&lt;/span&gt;「家族のような」というお互いのことをよく知っている関係であることから「よく知っている, よく知られている」という意味になる。
&lt;span class="spacer"&gt;&lt;/span&gt;何かを知っている場合
be familiar &lt;strong&gt;with&lt;/strong&gt; A
&lt;span class="spacer"&gt;&lt;/span&gt;何かに知られている場合
be familiar &lt;strong&gt;to&lt;/strong&gt; A
（be known to ~と関連させて覚える）&lt;/span&gt;</t>
  </si>
  <si>
    <t>&lt;span class="w"&gt;&lt;b&gt;【335.bore：～を退屈させる, ～をうんざりさせる】&lt;/b&gt;&lt;/span&gt;
&lt;span class="ml"&gt;一説では、古英語borian（棒を回して穴を開ける）に由来すると考えられる。
&lt;span class="spacer"&gt;&lt;/span&gt;棒を回して穴を開けるのは非常に時間がかかることなので、そこから「退屈させる, うんざりさせる」という意味になった。
&lt;span class="spacer"&gt;&lt;/span&gt;退屈&lt;strong&gt;させる&lt;/strong&gt;という意味なので、退屈&lt;strong&gt;する&lt;/strong&gt;は受け身になる。
be bored with A（Aにうんざり / 退屈している）&lt;/span&gt;</t>
  </si>
  <si>
    <t>circum（周囲, 円）とstance（スタンス）＝「周りのスタンス＝状況, 事情」というイメージで覚えればよい。
&lt;span class="spacer"&gt;&lt;/span&gt;以下の表現も覚えておく。
&lt;strong&gt;under no circumstances
いかなる状況でも〜ない&lt;/strong&gt;</t>
  </si>
  <si>
    <t>東京のお台場には「ダイバーシティ東京」という複合施設がある。これは、diversity（多様性）とcity（街）を組み合わせた造語で、&lt;strong&gt;多様な&lt;/strong&gt;な付加価値を提供する街として名付けられた。</t>
  </si>
  <si>
    <t>&lt;span class="w"&gt;&lt;b&gt;【600.latter：後者の, 後半の】&lt;/b&gt;&lt;/span&gt;
&lt;span class="ml"&gt;古英語læt（遅い：lateの語源）の比較級lætra（より後の）にさかのぼる。
&lt;span class="spacer"&gt;&lt;/span&gt;これは、2つのうち「より後の方」ということから「後者の, 後半の」という意味になった。
&lt;span class="spacer"&gt;&lt;/span&gt;古英語læt（遅い）から生まれた比較級は、latterとlaterがある。
（lateの比較級がlater / latterと考えればよい）
&lt;span class="spacer"&gt;&lt;/span&gt;latterは&lt;strong&gt;順序&lt;/strong&gt;において「より後の」を意味する。
（the former ~）the latter …（2つある内の後者）として使われる。
&lt;span class="spacer"&gt;&lt;/span&gt;laterは&lt;strong&gt;時間&lt;/strong&gt;において「より後の」を意味する。&lt;/span&gt;</t>
  </si>
  <si>
    <t>工場などで物を流して運ぶベルトコンベアと関連させて覚える。コンベアはconveyにor（〜するもの）がついた語。
&lt;div class="sample_image convey"&gt;&lt;/div&gt;</t>
    <phoneticPr fontId="1"/>
  </si>
  <si>
    <t>日本語でも使われるウイルスと関連させて覚える。&lt;strong&gt;発音に注意&lt;/strong&gt;。</t>
  </si>
  <si>
    <t>neverthelessはnonethelessと一緒に覚える。
&lt;span class="spacer"&gt;&lt;/span&gt;A nevertheless / nonetheless B
the less（より少なく）をnone / neverで否定して「ふつうならBの程度はlessになるのに影響なし」というイメージ。</t>
    <rPh sb="133" eb="135">
      <t>テイド</t>
    </rPh>
    <rPh sb="145" eb="147">
      <t>エイキョウ</t>
    </rPh>
    <phoneticPr fontId="1"/>
  </si>
  <si>
    <t>&lt;span class="w"&gt;&lt;b&gt;【608.abandon：〜を捨てる, 〜を放棄する】&lt;/b&gt;&lt;/span&gt;
&lt;span class="ml"&gt;古フランス語のフレーズá bandon（意のままに）に由来し、以下の2つの要素から成る。
&lt;span class="spacer"&gt;&lt;/span&gt;á（〜へ）
bandon（権力, 支配）
&lt;span class="spacer"&gt;&lt;/span&gt;この語の核は「支配（bandon）に委ねること」。もともとは、あるものを自分の支配から手放し、他人の支配や成り行きに任せることを意味した。そこから、自分の管理や責任の範囲から外してしまうという意味が生じ、「捨てる, 放棄する」という意味になった。
&lt;div class="sample_image abandon"&gt;&lt;/div&gt;&lt;/span&gt;</t>
    <phoneticPr fontId="1"/>
  </si>
  <si>
    <t>&lt;span class="w"&gt;&lt;b&gt;【631.upset：〜を動揺させる, うろたえさせる】&lt;/b&gt;&lt;/span&gt;
&lt;span class="ml"&gt;中英語にさかのぼり、以下の2つの要素から成る。
&lt;span class="spacer"&gt;&lt;/span&gt;up（上に）
set（置く）
&lt;span class="spacer"&gt;&lt;/span&gt;中英語期には様々な意味を持っていたが、現在はそれらの意味は失われている。その後、近代英語期にoversetという単語が持っていた「ひっくり返す」という意味を吸収した。何かをひっくり返すとき、グラグラ揺れる状態になることから、精神的にグラグラさせる、つまり「動揺させる, うろたえさせる」という意味になった。
&lt;div class="sample_image upset"&gt;&lt;/div&gt;&lt;/span&gt;</t>
    <phoneticPr fontId="1"/>
  </si>
  <si>
    <t>&lt;span class="w"&gt;&lt;b&gt;【635.investigate：〜を調査する】&lt;/b&gt;&lt;/span&gt;
&lt;span class="ml"&gt;ラテン語に由来する語で、以下の2つの要素から成る。
&lt;span class="spacer"&gt;&lt;/span&gt;in（中に）
vestigum（足跡）から派生したvestigare（跡をたどる）
&lt;span class="spacer"&gt;&lt;/span&gt;この語の核は「中へ入り込んで跡をたどる」。何かを追跡し、その内部や詳細へ足を踏み入れて調べるイメージから「調査する」という意味になる。
&lt;div class="sample_image investigate"&gt;&lt;/div&gt;&lt;/span&gt;</t>
    <phoneticPr fontId="1"/>
  </si>
  <si>
    <t>&lt;span class="w"&gt;&lt;b&gt;【637.calculate：〜を計算する, 〜を予測する】&lt;/b&gt;&lt;/span&gt;
&lt;span class="ml"&gt;ラテン語に由来する語で、以下の2つの要素から成る。
&lt;span class="spacer"&gt;&lt;/span&gt;calx（石灰石）
ulus（小さいことを表す）
&lt;span class="spacer"&gt;&lt;/span&gt;このまま日本語にすると「小さい石灰石, 小石」となる。古代ローマでは、計算するときに小石が使用されたことから、動詞で「計算する」という意味になった。
&lt;span class="spacer"&gt;&lt;/span&gt;またそこから、状況に基づいて今後どうなるかを計算する、つまり「予測する」という意味になった。
&lt;span class="spacer"&gt;&lt;/span&gt;ラテン語calx（石灰石）は、英語chalk（チョーク）の誕生にも関わっている。
&lt;div class="sample_image calculate"&gt;&lt;/div&gt;&lt;/span&gt;</t>
    <rPh sb="372" eb="375">
      <t>セッカイセキ</t>
    </rPh>
    <phoneticPr fontId="1"/>
  </si>
  <si>
    <t>&lt;span class="w"&gt;&lt;b&gt;【638.eliminate：〜を取り除く, 〜を排除する】&lt;/b&gt;&lt;/span&gt;
&lt;span class="ml"&gt;ラテン語に由来する語で、以下の2つの要素から成る。
&lt;span class="spacer"&gt;&lt;/span&gt;ex（外に）
limine（敷居, 境界：limitの語源）
&lt;span class="spacer"&gt;&lt;/span&gt;ラテン語limineは、limit（リミット）の語源でもある。eliminateは「リミットの外へ押しやる」というイメージで覚えればよい。内側にあるものをリミット（限界）の外へ押しやることから「取り除く, 排除する」という意味になる。
&lt;div class="sample_image eliminate"&gt;&lt;/div&gt;&lt;/span&gt;</t>
    <phoneticPr fontId="1"/>
  </si>
  <si>
    <t>&lt;span class="w"&gt;&lt;b&gt;【640.launch：〜を発射する, 〜を開始する】&lt;/b&gt;&lt;/span&gt;
&lt;span class="ml"&gt;ラテン語lancea（槍, ランス）に由来する。
&lt;span class="spacer"&gt;&lt;/span&gt;これは槍を投げることから、勢いよく何かを前に投げ出すイメージになる。そこから、何かを「発射する」や何かを「開始する」という意味になった。
&lt;div class="sample_image launch"&gt;&lt;/div&gt;&lt;/span&gt;</t>
    <phoneticPr fontId="1"/>
  </si>
  <si>
    <t>&lt;span class="w"&gt;&lt;b&gt;【641.sequence：連続, 一連のもの】&lt;/b&gt;&lt;/span&gt;
&lt;span class="ml"&gt;ラテン語sequi（従う, 続く）に由来する。
&lt;span class="spacer"&gt;&lt;/span&gt;何かに従って続いていくことから「一連のもの, 連続」という意味になる。
&lt;div class="sample_image sequence"&gt;&lt;/div&gt;&lt;/span&gt;</t>
    <phoneticPr fontId="1"/>
  </si>
  <si>
    <t>&lt;span class="w"&gt;&lt;b&gt;【643.symptom：症状】&lt;/b&gt;&lt;/span&gt;
&lt;span class="ml"&gt;ギリシャ語に由来する語で、以下の2つの要素から成る。
&lt;span class="spacer"&gt;&lt;/span&gt;syn（共に）
piptein（落ちる）
&lt;span class="spacer"&gt;&lt;/span&gt;このまま日本語にすると「共に落ちる」となる。「共に落ちる」というのは、ある出来事と一緒に別の出来事が現れることを表した。そこから、病気と共に現れる「症状」という意味になった。
&lt;span class="spacer"&gt;&lt;/span&gt;ギリシャ語やラテン語では、自分の意思とは関係なく降りかかる出来事を「落ちてくる」という感覚で表現することがある。たとえば、incident（出来事）, occasion（場合, 時）, case（事例）といったものが挙げられる。おそらく神様が天から落とすイメージ。
&lt;span class="spacer"&gt;&lt;/span&gt; このような出来事が落ちてくるという感覚は、日本語の「チャンスが舞い込む」や「災難が降りかかる」という表現にも見られる。自分の意思ではコントロールできないことは、天から落ちてくるという感覚。&lt;/span&gt;</t>
    <phoneticPr fontId="1"/>
  </si>
  <si>
    <t>&lt;span class="w"&gt;&lt;b&gt;【645.witness：目撃者, 証人, 証言】&lt;/b&gt;&lt;/span&gt;
&lt;span class="ml"&gt;古英語にさかのぼり、以下の2つの要素から成る。
&lt;span class="spacer"&gt;&lt;/span&gt;wit（知識, 知恵, 理解）
nes（名詞化）
&lt;span class="spacer"&gt;&lt;/span&gt;このwitは、印欧祖語*weid-（見る）に由来する。見ることによって知識を得られるため「見る」と「知る」は密接に結びつく。このことはsee / I see.や、同じ印欧祖語から生まれたview（眺め, 見解）にも表れている。
&lt;span class="spacer"&gt;&lt;/span&gt;ここからwitnessは、見て知っている人＝「目撃者」や、知っている人＝「証人」という意味になる。またその人が知っている内容＝「証言」という意味になる。&lt;/span&gt;</t>
    <phoneticPr fontId="1"/>
  </si>
  <si>
    <t>日本語でも使われる工作のボンド（接着剤）と関連させて覚える。
bondは「何かを結びつけるもの」というイメージ。</t>
    <phoneticPr fontId="1"/>
  </si>
  <si>
    <t>&lt;span class="w"&gt;&lt;b&gt;【656.bond：絆, 接着剤, 束縛, 債券】&lt;/b&gt;&lt;/span&gt;
&lt;span class="ml"&gt;古英語bend（何かを結びつけるもの, 絆）にさかのぼる。
&lt;span class="spacer"&gt;&lt;/span&gt;何かと何かを結びつけるものから「絆, 接着剤, 束縛, 債券」などの意味になった。「結びつけるもの」というイメージをもとに、文脈で意味を判断すればよい。&lt;/span&gt;</t>
    <rPh sb="134" eb="135">
      <t>ナニ</t>
    </rPh>
    <phoneticPr fontId="1"/>
  </si>
  <si>
    <t>&lt;span class="w"&gt;&lt;b&gt;【659.insurance：保険】&lt;/b&gt;&lt;/span&gt;
&lt;span class="ml"&gt;この語は2段階で考える。
sura部分は英語のsureと同じ。ラテン語に由来し、以下の2つの要素から成る。
&lt;span class="spacer"&gt;&lt;/span&gt;se（離れて）
cura（心配）
&lt;span class="spacer"&gt;&lt;/span&gt;sura部分は「心配から離れて安全・確実」というイメージ。
&lt;span class="spacer"&gt;&lt;/span&gt;このラテン語から古フランス語になって、以下の3つの要素からinsuranceが出来上がる。
&lt;span class="spacer"&gt;&lt;/span&gt;en（〜にする）
sur（安全な, 確実な）
ance（名詞化）
&lt;span class="spacer"&gt;&lt;/span&gt;このまま日本語にすると「（心配を取り除いて）確実で安全な状態にすること」となる。ここからリスクに対する不安を取り除き、安全な状態にする「保険」という意味になった。
&lt;div class="sample_image insurance"&gt;&lt;/div&gt;&lt;/span&gt;</t>
    <phoneticPr fontId="1"/>
  </si>
  <si>
    <t>conserve, preserve, reserveはまとめて覚える。</t>
  </si>
  <si>
    <t>&lt;span class="w"&gt;&lt;b&gt;【666.conservation：保護, 保存】&lt;/b&gt;&lt;/span&gt;
&lt;span class="ml"&gt;ラテン語に由来する語で、以下の2つの要素から成る。
&lt;span class="spacer"&gt;&lt;/span&gt;com（強意）
servare（見守る, 保つ）
&lt;span class="spacer"&gt;&lt;/span&gt;このまま日本語にすると「しっかり保つ」となる。そこから、資源や自然、動物などの減少・損失を防ぐこと、つまり「保護, 保存」という意味になる。&lt;/span&gt;</t>
  </si>
  <si>
    <t>com（強意）+servare（見守る, 保つ）
conservare（しっかり見守る, 保つ, 保存する）
&lt;span class="spacer"&gt;&lt;/span&gt;名詞を作る-ionemが付いて
conservationem（保存, 保護）</t>
  </si>
  <si>
    <t>harvestは「秋に行われた収穫, 収穫された物」というイメージ。</t>
  </si>
  <si>
    <t>&lt;span class="w"&gt;&lt;b&gt;【667.harvest：収穫（物）】&lt;/b&gt;&lt;/span&gt;
&lt;span class="ml"&gt;古英語hærfest（秋）にさかのぼる。
&lt;span class="spacer"&gt;&lt;/span&gt;現在は秋という季節を表すためにfall / autumnが使われるが、16世紀まではharvestが使われていた。
&lt;span class="spacer"&gt;&lt;/span&gt;harvestは季節名（秋）から意味が発展し、作物の収穫時期、作物を収穫する行為、そして収穫された物自体を表すようになった。そのため「収穫」や「収穫物」という意味になる。&lt;/span&gt;</t>
  </si>
  <si>
    <t>&lt;span class="w"&gt;&lt;b&gt;【668.predator：捕食動物】&lt;/b&gt;&lt;/span&gt;
&lt;span class="ml"&gt;印欧祖語に由来する語で、以下の2つの要素から成る。
&lt;span class="spacer"&gt;&lt;/span&gt;*prae-（前に, 先に）
*ghend-（取る, つかむ）
&lt;span class="spacer"&gt;&lt;/span&gt;このまま日本語にすると「先に取る」となる。もともとは、戦争や襲撃で他者の財産を我先に奪うことから「略奪」を表し、そこに「〜する人」を表す-orが付いて略奪者となった。
&lt;span class="spacer"&gt;&lt;/span&gt;動物学において、この語が他の動物を捕食するものとして使われるようになり「捕食動物」という意味になった。&lt;/span&gt;</t>
  </si>
  <si>
    <t>*prae-（前に, 先に）+*ghend-（取る, つかむ）</t>
  </si>
  <si>
    <t>praeheda（先にとらえられたもの）
&lt;span class="spacer"&gt;&lt;/span&gt;praeda（戦利品, 狩猟対象の動物）
&lt;span class="spacer"&gt;&lt;/span&gt;動詞になって
praedari（奪う）
&lt;span class="spacer"&gt;&lt;/span&gt;名詞を作る-or（〜する人）が付いて
praedator（略奪者）</t>
  </si>
  <si>
    <t>日本語でも使われるトラップ（罠）と同じ。</t>
  </si>
  <si>
    <t>&lt;span class="w"&gt;&lt;b&gt;【669.trap：罠, トラップ】&lt;/b&gt;&lt;/span&gt;
&lt;span class="ml"&gt;古英語træppe（罠, トラップ）にさかのぼる。
&lt;span class="spacer"&gt;&lt;/span&gt;古英語から意味の変化はほとんどない。&lt;/span&gt;</t>
  </si>
  <si>
    <t>日本語でも使われるトリック（技）やトリックオアトリート（いたずら）と関連させて覚える。</t>
  </si>
  <si>
    <t>&lt;span class="w"&gt;&lt;b&gt;【670.trick：こつ, 策略, いたずら, 芸当】&lt;/b&gt;&lt;/span&gt;
&lt;span class="ml"&gt;古北フランス語trikier（だます, 欺く）に由来する。
&lt;span class="spacer"&gt;&lt;/span&gt;もともとは、相手をだますことを表し、そこから相手を欺くための「策略」や「いたずら」という意味になった。また欺きというのは人を驚かすものでもあるため、誰かを驚かす「芸当」やそういったものの「こつ」という意味にもなった。&lt;/span&gt;</t>
  </si>
  <si>
    <t>fail（失敗する）
false（偽の）
fault（責任, 欠点, 誤り）
これらは全て同じ語源にさかのぼる。</t>
  </si>
  <si>
    <t>&lt;span class="w"&gt;&lt;b&gt;【671.fault：責任, 欠陥, 誤り】&lt;/b&gt;&lt;/span&gt;
&lt;span class="ml"&gt;ラテン語fallere（欺く, 失望させる：failの語源）に由来する。
&lt;span class="spacer"&gt;&lt;/span&gt;相手を欺く、相手を失望させるということから生まれた語。失望という言葉が表すように、この語の核は「望ましい状態から外れていること」。そこから「欠陥, 誤り」そしてその「責任」という意味になった。
&lt;span class="spacer"&gt;&lt;/span&gt;It's my fault.
（私の責任だ）&lt;/span&gt;</t>
  </si>
  <si>
    <t>discountは「値段の一部を離して（dis）計算する（count）」というイメージ。</t>
  </si>
  <si>
    <t>&lt;span class="w"&gt;&lt;b&gt;【672.discount：割引, 値引き】&lt;/b&gt;&lt;/span&gt;
&lt;span class="ml"&gt;中世ラテン語に由来する語で、以下の2つの要素から成る。
&lt;span class="spacer"&gt;&lt;/span&gt;dis（分離, 否定）
computare（数える, 計算する）
&lt;span class="spacer"&gt;&lt;/span&gt;この語の核は「計算からの分離」。つまり、ある部分を含めずに計算することから「割引き, 値引き」という意味になる。&lt;/span&gt;</t>
  </si>
  <si>
    <t>日本語でも使われるバイアス（偏見）と関連させて覚える。</t>
  </si>
  <si>
    <t>1520年代
斜めの線, 対角線
&lt;span class="spacer"&gt;&lt;/span&gt;1560年代
ボウルズという古い球技における専門用語で、ボウルズで使用される、片側を重くして斜めにカーブするように作られたボール
&lt;span class="spacer"&gt;&lt;/span&gt;1570年代
比喩的に、心の一方への偏り
&lt;span class="spacer"&gt;&lt;/span&gt;16世紀後期
偏見</t>
  </si>
  <si>
    <t>cooperationのcoは「共に」という意味。「共にオペレーションする」というイメージ。</t>
  </si>
  <si>
    <t>&lt;span class="w"&gt;&lt;b&gt;【674.cooperation：協力, 共同】&lt;/b&gt;&lt;/span&gt;
&lt;span class="ml"&gt;ラテン語に由来する語で、以下の3つの要素から成る。
&lt;span class="spacer"&gt;&lt;/span&gt;com（共に）
operari（働く）
io（名詞化）
&lt;span class="spacer"&gt;&lt;/span&gt;このまま日本語にすると「共に働くこと」となる。ひとつの目標に向かって共に働くことから「協力, 共同」という意味になる。&lt;/span&gt;</t>
  </si>
  <si>
    <t>英文の構成要素SVOCのV＝verb（動詞）と関連させて覚える。動詞とは、文の核となる言葉のこと。
またproverb（ことわざ）と関連させて覚える。</t>
  </si>
  <si>
    <t>&lt;span class="w"&gt;&lt;b&gt;【679.verbal：言葉の】&lt;/b&gt;&lt;/span&gt;
&lt;span class="ml"&gt;ラテン語に由来する語で、以下の2つの要素から成る。
&lt;span class="spacer"&gt;&lt;/span&gt;verbum（言葉）
alis（形容詞化）
&lt;span class="spacer"&gt;&lt;/span&gt;このまま日本語にすると「言葉の」という意味になる。&lt;/span&gt;</t>
  </si>
  <si>
    <t>internalは「（外部に対して）内部の」というイメージ。</t>
  </si>
  <si>
    <t>日本語でも使われるリモコン（リモートコントローラー, 遠隔コントローラー）と関連させて覚える。</t>
  </si>
  <si>
    <t>&lt;span class="w"&gt;&lt;b&gt;【682.remote：遠く離れた】&lt;/b&gt;&lt;/span&gt;
&lt;span class="ml"&gt;ラテン語に由来する語で、以下の2つの要素から成る。
&lt;span class="spacer"&gt;&lt;/span&gt;re（後ろへ）
movere（動かす）
&lt;span class="spacer"&gt;&lt;/span&gt;このまま日本語にすると「後ろへ動かす, 遠ざける」となる。ここから「遠く離れた」という意味になった。&lt;/span&gt;</t>
  </si>
  <si>
    <t>同じ語源に由来する他の語と関連させて覚える。
prince（王子, 君主：国の第一の存在）
princess（王女, 妃）
principle（原理, 原則：第一の土台）</t>
  </si>
  <si>
    <t>&lt;span class="w"&gt;&lt;b&gt;【683.principal：主要な】&lt;/b&gt;&lt;/span&gt;
&lt;span class="ml"&gt;ラテン語に由来する語で、以下の3つの要素から成る。
&lt;span class="spacer"&gt;&lt;/span&gt;primus（第一の）
capere（取る）
alis（形容詞化）
&lt;span class="spacer"&gt;&lt;/span&gt;この語の核は「第一の位置を取る」。集団や集合の中における第一の位置とは、最も重要な位置ということ。ここから「主要な」という意味になる。&lt;/span&gt;</t>
  </si>
  <si>
    <t>sophisticatedは「自然なものに手が加えられている」というイメージ。</t>
  </si>
  <si>
    <t>&lt;span class="w"&gt;&lt;b&gt;【684.sophisticated：高性能な, 洗練された】&lt;/b&gt;&lt;/span&gt;
&lt;span class="ml"&gt;ギリシャ語sophos（知恵）から派生したsophistēs（賢者, 教師）に由来する。
&lt;span class="spacer"&gt;&lt;/span&gt;もともとは、賢者や教師（＝ソフィスト）を表していた。一部のソフィストたちが議論に勝つために言葉巧みに相手を騙したり、こじつけを用いたりするようになったため、「詭弁（ごまかし）を弄する」というネガティブなニュアンスを持つようになった。
&lt;span class="spacer"&gt;&lt;/span&gt;さらに詭弁から発展して、何かの本質を曲げる、不純物を混ぜて自然な状態を損なうといった意味で使われていた。
&lt;span class="spacer"&gt;&lt;/span&gt;時代が進んで近代英語期になると、不純物があるというネガティブなニュアンスから、人の手が加わっていて単純ではないということがポジティブに受け取られるようになる。そうして人については「洗練されている」、物については「精巧な, 高性能な」という意味になった。&lt;/span&gt;</t>
  </si>
  <si>
    <t>sophos（知恵）から派生したsophistēs（賢者, 教師）
&lt;span class="spacer"&gt;&lt;/span&gt;後にsophistēsは、「報酬を得て教育を行う者」を指すようになり、純粋に真理を探究する哲学者と対比して、言葉を巧みに操って人を欺く詭弁家（ソフィスト）として侮蔑対象になる
&lt;span class="spacer"&gt;&lt;/span&gt;形容詞を作る-ikosが付いて
sophistikos（ソフィストの, 詭弁家の）</t>
  </si>
  <si>
    <t>equivalentは、equalとvalueが合わさったものだと考えればよい。</t>
  </si>
  <si>
    <t>&lt;span class="w"&gt;&lt;b&gt;【685.equivalent：同等の, 相当する】&lt;/b&gt;&lt;/span&gt;
&lt;span class="ml"&gt;ラテン語に由来する語で、以下の2つの要素から成る。
&lt;span class="spacer"&gt;&lt;/span&gt;aequus（等しい）
valere（価値がある）
&lt;span class="spacer"&gt;&lt;/span&gt;このまま日本語にすると「等しい価値がある」となる。ここから「同等の, 相当する」という意味になる。
&lt;span class="spacer"&gt;&lt;/span&gt;equal：AとBが完全に一致
equivalent：AとBは別物だが同等/span&gt;</t>
  </si>
  <si>
    <t>reri（計算する, 考える）系はまとめて覚える。</t>
  </si>
  <si>
    <t>&lt;span class="w"&gt;&lt;b&gt;【686.rational：理性的な, 合理的な】&lt;/b&gt;&lt;/span&gt;
&lt;span class="ml"&gt;ラテン語に由来する語で、以下の2つの要素から成る。
&lt;span class="spacer"&gt;&lt;/span&gt;reri（計算する, 考える）
io（名詞化）
alis（形容詞化）
&lt;span class="spacer"&gt;&lt;/span&gt;もともとは、計算・思考・理由づけといった頭の中で物事を順序立てて考えることを表していた。そこから抽象化して、論理的に判断する能力としての理性を表すようになり、「理性的な, 合理的な」という意味になった。&lt;/span&gt;</t>
  </si>
  <si>
    <t>relevantは「持ち上げる→軽減する→助けとなる→当面の問題の助けとなる＝関係のある」と発展した。</t>
  </si>
  <si>
    <t>absoluteのsolute部分は、solve, resolveと同じで「解放」というイメージ。これの関係性はsolve（問題を解く）の名詞がsolutionになることからわかる。</t>
  </si>
  <si>
    <t>frequentは、物理的な人や物の密集が、時間的な出来事の密集に変化した。</t>
  </si>
  <si>
    <t>frequent（数が多い, 混み合った, 規則的な, 繰り返される）</t>
  </si>
  <si>
    <t>日本語でも使われるパーマ（永続的に髪をウェーブさせる）と関連させて覚える。</t>
  </si>
  <si>
    <t>&lt;span class="w"&gt;&lt;b&gt;【690.permanent：永続的な】&lt;/b&gt;&lt;/span&gt;
&lt;span class="ml"&gt;ラテン語に由来する語で、以下の2つの要素から成る。
&lt;span class="spacer"&gt;&lt;/span&gt;per（通して, 完全に）
manere（留まる）
&lt;span class="spacer"&gt;&lt;/span&gt;この語の核は「最初から最後まで通して留まる」。ここから時間が経っても変化しない、もしくはずっと何かが続く、つまり「永続的な」という意味になった。&lt;/span&gt;</t>
  </si>
  <si>
    <t>intenseは「極限まで引き伸ばされて程度が大きい」というイメージ。</t>
  </si>
  <si>
    <t>in（方向）＋tendere（伸ばす）
intendere（中へ伸ばす, 張り詰める）
&lt;span class="spacer"&gt;&lt;/span&gt;過去分詞intensus（伸ばされた, 張り詰められた, きつい）</t>
  </si>
  <si>
    <t>mean（意味する）やmeaning（意味）と関連させて覚える。</t>
  </si>
  <si>
    <t>&lt;span class="w"&gt;&lt;b&gt;【692.meaningful：意味のある】&lt;/b&gt;&lt;/span&gt;
&lt;span class="ml"&gt;近代英語にさかのぼり、以下の2つの要素から成る。
&lt;span class="spacer"&gt;&lt;/span&gt;meaning（意味）
ful（満ちた）
&lt;span class="spacer"&gt;&lt;/span&gt;このまま日本語にすると「意味で満ちた」となる。ここから何かに「意味のある」という意味になる。&lt;/span&gt;</t>
  </si>
  <si>
    <t>&lt;span class="w"&gt;&lt;b&gt;【693.evil：邪悪な（道徳的な悪）】&lt;/b&gt;&lt;/span&gt;
&lt;span class="ml"&gt;古英語yfel（悪い）にさかのぼる。
&lt;span class="spacer"&gt;&lt;/span&gt;もともとは、天気が悪い・状態が悪い・気分が悪いなど、広く「悪い」という意味で使われていた。中英語期になると、その役割をbadが担うようになり、evilは「邪悪な」という道徳的な悪に限定された。&lt;/span&gt;</t>
  </si>
  <si>
    <t>extinguish / extinct
distinguish / distinct
これらをセットで覚える。</t>
  </si>
  <si>
    <t>&lt;span class="w"&gt;&lt;b&gt;【694.extinct：絶滅した, 廃止された】&lt;/b&gt;&lt;/span&gt;
&lt;span class="ml"&gt;ラテン語に由来する語で、以下の2つの要素から成る。
&lt;span class="spacer"&gt;&lt;/span&gt;ex（外に）
stinguere（消す, 突き刺す）
&lt;span class="spacer"&gt;&lt;/span&gt;ロウソクの火を指でつまんで消す時の突き刺すような痛みや、棒で突いて火を消すという動作のイメージから「突き刺す」が「火を消す」になる。
&lt;span class="spacer"&gt;&lt;/span&gt;そして実際に火が消えることから、比喩的に命の火が消えて絶えることを表すようになり、「絶滅した」という意味になった。&lt;/span&gt;</t>
  </si>
  <si>
    <t>ex（外に）＋stinguere（消す, 突き刺す）
extinguere（消す, 消化する, 滅ぼす）
&lt;span class="spacer"&gt;&lt;/span&gt;過去分詞extinctus（消された, 消滅した）</t>
  </si>
  <si>
    <t>日本語でも使われるランダム（無作為な）と同じ。</t>
  </si>
  <si>
    <t>&lt;span class="w"&gt;&lt;b&gt;【695.random：無作為の, ランダムな】&lt;/b&gt;&lt;/span&gt;
&lt;span class="ml"&gt;古フランス語randir（速く走る）から派生したrandon（突進）に由来する。
&lt;span class="spacer"&gt;&lt;/span&gt;この語の核は「猛スピードで走ること」。たとえば馬が猛スピードで走ると、自分では制御できず、何が起こるかわからない状態になる。
&lt;span class="spacer"&gt;&lt;/span&gt;1560年代にat rondomという形で使われるようになり、当初は元の意味通り「猛スピードで」という速さの表現だった。そこから、コントロールが効かず行き当たりばったりというニュアンスになり、「無作為の, ランダムな」という意味になった。&lt;/span&gt;</t>
  </si>
  <si>
    <t>crudeやcruelも同じ語源にさかのぼる。</t>
  </si>
  <si>
    <t>&lt;span class="w"&gt;&lt;b&gt;【696.raw：生の, 未加工の】&lt;/b&gt;&lt;/span&gt;
&lt;span class="ml"&gt;印欧祖語*kreue-（生肉）に由来する。
&lt;span class="spacer"&gt;&lt;/span&gt;この語の核は「手を加えられていない」。そこから「未加工の, 生の」という意味になる。&lt;/span&gt;</t>
  </si>
  <si>
    <t>&lt;span class="w"&gt;&lt;b&gt;【697.rude：無礼な】&lt;/b&gt;&lt;/span&gt;
&lt;span class="ml"&gt;ラテン語rudis（粗い, 未加工の）に由来する。
&lt;span class="spacer"&gt;&lt;/span&gt;もともとは、素材が加工されていなくて粗い状態であることを表した。そこから、人間の内面や態度の粗さへとシフトし、教育を受けておらず、教養や作法が身についていない「無礼な」という意味になった。&lt;/span&gt;</t>
  </si>
  <si>
    <t>&lt;span class="w"&gt;&lt;b&gt;【698.mere：単なる, ほんの〜にすぎない】&lt;/b&gt;&lt;/span&gt;
&lt;span class="ml"&gt;ラテン語merus（純粋な, 本物の）に由来する。
&lt;span class="spacer"&gt;&lt;/span&gt;もともとは、良い意味で純粋であることを表したが、次第に他に何も入っていない、それだけしかないというネガティブな意味へと変化し、「単なる, ほんの〜にすぎない」という意味になった。&lt;/span&gt;</t>
  </si>
  <si>
    <t>&lt;span class="w"&gt;&lt;b&gt;【499.crucial：極めて重要な】&lt;/b&gt;&lt;/span&gt;
&lt;span class="ml"&gt;ラテン語crux（十字架：crossの語源）に由来する。
&lt;span class="spacer"&gt;&lt;/span&gt;もともとは「十字形の」という物理的な形状を表した。
&lt;span class="spacer"&gt;&lt;/span&gt;17世紀の科学者たちは、複数の仮説から真実を導き出すための決定的な検証を、分かれ道に立つ十字形の道標に例えて「十字架の実験」と呼んだ。この「岐路に立たされた際、進むべき方向を決定づける重要なポイント」というイメージから、現在の「極めて重要な」という意味になった。
&lt;div class="sample_image crucial"&gt;&lt;/div&gt;&lt;/span&gt;</t>
    <phoneticPr fontId="1"/>
  </si>
  <si>
    <t>&lt;span class="w"&gt;&lt;b&gt;【569.hypothesis：仮説】&lt;/b&gt;&lt;/span&gt;
&lt;span class="ml"&gt;ギリシャ語に由来する語で、以下の2つの要素から成る。
&lt;span class="spacer"&gt;&lt;/span&gt;hypo（下に）
thesis（置くこと）
&lt;span class="spacer"&gt;&lt;/span&gt;このまま日本語にすると「下に置くこと」となる。これはもともとは物理的な基礎や土台を表したが、そこから比喩的に、議論や証明を組み立てるための論理的な土台として使われるようになった。つまり、まだ正しいと完全に証明されてはいないが、ひとまず議論の出発点として一番下に置いておく前提というニュアンス。ここから「仮説」という意味になった。
&lt;div class="sample_image hypothesis"&gt;&lt;/div&gt;&lt;/span&gt;</t>
    <phoneticPr fontId="1"/>
  </si>
  <si>
    <t>&lt;span class="w"&gt;&lt;b&gt;【329.warn：警告する, 注意する】&lt;/b&gt;&lt;/span&gt;
&lt;span class="ml"&gt;古英語warnian（注意する, 用心する）にさかのぼる。
&lt;span class="spacer"&gt;&lt;/span&gt;古英語から意味の変化はほとんどなく「警告する, 注意する」という意味になる。
&lt;span class="spacer"&gt;&lt;/span&gt;警告で出てくるWARNINGと関連させて覚える。&lt;/span&gt;
&lt;div class="animation warn"&gt;&lt;/div&gt;</t>
    <phoneticPr fontId="1"/>
  </si>
  <si>
    <t>&lt;span class="w"&gt;&lt;b&gt;【410.tear：〜を引き裂く】&lt;/b&gt;&lt;/span&gt;
&lt;span class="ml"&gt;古英語teran（力ずくで引き裂く）にさかのぼる。
&lt;span class="spacer"&gt;&lt;/span&gt;古英語から意味の変化はほとんどない。&lt;/span&gt;
&lt;div class="animation tear"&gt;&lt;/div&gt;</t>
    <phoneticPr fontId="1"/>
  </si>
  <si>
    <t>&lt;span class="w"&gt;&lt;b&gt;【673.bias：偏見, 傾向】&lt;/b&gt;&lt;/span&gt;
&lt;span class="ml"&gt;フランス語biais（傾斜, 斜め）に由来する。
&lt;span class="spacer"&gt;&lt;/span&gt;初期は、ボウルズというボールを転がして目標に近づける競技で使用された、重心が偏っていて斜めに転がっていくボールを表した。そこから比喩的に、心が一方向に傾くこと、つまり「偏見」という意味になった。
&lt;div class="sample_image bias"&gt;&lt;/div&gt;&lt;/span&gt;</t>
  </si>
  <si>
    <t>&lt;span class="w"&gt;&lt;b&gt;【675.patent：特許（権）】&lt;/b&gt;&lt;/span&gt;
&lt;span class="ml"&gt;ラテン語patere（開いている）が元になったフレーズlitteræ patentes（公開文書）に由来する。
&lt;span class="spacer"&gt;&lt;/span&gt;もともとは「開かれている」という意味から、封をされず誰でも読める公開文書を表した。これは公に与えられた権利文書を指し、そこから「特許（権）」という意味になった。
&lt;div class="sample_image patent"&gt;&lt;/div&gt;&lt;/span&gt;</t>
  </si>
  <si>
    <t>&lt;span class="w"&gt;&lt;b&gt;【681.solid：固体の, しっかりした】&lt;/b&gt;&lt;/span&gt;
&lt;span class="ml"&gt;ラテン語solidus（堅い, 完全な, 全体の）に由来する。
&lt;span class="spacer"&gt;&lt;/span&gt;この語の核は「欠けたところや隙間がなく、一つにまとまった完全な状態」。そこから、中身がぎっしり詰まっていて「硬い, 固体の」という意味になる。さらにこの物理的な意味から発展して「しっかりした, 確固たる」といった意味にもなった。
&lt;div class="sample_image solid"&gt;&lt;/div&gt;&lt;/span&gt;</t>
  </si>
  <si>
    <t>domus（家）から派生したdominus（家の主人）
&lt;span class="spacer"&gt;&lt;/span&gt;動詞になって
dominari（統治する, 支配する）
&lt;span class="spacer"&gt;&lt;/span&gt;過去分詞dominatus</t>
  </si>
  <si>
    <t>guaranteeは、guard（ガード）と同じ語源に由来する。「覆って守る」というイメージ。</t>
  </si>
  <si>
    <t>&lt;span class="w"&gt;&lt;b&gt;【703.guarantee：〜を保証する】&lt;/b&gt;&lt;/span&gt;
&lt;span class="ml"&gt;印欧祖語*wer-（覆う）に由来する。
&lt;span class="spacer"&gt;&lt;/span&gt;この語の核は「何かを覆って守る」。そこから、防御者や保護者、保証人という意味を経て、何かを「保証する」という意味になった。&lt;/span&gt;</t>
  </si>
  <si>
    <t>&lt;span class="w"&gt;&lt;b&gt;【704.melt：溶ける, 〜を溶かす, なごむ】&lt;/b&gt;&lt;/span&gt;
&lt;span class="ml"&gt;印欧祖語*mel-（柔らかい）から派生した古英語meltan（熱によって溶ける）にさかのぼる。
&lt;span class="spacer"&gt;&lt;/span&gt;この語の核は「柔らかくする」。ここから「溶ける, 溶かす, なごむ」といった意味になる。。&lt;/span&gt;</t>
  </si>
  <si>
    <t>discourageは「勇気をなくさせて行動しないようにする」というイメージ。</t>
  </si>
  <si>
    <t>&lt;span class="w"&gt;&lt;b&gt;【706.discourage：（人）にやる気をなくさせる, 〜を落胆させる】&lt;/b&gt;&lt;/span&gt;
&lt;span class="ml"&gt;古フランス語に由来する語で、以下の2つの要素から成る。
&lt;span class="spacer"&gt;&lt;/span&gt;des（離れて）
corage（勇気）
&lt;span class="spacer"&gt;&lt;/span&gt;この語の核は「行動へ向かう勇気を引き離す」。前向きな気持ちを失わせることから「落胆させる, やる気をなくさせる」という意味になる。&lt;/span&gt;</t>
  </si>
  <si>
    <t>detective Conan（名探偵コナン）と関連させて覚える。
detectは「覆いを取り除いて見つけ出す」というイメージ。</t>
  </si>
  <si>
    <t>&lt;span class="w"&gt;&lt;b&gt;【707.detect：〜を見つけ出す, 〜を完治する】&lt;/b&gt;&lt;/span&gt;
&lt;span class="ml"&gt;ラテン語に由来する語で、以下の2つの要素から成る。
&lt;span class="spacer"&gt;&lt;/span&gt;de（離す）
tegere（覆う, 保護する）
&lt;span class="spacer"&gt;&lt;/span&gt;このまま日本語にすると「覆いを離す」となる。ここから、覆いを取って明らかにする、つまり「見つけ出す, 感知する」という意味になる。&lt;/span&gt;</t>
  </si>
  <si>
    <t>devoteのvote部分は、英語vote（票を捧げる, 投票する）と同じ。どちらも何かを捧げること。</t>
  </si>
  <si>
    <t>&lt;span class="w"&gt;&lt;b&gt;【708.devote：〜を捧げる】&lt;/b&gt;&lt;/span&gt;
&lt;span class="ml"&gt;ラテン語に由来する語で、以下の2つの要素から成る。
&lt;span class="spacer"&gt;&lt;/span&gt;de（離れて）
vovere（誓う）
&lt;span class="spacer"&gt;&lt;/span&gt;この語の核は「誓いを立てて何かを離す」。もともとは、神に対して誓い、自分自身や自分の所有物を他から引き離して捧げることを表した。そこから、何かに対してその人の時間・労力などを「捧げる」という意味になった。
&lt;span class="spacer"&gt;&lt;/span&gt;ラテン語vovereからは、vote（投票する）も生まれている。&lt;/span&gt;</t>
  </si>
  <si>
    <t>&lt;span class="w"&gt;&lt;b&gt;【709.urge：〜に（強く）促す】&lt;/b&gt;&lt;/span&gt;
&lt;span class="ml"&gt;ラテン語urgere（強く押す, 駆り立てる）に由来する。
&lt;span class="spacer"&gt;&lt;/span&gt;強く押すことから、相手の背中を強く押して促す＝「強く促す」という意味になった。&lt;/span&gt;</t>
  </si>
  <si>
    <t>&lt;span class="w"&gt;&lt;b&gt;【710.lend：〜を貸す】&lt;/b&gt;&lt;/span&gt;
&lt;span class="ml"&gt;古英語lænan（一時的に与える, 貸す）にさかのぼる。
&lt;span class="spacer"&gt;&lt;/span&gt;古英語から意味の変化はほとんどない。&lt;/span&gt;</t>
  </si>
  <si>
    <t>strict（厳しい, 厳格な）と関連させて覚える。
str部分は「引っ張る」イメージ。</t>
  </si>
  <si>
    <t>&lt;span class="w"&gt;&lt;b&gt;【711.restrict：〜を制限する】&lt;/b&gt;&lt;/span&gt;
&lt;span class="ml"&gt;ラテン語に由来する語で、以下の2つの要素から成る。
&lt;span class="spacer"&gt;&lt;/span&gt;re（後ろへ）
stringere（引っ張る）
&lt;span class="spacer"&gt;&lt;/span&gt;このまま日本語にすると「後ろへ引っ張る」となる。前に出ないようにする、抑制するということから「制限する」という意味になる。&lt;/span&gt;</t>
  </si>
  <si>
    <t>isolateはisland（島, アイランド）と同じ語源に由来する。「島のように孤立させる」というイメージ。</t>
  </si>
  <si>
    <t>&lt;span class="w"&gt;&lt;b&gt;【712.isolate：〜を孤立させる】&lt;/b&gt;&lt;/span&gt;
&lt;span class="ml"&gt;ラテン語insula（島）に由来する。
&lt;span class="spacer"&gt;&lt;/span&gt;この語の核は「島のようにする」。島は陸から離れてポツンとしていることから、島のように「孤立させる」という意味になった。&lt;/span&gt;</t>
  </si>
  <si>
    <t>company（会社, 仲間）と関連させて覚える。</t>
  </si>
  <si>
    <t>&lt;span class="w"&gt;&lt;b&gt;【713.accompany：〜に同行する】&lt;/b&gt;&lt;/span&gt;
&lt;span class="ml"&gt;古フランス語に由来する語で、以下の2つの要素から成る。
&lt;span class="spacer"&gt;&lt;/span&gt;à（〜へ）
compaignier（仲間として行く）
&lt;span class="spacer"&gt;&lt;/span&gt;このまま日本語にすると「どこかへ仲間として行く」となる。ここから「同行する」という意味になる。
&lt;span class="spacer"&gt;&lt;/span&gt;companyは、ラテン語com（共に）とpanis（パン）から成り、「共にパンを分ける者たち」から「仲間」という意味になった。&lt;/span&gt;</t>
  </si>
  <si>
    <t>&lt;span class="w"&gt;&lt;b&gt;【715.annoy：〜を悩ます, イライラさせる】&lt;/b&gt;&lt;/span&gt;
&lt;span class="ml"&gt;ラテン語に由来する語で、以下の2つの要素から成る。
&lt;span class="spacer"&gt;&lt;/span&gt;in（中に）
odio（憎しみ）
&lt;span class="spacer"&gt;&lt;/span&gt;もともとは、「憎しみの中にある」という強烈な感情を表していたが、憎しみから怒りや不安へと弱まって「イライラさせる, 悩ませる」という意味になった。&lt;/span&gt;</t>
  </si>
  <si>
    <t>odium（憎しみ）
&lt;span class="spacer"&gt;&lt;/span&gt;in odio（憎しみの中にある）</t>
  </si>
  <si>
    <t>dangerの動詞として覚える。</t>
  </si>
  <si>
    <t>&lt;span class="w"&gt;&lt;b&gt;【716.endanger：〜を危険にさらす】&lt;/b&gt;&lt;/span&gt;
&lt;span class="ml"&gt;中英語にさかのぼり、以下の2つの要素から成る。
&lt;span class="spacer"&gt;&lt;/span&gt;en（〜させる）
danger（危険）
&lt;span class="spacer"&gt;&lt;/span&gt;このまま日本語にすると「危険にさせる」という意味になる。
&lt;span class="spacer"&gt;&lt;/span&gt;dangerは、ラテン語dominus（家の主人）に由来する。家の主人は家を支配する者なので、そこから権力となる。そして他人の権力に支配されている状態は、支配者の裁量に委ねられる不安定な状態なので「危険」という意味になった。&lt;/span&gt;</t>
  </si>
  <si>
    <t>dangier
権力, 害を及ぼす力
誰かの支配下にあって権力者の裁量に委ねられている危険な状態</t>
  </si>
  <si>
    <t>&lt;span class="w"&gt;&lt;b&gt;【717.acknowledge：〜を認める】&lt;/b&gt;&lt;/span&gt;
&lt;span class="ml"&gt;以下の中英語の2語がひとつになってできた語。
&lt;span class="spacer"&gt;&lt;/span&gt;aknowen（知っていることを認める）
knowlechen（認める）
&lt;span class="spacer"&gt;&lt;/span&gt;この語は、対象を示すac（〜に）とknow（知っている）が合わさったと考えればよい。「何かに対して知っていると認める」というイメージで覚える。&lt;/span&gt;</t>
  </si>
  <si>
    <t>15世紀後期
古英語oncnawanに由来するaknowen（知っていることを認める）
&lt;span class="spacer"&gt;&lt;/span&gt;knowlechen（認める）
&lt;span class="spacer"&gt;&lt;/span&gt;この2語が混ざり合った語
自分の知識を認める</t>
  </si>
  <si>
    <t>admireのmire部分は、miracleやmarvelと関連して「驚き」というイメージ。</t>
  </si>
  <si>
    <t>value（価値）と関連させて覚える。</t>
  </si>
  <si>
    <t>&lt;span class="w"&gt;&lt;b&gt;【719.evaluate：〜を評価する, 〜を査定する】&lt;/b&gt;&lt;/span&gt;
&lt;span class="ml"&gt;古フランス語に由来し、以下の2つの要素から成る。
&lt;span class="spacer"&gt;&lt;/span&gt;é（外へ）
valuer（価値を置く）
&lt;span class="spacer"&gt;&lt;/span&gt;このまま日本語にすると「外へ価値を置く」となる。つまり何かの価値を見出すことを表して「評価する, 査定する」という意味になる。&lt;/span&gt;</t>
  </si>
  <si>
    <t>declareのclare部分は、clear（クリアな）と同じ語源に由来する。</t>
  </si>
  <si>
    <t>名詞secutiry（セキュリティ）の動詞として覚えればよい。</t>
  </si>
  <si>
    <t>&lt;span class="w"&gt;&lt;b&gt;【721.secure：〜を確保する, 〜を守る】&lt;/b&gt;&lt;/span&gt;
&lt;span class="ml"&gt;ラテン語に由来する語で、以下の2つの要素から成る。
&lt;span class="spacer"&gt;&lt;/span&gt;se（離れて）
cura（心配）
&lt;span class="spacer"&gt;&lt;/span&gt;このまま日本語にすると「心配から離れた」となる。心配から解放された安全な状態にすることから、なくなる心配がないように何かを「確保する」という意味になった。&lt;/span&gt;</t>
  </si>
  <si>
    <t>special（特別な, 特定な）が動詞化したと覚えればよい。
またspecialist（専門家）と関連させて覚える。</t>
  </si>
  <si>
    <t>&lt;span class="w"&gt;&lt;b&gt;【722.specialize：専門とする, 大学で専攻する】&lt;/b&gt;&lt;/span&gt;
&lt;span class="ml"&gt;近代英語にさかのぼり、以下の2つの要素から成る。
&lt;span class="spacer"&gt;&lt;/span&gt;special（特別な, 特定の）
ize（動詞化）
&lt;span class="spacer"&gt;&lt;/span&gt;この語の核は「全体の中から特定のものにする」。ここから、特定の分野や事業に従事する、つまり「専門とする」という意味になる。大学であれば、何かを「専攻する」という意味になる。&lt;/span&gt;</t>
  </si>
  <si>
    <t>attributeのtrib部分は、tribe（部族）と同じ語源に由来する。
contribute, distributeとセットで覚える。</t>
  </si>
  <si>
    <t>buryは「見えないように隠す」というイメージ。</t>
  </si>
  <si>
    <t>&lt;span class="w"&gt;&lt;b&gt;【725.bury：〜を埋める, 〜を埋葬する, 〜を隠す】&lt;/b&gt;&lt;/span&gt;
&lt;span class="ml"&gt;古英語byrgan（盛り土をする, 隠す, 埋葬する）にさかのぼる。
&lt;span class="spacer"&gt;&lt;/span&gt;大昔は、大切なものや人を外敵や厳しい自然から守るために、土や石で覆ったり、囲いを作って隠したりする行為を表した。そこから、死者を野生動物などから守るために、土を掘って「埋葬する」という意味になった。さらに死者や土の中に限定せず、何かを「埋める, 隠す」という意味になった。&lt;/span&gt;</t>
  </si>
  <si>
    <t>byrgan（盛り土をする, 隠す, 埋葬する）
&lt;span class="spacer"&gt;&lt;/span&gt;&lt;span class="obsolete"&gt;古英語byrganの-y-の発音は、もとは短い「ユ」という音。通常この音は現代英語では /i/ （イ）の音に変化したが、buryはイングランド南東部（ケント地方）特有の /e/ （エ）への変化が保持され、「ベリィ」という発音になっている。&lt;/span&gt;</t>
  </si>
  <si>
    <t>日本語のリバースと同じ。またゲームのオセロの一般名称はリバーシ（オセロは商標）。</t>
  </si>
  <si>
    <t>&lt;span class="w"&gt;&lt;b&gt;【726.reverse：〜を逆転させる, 〜を反対にする】&lt;/b&gt;&lt;/span&gt;
&lt;span class="ml"&gt;ラテン語に由来する語で、以下の2つの要素から成る。
&lt;span class="spacer"&gt;&lt;/span&gt;re（再び, 後ろへ）
vertere（回す, 向ける）
&lt;span class="spacer"&gt;&lt;/span&gt;このまま日本語にすると「後ろへ向ける」や「再び回す」となる。このような向きを変える、ひっくり返す動きから、何かを「逆転させる, 反対にする」という意味になる。&lt;/span&gt;</t>
  </si>
  <si>
    <t>sist（立つ）系はまとめて覚える。</t>
  </si>
  <si>
    <t>scarecrow（かかし）や形容詞scary（恐ろしい）と関連させて覚える。</t>
  </si>
  <si>
    <t>imageやimagineとセットで覚える。</t>
  </si>
  <si>
    <t>sist（立たせる）系はまとめて覚える。</t>
  </si>
  <si>
    <t>&lt;span class="w"&gt;&lt;b&gt;【730.assist：〜を援助する, 〜を手伝う】&lt;/b&gt;&lt;/span&gt;
&lt;span class="ml"&gt;ラテン語に由来する語で、以下の2つの要素から成る。
&lt;span class="spacer"&gt;&lt;/span&gt;ad（〜へ）
sistere（立たせる）
&lt;span class="spacer"&gt;&lt;/span&gt;このまま日本語にすると「〜のそばへ立たせる」となる。これは、物理的に相手の隣に立つということから、相手を支える＝「手伝う, 支援する」という意味になった。&lt;/span&gt;</t>
  </si>
  <si>
    <t>same（同じ）やsimilar（似た）と関連させて覚える。</t>
  </si>
  <si>
    <t>12世紀
resembler
re（強意）＋sembler（〜のように見える, 〜に似ている）</t>
  </si>
  <si>
    <t>日本語のリタイアと同じ。</t>
  </si>
  <si>
    <t>&lt;span class="w"&gt;&lt;b&gt;【732.retire：引退する, 退職する, 退く】&lt;/b&gt;&lt;/span&gt;
&lt;span class="ml"&gt;フランス語に由来する語で、以下の2つの要素から成る。
&lt;span class="spacer"&gt;&lt;/span&gt;re（後ろへ）
tirer（引く）
&lt;span class="spacer"&gt;&lt;/span&gt;このまま日本語にすると「後ろへ引く」となる。これは引き下がることから「引退する, 退職する, 退く」という意味になる。&lt;/span&gt;</t>
  </si>
  <si>
    <t>neglectは、neg部分が「否定」で、lect部分は「拾う」という意味（collectと同じ）。</t>
  </si>
  <si>
    <t>&lt;span class="w"&gt;&lt;b&gt;【733.neglect：〜を無視する, 〜をおろそかにする】&lt;/b&gt;&lt;/span&gt;
&lt;span class="ml"&gt;ラテン語に由来する語で、以下の2つの要素から成る。
&lt;span class="spacer"&gt;&lt;/span&gt;nec（ない）
legere（拾い上げる, 選ぶ）
&lt;span class="spacer"&gt;&lt;/span&gt;このまま日本語にすると「拾い上げない」となる。これは、拾い上げないでそのまま放置することから、何かを「おろそかにする」という意味になる。また拾わないということが、注意を払わない、軽視するといった心理的な態度を表すようになり、「無視する」という意味にもなった。&lt;/span&gt;</t>
  </si>
  <si>
    <t>&lt;span class="w"&gt;&lt;b&gt;【676.dialogue：対話, 会話】&lt;/b&gt;&lt;/span&gt;
&lt;span class="ml"&gt;ギリシャ語に由来する語で、以下の2つの要素から成る。
&lt;span class="spacer"&gt;&lt;/span&gt;dia（横切って, 間に）
logos（言葉）
&lt;span class="spacer"&gt;&lt;/span&gt;このまま日本語にすると「言葉が横切る」となる。2人以上の人物の間で言葉が飛び交う様子から「会話, 対話」という意味になる。
&lt;div class="sample_image dialogue"&gt;&lt;/div&gt;
&lt;span class="spacer"&gt;&lt;/span&gt;monos（単独の）logos（言葉）なら
monologue（独白, 1人の長話, モノローグ）
&lt;span class="spacer"&gt;&lt;/span&gt;pro（前の）logos（言葉）なら
prologue（物語の本編が始まる前の序章）
&lt;span class="spacer"&gt;&lt;/span&gt;epi（追加の）logos（言葉）なら
epilogue（物語の本編が終わった後の後日談）&lt;/span&gt;</t>
    <phoneticPr fontId="1"/>
  </si>
  <si>
    <t>&lt;span class="w"&gt;&lt;b&gt;【677.component：構成要素, 部品】&lt;/b&gt;&lt;/span&gt;
&lt;span class="ml"&gt;ラテン語に由来する語で、以下の2つの要素から成る。
&lt;span class="spacer"&gt;&lt;/span&gt;com（共に）
ponere（置く）
&lt;span class="spacer"&gt;&lt;/span&gt;このまま日本語にすると「共に置く」となる。いくつかの部分を一緒に置くことで全体が構成されることから、全体の「構成要素, 部品」という意味になる。
&lt;div class="sample_image component"&gt;&lt;/div&gt;&lt;/span&gt;</t>
    <phoneticPr fontId="1"/>
  </si>
  <si>
    <t>&lt;span class="w"&gt;&lt;b&gt;【678.reputation：評判, 名声】&lt;/b&gt;&lt;/span&gt;
&lt;span class="ml"&gt;ラテン語に由来する語で、以下の3つの要素から成る。
&lt;span class="spacer"&gt;&lt;/span&gt;re（再び, 繰り返し）
putare（判断する）
io（名詞化）
&lt;span class="spacer"&gt;&lt;/span&gt;このまま日本語にすると「繰り返し判断すること」となる。人々が何度も判断する、世間から何度も評価されるといったニュアンスから「評判, 名声」という意味になった。
&lt;div class="sample_image reputation"&gt;&lt;/div&gt;&lt;/span&gt;</t>
    <phoneticPr fontId="1"/>
  </si>
  <si>
    <t>&lt;span class="w"&gt;&lt;b&gt;【689.frequent：頻繁な】&lt;/b&gt;&lt;/span&gt;
&lt;span class="ml"&gt;ラテン語frequentem（数が多い, 混み合った, 規則的な, 繰り返される）に由来する。
&lt;span class="spacer"&gt;&lt;/span&gt;もともとは、数が多い・混み合ったという物理的に密集していることを表した。そして、人や物が空間にぎっしりと詰まっているというイメージが、やがて時間的な感覚へと変化する。ある期間の中に出来事がぎっしり詰まって起きている、つまり「何度も繰り返し起きる」ということを表すようになり、「頻繁な」という意味になった。
&lt;div class="sample_image frequent"&gt;&lt;/div&gt;&lt;/span&gt;</t>
    <phoneticPr fontId="1"/>
  </si>
  <si>
    <t>&lt;span class="w"&gt;&lt;b&gt;【691.intense：強烈な, 激しい】&lt;/b&gt;&lt;/span&gt;
&lt;span class="ml"&gt;ラテン語に由来する語で、以下の2つの要素から成る。
&lt;span class="spacer"&gt;&lt;/span&gt;in（方向）
tendere（伸ばす）
&lt;span class="spacer"&gt;&lt;/span&gt;このまま日本語にすると「ある方向へ伸ばす」となる。もともとは、物理的に弓や弦などが限界まで伸ばされた状態を表していた。
&lt;span class="spacer"&gt;&lt;/span&gt;ここから比喩的に程度を表す言葉へと変化し、限界まで張り詰めた状態から「強烈な, 激しい」という意味になった。
&lt;div class="sample_image intense"&gt;&lt;/div&gt;&lt;/span&gt;</t>
    <phoneticPr fontId="1"/>
  </si>
  <si>
    <t>sacrer（捧げる, 油を注ぐ）
&lt;span class="spacer"&gt;&lt;/span&gt;※油を注ぐとは、聖書において、神に選ばれて特別な使命を与えられたことを表す
&lt;span class="spacer"&gt;&lt;/span&gt;※神へ捧げる儀式において、油を塗って神聖なものとする行為がおこなわれていた
&lt;div class="sample_image sacred_anoint"&gt;&lt;/div&gt;</t>
    <phoneticPr fontId="1"/>
  </si>
  <si>
    <t>&lt;span class="w"&gt;&lt;b&gt;【701.possess：〜を所有する, 心をとらえる】&lt;/b&gt;&lt;/span&gt;
&lt;span class="ml"&gt;ラテン語に由来する語で、以下の2つの要素から成る。
&lt;span class="spacer"&gt;&lt;/span&gt;potis（力をもつ, 可能な）
sedere（座る）
&lt;span class="spacer"&gt;&lt;/span&gt;このまま日本語にすると「力をもった状態で座る」となる。ある場所に支配的に居座るイメージから、その場所を占有する、そして何かのものを「所有する」という意味になる。
&lt;span class="spacer"&gt;&lt;/span&gt;また比喩的に、相手の心を所有することから「心をとらえる」という意味にもなる。
&lt;div class="sample_image possess"&gt;&lt;/div&gt;&lt;/span&gt;</t>
  </si>
  <si>
    <t>&lt;span class="w"&gt;&lt;b&gt;【702.dominate：〜を支配する】&lt;/b&gt;&lt;/span&gt;
&lt;span class="ml"&gt;ラテン語domus（家）から派生したdominus（家の主人）に由来する。
&lt;span class="spacer"&gt;&lt;/span&gt;この語の核は「家の主人」。主人というのは家を支配する人なので、何かを「支配する」という意味になった。
&lt;div class="sample_image dominate"&gt;&lt;/div&gt;&lt;/span&gt;</t>
  </si>
  <si>
    <t>&lt;span class="w"&gt;&lt;b&gt;【705.embarrass：〜に恥ずかしい思いをさせる, 〜を困らせる】&lt;/b&gt;&lt;/span&gt;
&lt;span class="ml"&gt;この語は以下の2つの要素から成る。
&lt;span class="spacer"&gt;&lt;/span&gt;印欧祖語en（中に）
俗ラテン語*barra（棒）
&lt;span class="spacer"&gt;&lt;/span&gt;この語の核は「棒で塞いで中に入れないようにする」。もともとは、物理的に相手の進行を妨げることから、比喩的に、物事の進行や資金繰りを妨げ、どうしたらよいかわからない状態にすることを表した。さらにそこから、心理的な意味で、何かをしようとしている人にそれをさせず「困らせる」、そして「恥ずかしい思いをさせる」という意味になった。
&lt;div class="sample_image embarrass"&gt;&lt;/div&gt;&lt;/span&gt;</t>
  </si>
  <si>
    <t>&lt;span class="w"&gt;&lt;b&gt;【714.exhaust：〜を疲れ果てさせる, 〜を使い果たす】&lt;/b&gt;&lt;/span&gt;
&lt;span class="ml"&gt;ラテン語に由来する語で、以下の2つの要素から成る。
&lt;span class="spacer"&gt;&lt;/span&gt;ex（完全に）
haurire（汲み上げる）
&lt;span class="spacer"&gt;&lt;/span&gt;このまま日本語にすると「（液体などを）完全に汲み出す」となる。空になるまで汲み上げるイメージから、いまある金・物・体力・できることなどが空になるまで何かをすることを表し、「疲れ果てさせる, 使い果たす」という意味になる。
&lt;div class="sample_image exhaust"&gt;&lt;/div&gt;&lt;/span&gt;</t>
  </si>
  <si>
    <t>&lt;span class="w"&gt;&lt;b&gt;【718.admire：〜に感心する, 〜に敬服する】&lt;/b&gt;&lt;/span&gt;
&lt;span class="ml"&gt;ラテン語に由来する語で、以下の2つの要素から成る。
&lt;span class="spacer"&gt;&lt;/span&gt;ad（〜へ）
mirus（素晴らしい）から派生したmirari（驚く）
&lt;span class="spacer"&gt;&lt;/span&gt;このまま日本語にすると「〜へ驚く」となる。もともとは、驚きの眼差しを向けることを表した。そこから、さらに単なる驚きだけではなく感心や敬意が含まれて「感心する, 敬服する」という意味になった。
&lt;div class="sample_image admire"&gt;&lt;/div&gt;
&lt;span class="spacer"&gt;&lt;/span&gt;ラテン語mirusからは、以下の英語も生まれている。
miracle（奇跡, 人智を超えた驚き）
marvel（驚くべきこと・もの）&lt;/span&gt;</t>
  </si>
  <si>
    <t>&lt;span class="w"&gt;&lt;b&gt;【720.declare：〜を宣言する】&lt;/b&gt;&lt;/span&gt;
&lt;span class="ml"&gt;ラテン語に由来する語で、以下の2つの要素から成る。
&lt;span class="spacer"&gt;&lt;/span&gt;de（強意）
clarus（明るい）から派生したclarare（明らかにする）
&lt;span class="spacer"&gt;&lt;/span&gt;このまま日本語にすると「完全に明らかにする」となる。ラテン語clarusは、英語clearの語源でもあるので、「完全にクリアにする」というイメージでもよい。
&lt;span class="spacer"&gt;&lt;/span&gt;視覚的に完全にクリアにすることから、物事を明確にして言葉にすることへと発展し、そして周囲の人がはっきりわかるように「宣言する」という意味になった。
&lt;div class="sample_image declare"&gt;&lt;/div&gt;&lt;/span&gt;</t>
  </si>
  <si>
    <t>&lt;span class="w"&gt;&lt;b&gt;【723.attribute：Aを（Bに）帰する】&lt;/b&gt;&lt;/span&gt;
&lt;span class="ml"&gt;ラテン語に由来する語で、以下の2つの要素から成る。
&lt;span class="spacer"&gt;&lt;/span&gt;ad（〜へ）
tribus（部族）から派生したtribuere（割り当てる）
&lt;span class="spacer"&gt;&lt;/span&gt;このまま日本語にすると「〜へ割り当てる」となる。①はこの部族に、②はこの部族に…というように、何かを特定の部族に割り当てることから、比喩的に、この成功は〜に、この失敗は〜に、というように結果や性質を何かに「帰する」という意味になった。
&lt;div class="sample_image attribute"&gt;&lt;/div&gt;&lt;/span&gt;</t>
  </si>
  <si>
    <t>&lt;span class="w"&gt;&lt;b&gt;【724.pretend：ふりをする】&lt;/b&gt;&lt;/span&gt;
&lt;span class="ml"&gt;ラテン語に由来する語で、以下の2つの要素から成る。
&lt;span class="spacer"&gt;&lt;/span&gt;prae（前に）
tendere（伸ばす）
&lt;span class="spacer"&gt;&lt;/span&gt;このまま日本語にすると「前に伸ばす」となる。この動きから、相手の前に何かを差し出す・提示するとなる。さらに自分の中にある真実や本心を隠すために、偽りの理由や態度を前に差し出す、つまり「〜のふりをする」という意味になった。
&lt;span class="spacer"&gt;&lt;/span&gt;pretend to do（〜するふりをする）
これはto do（〜する）を相手の前に出すけど、自分はそれを実際には行わないというイメージ。
&lt;div class="sample_image pretend"&gt;&lt;/div&gt;&lt;/span&gt;</t>
  </si>
  <si>
    <t>&lt;span class="w"&gt;&lt;b&gt;【727.resist：〜に抵抗する】&lt;/b&gt;&lt;/span&gt;
&lt;span class="ml"&gt;ラテン語に由来する語で、以下の2つの要素から成る。
&lt;span class="spacer"&gt;&lt;/span&gt;re（対して）
sistere（立たせる）
&lt;span class="spacer"&gt;&lt;/span&gt;このまま日本語にすると「何かに対して立たせる」となる。これは、向かってくる力に対して立ち向かうというイメージで、そこから「抵抗する」という意味になる。
&lt;div class="sample_image resist"&gt;&lt;/div&gt;&lt;/span&gt;</t>
  </si>
  <si>
    <t>&lt;span class="w"&gt;&lt;b&gt;【728.scare：〜を怖がらせる, 〜を脅す】&lt;/b&gt;&lt;/span&gt;
&lt;span class="ml"&gt;古ノルド語skirra（怖がらせる, 恐れて避ける）に由来する。
&lt;span class="spacer"&gt;&lt;/span&gt;古ノルド語から意味の変化はほとんどない。田畑に置かれるカラスなどの鳥を追い払うカカシは、英語でscarecrowと呼ばれる。これはカラス（crow）を怖がらせて（scare）追い払うことに由来する。
&lt;div class="sample_image scare"&gt;&lt;/div&gt;&lt;/span&gt;</t>
  </si>
  <si>
    <t>&lt;span class="w"&gt;&lt;b&gt;【729.imitate：〜をまねる】&lt;/b&gt;&lt;/span&gt;
&lt;span class="ml"&gt;印相祖語*aim-（コピーする）に由来する。
&lt;span class="spacer"&gt;&lt;/span&gt;この印欧祖語からはimage（イメージ）やimagine（想像する）も生まれている。imageが現実を頭の中でマネしたものだと考えれば、imitate「まねをする」という意味も納得できる。
&lt;div class="sample_image imitate"&gt;&lt;/div&gt;&lt;/span&gt;</t>
  </si>
  <si>
    <t>&lt;span class="w"&gt;&lt;b&gt;【731.resemble：〜に似ている】&lt;/b&gt;&lt;/span&gt;
&lt;span class="ml"&gt;古フランス語に由来する語で、以下の2つの要素から成る。
&lt;span class="spacer"&gt;&lt;/span&gt;re（強意）
sembler（〜に似ている）
&lt;span class="spacer"&gt;&lt;/span&gt;このまま日本語にすると「〜に似ている」という意味になる。resembleのsemble部分＝古フランス語semblerは、印欧祖語*sem-（一つ, 共に）にさかのぼる。この印欧祖語からは、same（同じ）やsimilar（似た）
&lt;div class="sample_image resemble"&gt;&lt;/div&gt;&lt;/span&gt;</t>
  </si>
  <si>
    <t>&lt;span class="w"&gt;&lt;b&gt;【734.collapse：崩壊する, （人が）倒れる, 〜を折りたたむ】&lt;/b&gt;&lt;/span&gt;
&lt;span class="ml"&gt;ラテン語に由来する語で、以下の2つの要素から成る。
&lt;span class="spacer"&gt;&lt;/span&gt;com（共に）
labi（滑る, 落ちる）
&lt;span class="spacer"&gt;&lt;/span&gt;このまま日本語にすると「共に滑り落ちる」となる。これは、支えを失ったように全体が一緒に滑り落ちるイメージ。そこから「崩壊する」という意味になる。
&lt;span class="spacer"&gt;&lt;/span&gt;また人が支えを失ったように崩れ落ちることは「倒れる」、物（たとえば机や椅子）が支えを失ったように倒れることは「折りたたむ」という意味になる。
&lt;div class="sample_image collapse"&gt;&lt;/div&gt;&lt;/span&gt;</t>
  </si>
  <si>
    <t>&lt;span class="w"&gt;&lt;b&gt;【735.reform：〜を改革する, 〜を改心させる】&lt;/b&gt;&lt;/span&gt;
&lt;span class="ml"&gt;ラテン語に由来する語で、以下の2つの要素から成る。
&lt;span class="spacer"&gt;&lt;/span&gt;re（再び）
formare（形作る）
&lt;span class="spacer"&gt;&lt;/span&gt;このまま日本語にすると「再び形作る」となる。これは、前よりも良い形に変えることを表し、人を「改心させる」や政府や制度を「改革する」という意味になる。&lt;/span&gt;</t>
  </si>
  <si>
    <t>protestのtest部分は「証言」と結びつく。</t>
  </si>
  <si>
    <t>&lt;span class="w"&gt;&lt;b&gt;【736.protest：抗議する】&lt;/b&gt;&lt;/span&gt;
&lt;span class="ml"&gt;ラテン語に由来する語で、以下の2つの要素から成る。
&lt;span class="spacer"&gt;&lt;/span&gt;pro（前へ）
testis（証人）から派生したtestari（証言する）
&lt;span class="spacer"&gt;&lt;/span&gt;このまま日本語にすると「前へ出て証言する」となる。もともとは、公の場で宣言することを表した。そこから、行為や手段を非難するために宣言を行う、つまり「抗議する」という意味になった。
&lt;div class="sample_image protest"&gt;&lt;/div&gt;&lt;/span&gt;</t>
  </si>
  <si>
    <t>testis（証人）
&lt;span class="spacer"&gt;&lt;/span&gt;動詞になって
testari（証言する）
&lt;span class="spacer"&gt;&lt;/span&gt;pro（前へ）＋testari（証言する）
protestari（証言する, 公に宣言する, 抗議する）</t>
  </si>
  <si>
    <t>1600年頃
提案・実行された行為や手段を非難するために正式な宣言を行う
抗議する</t>
  </si>
  <si>
    <t>&lt;span class="w"&gt;&lt;b&gt;【737.owe：借りがある, 〜を借りている, ～のおかげである】&lt;/b&gt;&lt;/span&gt;
&lt;span class="ml"&gt;古英語agan（所有する）にさかのぼる。これはownと同じ語源であり、oweとownは双子のような語となっている。
&lt;span class="spacer"&gt;&lt;/span&gt;ownは古英語から変わらず「所有する」という意味で残ったが、oweは「借りがある」という意味になった。
&lt;span class="spacer"&gt;&lt;/span&gt;古英語期には、agan to geldanne（支払うことを所有している）というaganを使ったフレーズがあり、ここからowe（借りがある）が生まれた。
&lt;span class="spacer"&gt;&lt;/span&gt;&lt;b&gt;［owing to / due toの関係］&lt;/b&gt;
oweのもとになったagan to geldanneは、ラテン語debere（借りがある：dueの語源）を翻訳するために使われた。そのため英語には「〜のために」という表現にowing to / due toの2つの表現がある。
&lt;span class="spacer"&gt;&lt;/span&gt;&lt;b&gt;［oweとoughtの関係］&lt;/b&gt;
ought to（〜するべき, 〜のはずだ）のoughtは、古英語aganの過去形ahteにさかのぼる。「借りがある」という意味から、返す義務がある、そして「〜するべき」という意味となった。&lt;/span&gt;</t>
  </si>
  <si>
    <t>SDGsのS＝sustainable（持続可能）と関連させて覚える。
またtain（保つ）系はまとめて覚える。</t>
  </si>
  <si>
    <t>&lt;span class="w"&gt;&lt;b&gt;【738.sustain：〜を持続させる】&lt;/b&gt;&lt;/span&gt;
&lt;span class="ml"&gt;ラテン語に由来する語で、以下の2つの要素から成る。
&lt;span class="spacer"&gt;&lt;/span&gt;sub（下から）
tenere（保つ, 保持する）
&lt;span class="spacer"&gt;&lt;/span&gt;このまま日本語にすると「下から保つ」となる。下から支えるイメージから、何かを「持続させる」という意味になる。
&lt;div class="sample_image sustain"&gt;&lt;/div&gt;&lt;/span&gt;</t>
  </si>
  <si>
    <t>sub（下から）＋tenere（保つ, 保持する）
sustinere（支え持つ, 耐える）</t>
  </si>
  <si>
    <t>&lt;span class="w"&gt;&lt;b&gt;【739.assign：〜を割り当てる】&lt;/b&gt;&lt;/span&gt;
&lt;span class="ml"&gt;ラテン語に由来する語で、以下の2つの要素から成る。
&lt;span class="spacer"&gt;&lt;/span&gt;ad（〜へ）
signum（印）から派生したsignare（印をつける）
&lt;span class="spacer"&gt;&lt;/span&gt;このまま日本語にすると「〜へ印をつける」となる。印（サイン）をつけて、財産を割り当てたり、誰かに任務を割り当てたりすることから、何かに対してあるものを「割り当てる」という意味になる。
&lt;div class="sample_image assign"&gt;&lt;/div&gt;&lt;/span&gt;</t>
  </si>
  <si>
    <t>completeと語源的に関連するので、「何かをコンプリートする」というイメージで覚えればよい。</t>
  </si>
  <si>
    <t>&lt;span class="w"&gt;&lt;b&gt;【740.accomplish：〜を成し遂げる, 〜を達成する】&lt;/b&gt;&lt;/span&gt;
&lt;span class="ml"&gt;ラテン語に由来する語で、以下の3つの要素から成る。
&lt;span class="spacer"&gt;&lt;/span&gt;ad（〜へ）
com（強意）
plere（満たす）
&lt;span class="spacer"&gt;&lt;/span&gt;このまま日本語にすると「〜へ完全に満たす」となる。物理的に何かを完全に満たすことから発展して、最後までやり切って目標を果たす、つまり「成し遂げる, 達成する」という意味になる。&lt;/span&gt;</t>
  </si>
  <si>
    <t>形容詞wise（賢い）の名詞として覚えればよい。</t>
  </si>
  <si>
    <t>&lt;span class="w"&gt;&lt;b&gt;【741.wisdom：知恵, 賢明さ】&lt;/b&gt;&lt;/span&gt;
&lt;span class="ml"&gt;古英語にさかのぼり、以下の2つの要素から成る。
&lt;span class="spacer"&gt;&lt;/span&gt;wis（賢明な：wiseの語源）
dom（名詞化）
&lt;span class="spacer"&gt;&lt;/span&gt;このまま日本語にすると「賢明なこと」となる。そこから「賢明さ」や学習や経験に基づく「知恵」という意味になる。&lt;/span&gt;</t>
  </si>
  <si>
    <t>literacyのlitera部分は、letter（文字）と同じ。</t>
  </si>
  <si>
    <t>&lt;span class="w"&gt;&lt;b&gt;【742.literacy：読み書きの能力】&lt;/b&gt;&lt;/span&gt;
&lt;span class="ml"&gt;近代英語にさかのぼり、以下の2つの要素から成る。
&lt;span class="spacer"&gt;&lt;/span&gt;literate（読み書きのできる）
cy（名詞化）
&lt;span class="spacer"&gt;&lt;/span&gt;このまま日本語にすると「読み書きできること＝読み書きの能力」という意味になる。
&lt;span class="spacer"&gt;&lt;/span&gt;literateはラテン語に由来する語で、以下の2つの要素から成る。
&lt;span class="spacer"&gt;&lt;/span&gt;littera（文字：letterの語源）
atus（形容詞化）
&lt;span class="spacer"&gt;&lt;/span&gt;この語の核は「教育を受けて文字を知っている状態」。つまり教育によって文字の読み方と書き方を習っていて「読み書きできる」という意味になる。&lt;/span&gt;</t>
  </si>
  <si>
    <t>World Heritage Site（世界遺産）と関連させて覚える。</t>
  </si>
  <si>
    <t>&lt;span class="w"&gt;&lt;b&gt;【743.heritage：遺産】&lt;/b&gt;&lt;/span&gt;
&lt;span class="ml"&gt;古フランス語に由来する語で、以下の2つの要素から成る。
&lt;span class="spacer"&gt;&lt;/span&gt;heriter（相続する）
age（名詞化）
&lt;span class="spacer"&gt;&lt;/span&gt;このまま日本語にすると「相続されるもの」つまり「遺産」という意味になる。&lt;/span&gt;</t>
  </si>
  <si>
    <t>&lt;span class="w"&gt;&lt;b&gt;【744.mission：使命, （外交）使節団, 布教】&lt;/b&gt;&lt;/span&gt;
&lt;span class="ml"&gt;ラテン語に由来する語で、以下の2つの要素から成る。
&lt;span class="spacer"&gt;&lt;/span&gt;mittere（送る）
io（名詞化）
&lt;span class="spacer"&gt;&lt;/span&gt;このまま日本語にすると「送ること」となり、この語の核は「派遣」。宗教活動での派遣なら「布教」、商業や政治での派遣なら「使節団」という意味になる。また派遣には目的や任務があるため、そこから一般的に「使命」という意味になる。&lt;/span&gt;</t>
  </si>
  <si>
    <t>mittere（放つ, 送る）
&lt;span class="spacer"&gt;&lt;/span&gt;名詞を作る-ioが付いて
missio（送ること, 派遣）</t>
  </si>
  <si>
    <t>日本語でも使われるlicense（ライセンス, 免許証）と関連させて覚える。</t>
  </si>
  <si>
    <t>&lt;span class="w"&gt;&lt;b&gt;【745.license：免許（証）, 許可】&lt;/b&gt;&lt;/span&gt;
&lt;span class="ml"&gt;ラテン語に由来する語で、以下の2つの要素から成る。
&lt;span class="spacer"&gt;&lt;/span&gt;licere（許される）
ia（名詞化）
&lt;span class="spacer"&gt;&lt;/span&gt;このまま日本語にすると「許されること」となる。権威あるものから与えられた許可、つまり法的な許可を表すようになり、「免許証, 許可」という意味になった。&lt;/span&gt;</t>
  </si>
  <si>
    <t>日本語でも使われるエリートと同じ。</t>
  </si>
  <si>
    <t>動詞lay（横たえる）にer（〜するもの, 〜する人）が付いた語。
layerは「横たわっているもの＝層」というイメージ。</t>
  </si>
  <si>
    <t>日本語でも使われるモーター（原動力）と同じ。
move（動かす）にor（〜するもの）が付いたと考えればよい。</t>
  </si>
  <si>
    <t>日本語でも使われるプロテイン（タンパク質）と同じ。
※発音は異なるので注意。</t>
  </si>
  <si>
    <t>1838年
オランダ人の化学者ムルダーが造語
ギリシャ語prōteios（最も重要な）＋ine（化学物質名を表す）
protéine</t>
  </si>
  <si>
    <t>日本語でも使われるプロ, プロフェッショナルと同じ。</t>
  </si>
  <si>
    <t>pro（前へ）＋fateri（話す, 告げる）
profiteri（公に宣言する）
&lt;span class="spacer"&gt;&lt;/span&gt;名詞を作る-ioが付いて
professio（公の宣言）</t>
  </si>
  <si>
    <t>日本語でも使われるエディター（編集者, 編集するもの）と関連させて覚える。</t>
  </si>
  <si>
    <t>agentのag部分は、actやagendaと同じ語源に由来する。</t>
  </si>
  <si>
    <t>agere（動かす, 行う, 駆り立てる）
&lt;span class="spacer"&gt;&lt;/span&gt;現在分詞agens（強力な, 効果的な）</t>
  </si>
  <si>
    <t>日本語でも使われるglobal（グローバル, 世界的な）と関連させて覚える。
globeは「球体」というイメージ。</t>
  </si>
  <si>
    <t>&lt;span class="w"&gt;&lt;b&gt;【753.globe：地球, 世界, 球】&lt;/b&gt;&lt;/span&gt;
&lt;span class="ml"&gt;ラテン語globus（丸い塊, 球）に由来する。
&lt;span class="spacer"&gt;&lt;/span&gt;この語の核は「丸い塊」。そこから「球」という意味になる。また大きな丸い塊として「地球」や「世界」という意味にもなる。&lt;/span&gt;</t>
  </si>
  <si>
    <t>havenは「港のような安全な場所」というイメージ。</t>
  </si>
  <si>
    <t>&lt;span class="w"&gt;&lt;b&gt;【754.haven：避難所, 保護区】&lt;/b&gt;&lt;/span&gt;
&lt;span class="ml"&gt;古英語hæfen（港）にさかのぼる。
&lt;span class="spacer"&gt;&lt;/span&gt;港は船にとって安全な場所であることから「避難所, 保護区」という意味になった。&lt;/span&gt;</t>
  </si>
  <si>
    <t>&lt;span class="w"&gt;&lt;b&gt;【755.row：列】&lt;/b&gt;&lt;/span&gt;
&lt;span class="ml"&gt;古英語ræw（列, 並び）にさかのぼる。
&lt;span class="spacer"&gt;&lt;/span&gt;古英語から意味の変化はほとんどない。&lt;/span&gt;</t>
  </si>
  <si>
    <t>&lt;span class="w"&gt;&lt;b&gt;【758.session：集まり, 会期, 議会】&lt;/b&gt;&lt;/span&gt;
&lt;span class="ml"&gt;ラテン語に由来する語で、以下の2つの要素から成る。
&lt;span class="spacer"&gt;&lt;/span&gt;sedere（座る）
io（名詞化）
&lt;span class="spacer"&gt;&lt;/span&gt;このまま日本語にすると「座ること」となる。この語の核は「集まって座って何かをすること」。
&lt;span class="spacer"&gt;&lt;/span&gt;もともとは、古代ローマなどにおいて裁判官や議員などの公職者が、話し合いや審議のために所定の席に座ることを表した。そこから、何かの目的のための「集まり」や「議会」、またその期間である「会期」という意味になった。&lt;/span&gt;</t>
  </si>
  <si>
    <t>日本語でも使われるスポーツのリーグと同じ。</t>
  </si>
  <si>
    <t>&lt;span class="w"&gt;&lt;b&gt;【759.league：（競技）連盟, 同盟】&lt;/b&gt;&lt;/span&gt;
&lt;span class="ml"&gt;ラテン語ligare（縛る）に由来する。
&lt;span class="spacer"&gt;&lt;/span&gt;この語の核は「結びついているもの」。そこから複数の団体や国が結びついている「連盟, 同盟」という意味になる。&lt;/span&gt;</t>
  </si>
  <si>
    <t>日本語でも使われるコンテストと同じ。</t>
  </si>
  <si>
    <t>&lt;span class="w"&gt;&lt;b&gt;【760.contest：コンテスト, 競技会】&lt;/b&gt;&lt;/span&gt;
&lt;span class="ml"&gt;ラテン語に由来する語で、以下の2つの要素から成る。
&lt;span class="spacer"&gt;&lt;/span&gt;com（共に）
testari（証言する）
&lt;span class="spacer"&gt;&lt;/span&gt;このまま日本語にすると「共に証言する」となる。もともとは、法廷で争う者同士が証人を呼んで証言させることを表した。そこから法的なニュアンスがなくなり、何かを求める競争、すなわち「コンテスト, 競技」という意味になった。&lt;/span&gt;</t>
  </si>
  <si>
    <t>ボディガードのガードと同じ。</t>
  </si>
  <si>
    <t>&lt;span class="w"&gt;&lt;b&gt;【761.guard：警備員, 監視】&lt;/b&gt;&lt;/span&gt;
&lt;span class="ml"&gt;印欧祖語*wer-（警戒する）−古フランス語garder（保持する, 保護する）に由来する。
&lt;span class="spacer"&gt;&lt;/span&gt;もともとは注意深く見て警戒するというニュアンスだったが、そこから、見ているだけではなく何かを保護するという能動的な行動のニュアンスが強まった。そして守る行為である「監視」や、守る人である「警備員」などの意味になった。&lt;/span&gt;</t>
  </si>
  <si>
    <t>oppose（反対する）と関連させて覚える。</t>
  </si>
  <si>
    <t>&lt;span class="w"&gt;&lt;b&gt;【765.tissue：（生物の）組織, ティッシュペーパー】&lt;/b&gt;&lt;/span&gt;
&lt;span class="ml"&gt;ラテン語texere（織る）に由来する。
&lt;span class="spacer"&gt;&lt;/span&gt;もともとは、薄くて軽いガーゼのような細かく織られた布地を表した。
&lt;span class="spacer"&gt;&lt;/span&gt;そして生物学において、動植物の細胞や繊維が、まるで布の目のように複雑に織り合わさって形作られていることから、生物の「組織」という意味になった。
&lt;span class="spacer"&gt;&lt;/span&gt;さらに1929年から薄くて柔らかい紙である「ティッシュペーパー」という意味になった。&lt;/span&gt;</t>
  </si>
  <si>
    <t>&lt;span class="w"&gt;&lt;b&gt;【756.sacrifice：犠牲, いけにえ】&lt;/b&gt;&lt;/span&gt;
&lt;span class="ml"&gt;ラテン語に由来する語で、以下の2つの要素から成る。
&lt;span class="spacer"&gt;&lt;/span&gt;sacer（神聖な：sacredの語源）
facere（行う, 作る）
&lt;span class="spacer"&gt;&lt;/span&gt;このまま日本語にすると「神聖なものにする」となる。古代の宗教では、動物や農作物などを祭壇で神に捧げ、その供物を俗世から切り離して神聖なものに変える儀式が行われていた。ここから神聖なものにされた「いけにえ」という意味になった。
&lt;span class="spacer"&gt;&lt;/span&gt;さらに、神のために自分の持ち物を手放すことから発展して、何らかの目的や他者のために、自分の利益や大切なものを手放すこと、つまり「犠牲」という意味になった。
&lt;div class="sample_image sacrifice"&gt;&lt;/div&gt;&lt;/span&gt;</t>
  </si>
  <si>
    <t>動詞meanとは関係がない。
meansのme部分は、mediaやmiddleなどと同じで「中間」。</t>
  </si>
  <si>
    <t>&lt;span class="w"&gt;&lt;b&gt;【757.means：手段, 資力, 収入】&lt;/b&gt;&lt;/span&gt;
&lt;span class="ml"&gt;ラテン語medius（中間の）に由来する。
&lt;span class="spacer"&gt;&lt;/span&gt;この語の核は「スタートとゴールの中間にあるもの」。そこから、ゴール（目的）に到達するための「手段」という意味になった。また目的を達成するための手段として「資力, 収入」という意味にもなった。
&lt;div class="sample_image means"&gt;&lt;/div&gt;&lt;/span&gt;</t>
  </si>
  <si>
    <t>&lt;span class="w"&gt;&lt;b&gt;【762.opponent：（試合や論争などの）相手, 反対者】&lt;/b&gt;&lt;/span&gt;
&lt;span class="ml"&gt;ラテン語に由来する語で、以下の3つの要素から成る。
&lt;span class="spacer"&gt;&lt;/span&gt;ob（前に, 対して）
ponere（置く）
ens（現在分詞を作る：〜しているもの）
&lt;span class="spacer"&gt;&lt;/span&gt;この語の核は「何かに対立する位置に置いてあるもの」。ここから「対戦相手, 反対者」という意味になる。
&lt;div class="sample_image opponent"&gt;&lt;/div&gt;&lt;/span&gt;</t>
  </si>
  <si>
    <t>&lt;span class="w"&gt;&lt;b&gt;【763.glance：ちらっと見ること】&lt;/b&gt;&lt;/span&gt;
&lt;span class="ml"&gt;ラテン語glacies（氷）に由来する。
&lt;span class="spacer"&gt;&lt;/span&gt;もともとは、氷の上を滑るというイメージから、相手の攻撃が氷のように滑って斜めにかすめるという物理的な動きを表した。
&lt;span class="spacer"&gt;&lt;/span&gt;そこに、発音が似た別の単語（横目で見る）の影響があり、攻撃がかすめるように視線を瞬間的に滑らせる＝「ちらっと見ること」という意味になった。
&lt;div class="sample_image glance"&gt;&lt;/div&gt;&lt;/span&gt;</t>
  </si>
  <si>
    <t>&lt;span class="w"&gt;&lt;b&gt;【766.liquid：液体】&lt;/b&gt;&lt;/span&gt;
&lt;span class="ml"&gt;ラテン語に由来する語で、以下の2つの要素から成る。
&lt;span class="spacer"&gt;&lt;/span&gt;liquere（流動する）
idus（形容詞化）
&lt;span class="spacer"&gt;&lt;/span&gt;もともとは流動する性質を持つことを表す形容詞だったが、名詞として使われるようになり「液体」という意味になった。&lt;/span&gt;</t>
  </si>
  <si>
    <t>equal（平等な）の名詞equality（平等）の否定。</t>
  </si>
  <si>
    <t>&lt;span class="w"&gt;&lt;b&gt;【767.inequality：不平等】&lt;/b&gt;&lt;/span&gt;
&lt;span class="ml"&gt;ラテン語に由来する語で、以下の4つの要素から成る。
&lt;span class="spacer"&gt;&lt;/span&gt;in（否定）
aequus（平らな, 均一な）
alis（形容詞化）
itas（名詞化）
&lt;span class="spacer"&gt;&lt;/span&gt;このまま日本語にすると「平らではないこと, 均一ではないこと」となる。そこから「不平等」という意味になる｡&lt;/span&gt;</t>
  </si>
  <si>
    <t>prejudiceのjudice部分は、judgeと同じだと覚えればよい。</t>
  </si>
  <si>
    <t>&lt;span class="w"&gt;&lt;b&gt;【768.prejudice：偏見】&lt;/b&gt;&lt;/span&gt;
&lt;span class="ml"&gt;ラテン語に由来する語で、以下の2つの要素から成る。
&lt;span class="spacer"&gt;&lt;/span&gt;prae（前もって）
iudexから派生したiudicium（判断）
&lt;span class="spacer"&gt;&lt;/span&gt;このまま日本語にすると「前もって行われる判断」となる。そこから先入観となり、特に否定的な意味での「偏見」という意味になった。
&lt;span class="spacer"&gt;&lt;/span&gt;ラテン語iudexはjudgeの語源でもある。そのためprejudiceは、前もって（pre）行われるジャッジ（判断）というイメージで覚えればよい。&lt;/span&gt;</t>
  </si>
  <si>
    <t>日本語でも使われるジャスティス（正義）と同じ。</t>
  </si>
  <si>
    <t>&lt;span class="w"&gt;&lt;b&gt;【769.justice：公正, 正義, 司法】&lt;/b&gt;&lt;/span&gt;
&lt;span class="ml"&gt;ラテン語ius（法）に由来する。
&lt;span class="spacer"&gt;&lt;/span&gt;この語の核は「法」。法を司る「司法」や、法や道徳に基づく「正義」や「公正」という意味になる。&lt;/span&gt;</t>
  </si>
  <si>
    <t>日本語でも使われるガイドラインと同じ。</t>
  </si>
  <si>
    <t>&lt;span class="w"&gt;&lt;b&gt;【770.guideline：ガイドライン, 指針】&lt;/b&gt;&lt;/span&gt;
&lt;span class="ml"&gt;近代英語にさかのぼり、以下の2つの要素から成る。
&lt;span class="spacer"&gt;&lt;/span&gt;guide（導く）
line（線）
&lt;span class="spacer"&gt;&lt;/span&gt;このまま日本語にすると「導く線」となる。もともとは、何かを切断する前に引かれた補助線を表していた。そこから比喩的に、何かを導くもの＝「ガイドライン, 指針」という意味になった。&lt;/span&gt;</t>
  </si>
  <si>
    <t>platformのplat部分は、flat（フラットな, 平らな）やplate（プレート, 皿）と同じ語源にさかのぼる。</t>
  </si>
  <si>
    <t>&lt;span class="w"&gt;&lt;b&gt;【771.platform：プラットフォーム, 演壇, 舞台】&lt;/b&gt;&lt;/span&gt;
&lt;span class="ml"&gt;古フランス語に由来する語で、以下の2つの要素から成る。
&lt;span class="spacer"&gt;&lt;/span&gt;plat（平らな, 水平な）
forme（形）
&lt;span class="spacer"&gt;&lt;/span&gt;このまま日本語にすると「平らな形」となる。最初は建物の平面図や地形の平らな場所を指したが、そこから物理的な一段高くなった台、つまり「駅のホーム」や「演壇, 舞台」といった意味になった。
&lt;span class="spacer"&gt;&lt;/span&gt;さらにその後、意見や方針を発表するための基盤＝政党の綱領や現代のITプラットフォームなどといった抽象的な意味にも広がった。&lt;/span&gt;</t>
  </si>
  <si>
    <t>canal（運河）と関連させて覚える。</t>
  </si>
  <si>
    <t>glance（ちらっと見る）と同じ語源にさかのぼる。</t>
  </si>
  <si>
    <t>&lt;span class="w"&gt;&lt;b&gt;【774.glacier：氷河】&lt;/b&gt;&lt;/span&gt;
&lt;span class="ml"&gt;ラテン語glacies（氷）に由来する。
&lt;span class="spacer"&gt;&lt;/span&gt;もともとは氷を表す言葉だったが、移動する氷＝「氷河」を表すようになった。
&lt;span class="spacer"&gt;&lt;/span&gt;ラテン語glacies（氷）のもとになった印欧祖語*gel-（冷たい, 凍る）からはcoldやcoolが生まれている。&lt;/span&gt;</t>
  </si>
  <si>
    <t>&lt;span class="w"&gt;&lt;b&gt;【775.primate：霊長類, 霊長目の動物】&lt;/b&gt;&lt;/span&gt;
&lt;span class="ml"&gt;ラテン語primus（第一の）に由来する。
&lt;span class="spacer"&gt;&lt;/span&gt;この語の核は「第一のもの」。もともとは、キリスト教において、教区内で聖職者の最高位である「大司教」を意味した。
&lt;span class="spacer"&gt;&lt;/span&gt;さらにそこから、近代において、あらゆる動物の中で哺乳類が最高位と見なされていたことから「霊長類, 霊長目の動物」という意味になり、こちらが一般的に使われるようになった。&lt;/span&gt;</t>
  </si>
  <si>
    <t>use（使う）の名詞として覚える。</t>
  </si>
  <si>
    <t>fortunately（幸運にも）やunfortunately（不運にも）と関連させて覚える。</t>
  </si>
  <si>
    <t>&lt;span class="w"&gt;&lt;b&gt;【777.fortune：財産, 幸運, 運命】&lt;/b&gt;&lt;/span&gt;
&lt;span class="ml"&gt;印欧祖語*bher-（運ぶ）にさかのぼると考えられるラテン語fors（偶然, 運）に由来する。
&lt;span class="spacer"&gt;&lt;/span&gt;この語の核はおそらく「運ばれてきたもの」。偶然によって運ばれてくるものというイメージから「運, 運命」という意味になる。さらに運の中でも特に良い運＝「幸運」を指すようになった。
&lt;span class="spacer"&gt;&lt;/span&gt;人生における境遇は運によって決まるというところから、社会的地位を決定づける「財産」の意味で使われるようになった。&lt;/span&gt;</t>
  </si>
  <si>
    <t>relate（関連する）やrelation（関係, つながり）と関連させて覚える。</t>
  </si>
  <si>
    <t>&lt;span class="w"&gt;&lt;b&gt;【778.correlation：相互関係, 相関】&lt;/b&gt;&lt;/span&gt;
&lt;span class="ml"&gt;フランス語に由来する語で、以下の2つの要素から成る。
&lt;span class="spacer"&gt;&lt;/span&gt;com（共に）
relation（つながり）
&lt;span class="spacer"&gt;&lt;/span&gt;この語の核は「共につながりがある状態」。AとBがあるとき、AからBへのつながりがあり、BからAへのつながりもある状態。そこから「相互関係, 相関」という意味になる。&lt;/span&gt;</t>
  </si>
  <si>
    <t>&lt;span class="w"&gt;&lt;b&gt;【779.artistic：芸術的な】&lt;/b&gt;&lt;/span&gt;
&lt;span class="ml"&gt;フランス語に由来する語で、以下の2つの要素から成る。
&lt;span class="spacer"&gt;&lt;/span&gt;artiste（アーティスト）
ique（形容詞化）
&lt;span class="spacer"&gt;&lt;/span&gt;芸術のartから芸術家artistとなり、形容詞artistique「芸術的な」という意味になった。&lt;/span&gt;</t>
  </si>
  <si>
    <t>literaryのlitera部分はletter（文字）と同じ。
literature（文学）と関連させて覚える。</t>
  </si>
  <si>
    <t>&lt;span class="w"&gt;&lt;b&gt;【780.literary：文学の】&lt;/b&gt;&lt;/span&gt;
&lt;span class="ml"&gt;ラテン語に由来する語で、以下の2つの要素から成る。
&lt;span class="spacer"&gt;&lt;/span&gt;littera（アルファベットの文字）
arius（形容詞化）
&lt;span class="spacer"&gt;&lt;/span&gt;この語の核は「文字」。もともとは「文字に関する」という意味から、書き言葉に関わる知識や教養を指して「学問の」という意味でも使われた。そこから、文字によって表現された書物や作品を指すようになり、「文学の」という意味へと発展した。&lt;/span&gt;</t>
  </si>
  <si>
    <t>class（階級, クラス）と関連させて覚える。</t>
  </si>
  <si>
    <t>&lt;span class="w"&gt;&lt;b&gt;【781.classic：名作の, 第一級の, 典型的な, 定番の】&lt;/b&gt;&lt;/span&gt;
&lt;span class="ml"&gt;ラテン語に由来する語で、以下の2つの要素から成る。
&lt;span class="spacer"&gt;&lt;/span&gt;classis（階級, 区分）
icus（形容詞化）
&lt;span class="spacer"&gt;&lt;/span&gt;もともとは、ローマ市民を分けた階級、さらにその中でも第一階級を表した。そこから、文化や文学において「第一級の, 名作の」という意味になり、第一級の作品はいつも模範となるため「定番の, 典型的な」という意味にもなった。&lt;/span&gt;</t>
  </si>
  <si>
    <t>classis（階級, ローマ市民を分けた6つの階級）
&lt;span class="spacer"&gt;&lt;/span&gt;形容詞を作る-icusが付いて
classicus（ローマ市民の最上位の階級に関する, 優れた, 一流の）</t>
  </si>
  <si>
    <t>The Statue of Liberty（自由の女神）のliberty（自由）と関連させて覚える。</t>
  </si>
  <si>
    <t>&lt;span class="w"&gt;&lt;b&gt;【784.slight：わずかな, 取るにたらない】&lt;/b&gt;&lt;/span&gt;
&lt;span class="ml"&gt;中英語にさかのぼる。
&lt;span class="spacer"&gt;&lt;/span&gt;もともとは「なめらか・平ら」ということを表した。そこから厚みがなく、ほっそりして細く、大したものではないというイメージになり、「取るにならない, わずかな」という意味になった。&lt;/span&gt;</t>
  </si>
  <si>
    <t>アメリカのFBI（連邦捜査局）と関連させて覚える。
Federal（連邦の）
Bureau（局・機関）
Investigation（捜査）</t>
  </si>
  <si>
    <t>&lt;span class="w"&gt;&lt;b&gt;【785.federal：連邦（政府）の】&lt;/b&gt;&lt;/span&gt;
&lt;span class="ml"&gt;ラテン語
foedus（契約, 条約）
&lt;span class="spacer"&gt;&lt;/span&gt;もともとは、神学的な「神との契約に関する」という意味や、独立した国家間の「同盟や条約に関する」という意味で使われた。
&lt;span class="spacer"&gt;&lt;/span&gt;その後、1787年のアメリカ合衆国憲法制定の際に、独立した各州が盟約（foedus）を結び、強力な中央政府を形成する体制を連邦制（federalism）と呼び、それを支持する人々がフェデラリストと名乗ったことで、単なる同盟ではなく「連邦政府の」という意味が定着した。&lt;/span&gt;</t>
  </si>
  <si>
    <t>&lt;span class="w"&gt;&lt;b&gt;【786.primitive：原始的な】&lt;/b&gt;&lt;/span&gt;
&lt;span class="ml"&gt;ラテン語に由来する語で、以下の2つの要素から成る。
&lt;span class="spacer"&gt;&lt;/span&gt;primus（第一の, 最初の）
ivus（形容詞化）
&lt;span class="spacer"&gt;&lt;/span&gt;この語の核は「初期の時代」。人類や社会の発展において、初期の時代に属するということから「原始的な」という意味になった。&lt;/span&gt;</t>
  </si>
  <si>
    <t>familiar（よく知っている, よく知られている）と関連させて覚える。</t>
  </si>
  <si>
    <t>&lt;span class="w"&gt;&lt;b&gt;【787.unfamiliar：よく知らない（with）, よく知られていない（to）】&lt;/b&gt;&lt;/span&gt;
&lt;span class="ml"&gt;近代英語にさかのぼり、以下の2つの要素から成る。
&lt;span class="spacer"&gt;&lt;/span&gt;un（否定）
familiar（よく知っている, よく知られている）
&lt;span class="spacer"&gt;&lt;/span&gt;このまま日本語にすると「よく知らない, よく知られていない」という意味になる。
familiarの語源は関連語で確認。&lt;/span&gt;</t>
  </si>
  <si>
    <t>texere（織る）から派生したtela（経糸, 網）
&lt;span class="spacer"&gt;&lt;/span&gt;sub（〜の下へ）＋tele（経糸, 網）
経糸（たていと）の下を細かく通る横糸
&lt;span class="spacer"&gt;&lt;/span&gt;subtilis（きめ細かく織られた, 細い, 薄い）</t>
  </si>
  <si>
    <t>explainや日本語のプレーン味と関連させて覚える。</t>
  </si>
  <si>
    <t>&lt;span class="w"&gt;&lt;b&gt;【789.plain：明らかな, わかりやすい, 飾り気のない, 率直な】&lt;/b&gt;&lt;/span&gt;
&lt;span class="ml"&gt;ラテン語planus（平らな, 平坦な）に由来する。
&lt;span class="spacer"&gt;&lt;/span&gt;この語の核は「物がなく平らな状態」。何もなく平坦であるということから、衣服に「飾り気のない」、言葉に余計なものがなく「率直な」という意味になる。また物がなくて全体を見通せることから「明らかな, わかりやすい」という意味になる。
&lt;span class="ml"&gt;日本語でもプレーン味（plane）という言葉があるが、これは何も物がない、つまり味が加えられていないことを表す。&lt;/span&gt;</t>
  </si>
  <si>
    <t>&lt;span class="w"&gt;&lt;b&gt;【790.marine：海の】&lt;/b&gt;&lt;/span&gt;
&lt;span class="ml"&gt;ラテン語に由来する語で、以下の2つの要素から成る。
&lt;span class="spacer"&gt;&lt;/span&gt;mare（海）
inus（形容詞化）
&lt;span class="spacer"&gt;&lt;/span&gt;このまま日本語にすると「海の」という意味になる。&lt;/span&gt;</t>
  </si>
  <si>
    <t>&lt;span class="w"&gt;&lt;b&gt;【792.reluctant：気が進まない】&lt;/b&gt;&lt;/span&gt;
&lt;span class="ml"&gt;ラテン語に由来する語で、以下の2つの要素から成る。
&lt;span class="spacer"&gt;&lt;/span&gt;re（対して）
luctari（もがく）
&lt;span class="spacer"&gt;&lt;/span&gt;このまま日本語にすると「何かに対してもがく」となる。やりたくないことに対してもがくという抵抗感から、何かに対して「気が進まない」という意味になった。
&lt;span class="spacer"&gt;&lt;/span&gt;be reluctant to doは、何かをすることに対して（やりたくなくて）もがく＝「〜することに気が進まない」となる。&lt;/span&gt;</t>
  </si>
  <si>
    <t>re（〜に対して）＋luctari（もがく）
reluctari（逆らって闘う, 抵抗する）
&lt;span class="spacer"&gt;&lt;/span&gt;現在分詞reluctans</t>
  </si>
  <si>
    <t>日本語でも使われるtempo（テンポ）と関連させて覚える。</t>
  </si>
  <si>
    <t>&lt;span class="w"&gt;&lt;b&gt;【793.temporary：一時的な】&lt;/b&gt;&lt;/span&gt;
&lt;span class="ml"&gt;ラテン語に由来する語で、以下の2つの要素から成る。
&lt;span class="spacer"&gt;&lt;/span&gt;tempus（時間, 季節）
arius（形容詞化）
&lt;span class="spacer"&gt;&lt;/span&gt;ラテン語tempusは、季節という意味があることからも分かるように、一定の区切られた時間を表した。そこから区切られた時間、つまり「一時的な」という意味になった。&lt;/span&gt;</t>
  </si>
  <si>
    <t>日本語でも使われるギルティ（罪がある）と関連させて覚える。</t>
  </si>
  <si>
    <t>&lt;span class="w"&gt;&lt;b&gt;【794.guilty：罪悪感のある, 有罪の】&lt;/b&gt;&lt;/span&gt;
&lt;span class="ml"&gt;古英語gylt（罪）にさかのぼる。
&lt;span class="spacer"&gt;&lt;/span&gt;法的な意味で罪を犯している、つまり「有罪の」という意味になった。そしてそこから、法的な罪ではなく、道徳的・心理的な罪の意識から「罪悪感のある」という意味になった。&lt;/span&gt;</t>
  </si>
  <si>
    <t>恐竜の王ティラノサウルスはT-REXと呼ばれる。このREXは「王」を意味するラテン語で、royalの語源。</t>
  </si>
  <si>
    <t>&lt;span class="w"&gt;&lt;b&gt;【795.royal：王の】&lt;/b&gt;&lt;/span&gt;
&lt;span class="ml"&gt;ラテン語に由来する語で、以下の2つの要素から成る。
&lt;span class="spacer"&gt;&lt;/span&gt;rex（王）
alis（形容詞化）
&lt;span class="spacer"&gt;&lt;/span&gt;このまま日本語にすると「王の」という意味になる。&lt;/span&gt;</t>
  </si>
  <si>
    <t>日本語でも使われるpure（ピュアな, 純粋な）と関連させて覚える。</t>
  </si>
  <si>
    <t>&lt;span class="w"&gt;&lt;b&gt;【796.pure：純粋な, まったくの, 単なる】&lt;/b&gt;&lt;/span&gt;
&lt;span class="ml"&gt;ラテン語purus（きれいな, 澄んだ, 混じり気のない）に由来する。
&lt;span class="spacer"&gt;&lt;/span&gt;この語の核は「何も混ざっていない澄みきった状態」。そこから「純粋な」という意味になる。
&lt;span class="spacer"&gt;&lt;/span&gt;また、何も混ざっていないということは一切の不純物がないので、「まったくの, 単なる」という意味になる。&lt;/span&gt;</t>
  </si>
  <si>
    <t>&lt;span class="w"&gt;&lt;b&gt;【797.incredible：信じられない】&lt;/b&gt;&lt;/span&gt;
&lt;span class="ml"&gt;ラテン語に由来する語で、以下の3つの要素から成る。
&lt;span class="spacer"&gt;&lt;/span&gt;in（否定）
credere（信じる）
bilis（できる）
&lt;span class="spacer"&gt;&lt;/span&gt;このまま日本語にすると「信じられない」という意味になる。&lt;/span&gt;</t>
  </si>
  <si>
    <t>&lt;span class="w"&gt;&lt;b&gt;【798.eager：熱望して, 熱心な】&lt;/b&gt;&lt;/span&gt;
&lt;span class="ml"&gt;ラテン語acer（鋭い, 尖った, 熱心な）に由来する。
&lt;span class="spacer"&gt;&lt;/span&gt;鋭いとは、先端が一点に集中しているイメージ。そこから、意識や意欲を一点に向ける感じを表し、何かに対して「熱心な, 熱望して」という意味になる。
&lt;span class="spacer"&gt;&lt;/span&gt;be eager to doは、to do（すること）という一点に意識や意欲が向いているイメージ。だから「しきりに〜すたがる」という意味になる。&lt;/span&gt;</t>
  </si>
  <si>
    <t>adequateのequ部分はequal（イコール）と同じ。</t>
  </si>
  <si>
    <t>aequus（平らな, 均一な：equalの語源）
&lt;span class="spacer"&gt;&lt;/span&gt;動詞になって
aequare（等しくする）
&lt;span class="spacer"&gt;&lt;/span&gt;ad（〜へ）＋aequare（等しくする）
adaequare（〜と等しくする）
&lt;span class="spacer"&gt;&lt;/span&gt;過去分詞adaequatus（等しくされた）</t>
  </si>
  <si>
    <t>&lt;span class="w"&gt;&lt;b&gt;【800.via：〜経由で】&lt;/b&gt;&lt;/span&gt;
&lt;span class="ml"&gt;ラテン語via（道, 〜経由で）に由来する。
&lt;span class="spacer"&gt;&lt;/span&gt;ラテン語から意味の変化はほとんどなく「〜経由で」という意味になる。&lt;/span&gt;</t>
  </si>
  <si>
    <t>&lt;span class="w"&gt;&lt;b&gt;【250.section：部門, 部分, 欄】&lt;/b&gt;&lt;/span&gt;
&lt;span class="ml"&gt;ラテン語に由来する語で、以下の2つの要素から成る。
&lt;span class="spacer"&gt;&lt;/span&gt;secare（切る）
io（名詞化）
&lt;span class="spacer"&gt;&lt;/span&gt;「切られたもの」から、全体から切られて区別された「部門, 部分」という意味になる。また2本の線で区切られた目盛や「欄」という意味にもなる。
&lt;div class="sample_image section"&gt;&lt;/div&gt;&lt;/span&gt;</t>
    <phoneticPr fontId="1"/>
  </si>
  <si>
    <t>&lt;span class="w"&gt;&lt;b&gt;【764.divorce：離婚, 分離】&lt;/b&gt;&lt;/span&gt;
&lt;span class="ml"&gt;ラテン語に由来する語で、以下の2つの要素から成る。
&lt;span class="spacer"&gt;&lt;/span&gt;dis（離れて）
vertere（向ける）
&lt;span class="spacer"&gt;&lt;/span&gt;このまま日本語にすると「離れた方向に向ける」となる。もともとは何かの「分離」を意味した。そして、人生という道を共にする夫婦が離れた方を向いて行くことから「離婚」という意味になった。
&lt;div class="sample_image divorce"&gt;&lt;/div&gt;&lt;/span&gt;</t>
    <phoneticPr fontId="1"/>
  </si>
  <si>
    <t>&lt;span class="w"&gt;&lt;b&gt;【772.sector：部門（領域）, セクター】&lt;/b&gt;&lt;/span&gt;
&lt;span class="ml"&gt;ラテン語に由来する語で、以下の2つの要素から成る。
&lt;span class="spacer"&gt;&lt;/span&gt;secare（切る）
or（〜する人, 〜するもの）
&lt;span class="spacer"&gt;&lt;/span&gt;このまま日本語にすると「切る人・もの」となる。もともとは円を切られたもの、つまり「扇形」を表した。
&lt;span class="spacer"&gt;&lt;/span&gt;第一次世界大戦時においては、司令部を中心として円形に区切られた担当区域や作戦地域を指したが、そこから形を問わず様々な「部門, 領域」を意味するようになった。
&lt;div class="sample_image sector"&gt;&lt;/div&gt;&lt;/span&gt;</t>
    <phoneticPr fontId="1"/>
  </si>
  <si>
    <t>sug</t>
  </si>
  <si>
    <t>gest</t>
  </si>
  <si>
    <t>cern</t>
  </si>
  <si>
    <t>scribe</t>
  </si>
  <si>
    <t>volve</t>
  </si>
  <si>
    <t>void</t>
  </si>
  <si>
    <t>late</t>
  </si>
  <si>
    <t>real</t>
  </si>
  <si>
    <t>courage</t>
  </si>
  <si>
    <t>pare</t>
  </si>
  <si>
    <t>ject</t>
  </si>
  <si>
    <t>mand</t>
  </si>
  <si>
    <t>plete</t>
  </si>
  <si>
    <t>cord</t>
  </si>
  <si>
    <t>est</t>
  </si>
  <si>
    <t>viron</t>
  </si>
  <si>
    <t>species</t>
  </si>
  <si>
    <t>bene</t>
  </si>
  <si>
    <t>iss</t>
  </si>
  <si>
    <t>peri</t>
  </si>
  <si>
    <t>quality</t>
  </si>
  <si>
    <t>state</t>
  </si>
  <si>
    <t>materi</t>
  </si>
  <si>
    <t>muni</t>
  </si>
  <si>
    <t>techno</t>
  </si>
  <si>
    <t>cult</t>
  </si>
  <si>
    <t>dividu</t>
  </si>
  <si>
    <t>mon</t>
  </si>
  <si>
    <t>cent</t>
  </si>
  <si>
    <t>cul</t>
  </si>
  <si>
    <t>physic</t>
  </si>
  <si>
    <t>rect</t>
  </si>
  <si>
    <t>spite</t>
  </si>
  <si>
    <t>proach</t>
  </si>
  <si>
    <t>imagine</t>
  </si>
  <si>
    <t>cur</t>
  </si>
  <si>
    <t>argue</t>
  </si>
  <si>
    <t>claim</t>
  </si>
  <si>
    <t>gain</t>
  </si>
  <si>
    <t>chie</t>
  </si>
  <si>
    <t>ve</t>
  </si>
  <si>
    <t>sta</t>
  </si>
  <si>
    <t>men</t>
  </si>
  <si>
    <t>municate</t>
  </si>
  <si>
    <t>indu</t>
  </si>
  <si>
    <t>stry</t>
  </si>
  <si>
    <t>mo</t>
  </si>
  <si>
    <t>dec</t>
  </si>
  <si>
    <t>met</t>
  </si>
  <si>
    <t>sour</t>
  </si>
  <si>
    <t>ce</t>
  </si>
  <si>
    <t>reg</t>
  </si>
  <si>
    <t>func</t>
  </si>
  <si>
    <t>atti</t>
  </si>
  <si>
    <t>stance</t>
  </si>
  <si>
    <t>negat</t>
  </si>
  <si>
    <t>plex</t>
  </si>
  <si>
    <t>current</t>
  </si>
  <si>
    <t>essent</t>
  </si>
  <si>
    <t>academ</t>
  </si>
  <si>
    <t>potent</t>
  </si>
  <si>
    <t>digit</t>
  </si>
  <si>
    <t>bile</t>
  </si>
  <si>
    <t>plast</t>
  </si>
  <si>
    <t>event</t>
  </si>
  <si>
    <t>identi</t>
  </si>
  <si>
    <t>gnore</t>
  </si>
  <si>
    <t>apt</t>
  </si>
  <si>
    <t>play</t>
  </si>
  <si>
    <t>move</t>
  </si>
  <si>
    <t>sire</t>
  </si>
  <si>
    <t>suc</t>
  </si>
  <si>
    <t>audi</t>
  </si>
  <si>
    <t>techn</t>
  </si>
  <si>
    <t>cest</t>
  </si>
  <si>
    <t>gnit</t>
  </si>
  <si>
    <t>uni</t>
  </si>
  <si>
    <t>equ</t>
  </si>
  <si>
    <t>leg</t>
  </si>
  <si>
    <t>dependent</t>
  </si>
  <si>
    <t>actu</t>
  </si>
  <si>
    <t>will</t>
  </si>
  <si>
    <t>urb</t>
  </si>
  <si>
    <t>lease</t>
  </si>
  <si>
    <t>vide</t>
  </si>
  <si>
    <t>ju</t>
  </si>
  <si>
    <t>su</t>
  </si>
  <si>
    <t>story</t>
  </si>
  <si>
    <t>pheno</t>
  </si>
  <si>
    <t>circum</t>
  </si>
  <si>
    <t>campa</t>
  </si>
  <si>
    <t>foss</t>
  </si>
  <si>
    <t>docu</t>
  </si>
  <si>
    <t>voca</t>
  </si>
  <si>
    <t>bul</t>
  </si>
  <si>
    <t>sci</t>
  </si>
  <si>
    <t>cap</t>
  </si>
  <si>
    <t>funda</t>
  </si>
  <si>
    <t>rur</t>
  </si>
  <si>
    <t>nu</t>
  </si>
  <si>
    <t>visu</t>
  </si>
  <si>
    <t>venient</t>
  </si>
  <si>
    <t>ducate</t>
  </si>
  <si>
    <t>pur</t>
  </si>
  <si>
    <t>mend</t>
  </si>
  <si>
    <t>vertise</t>
  </si>
  <si>
    <t>pair</t>
  </si>
  <si>
    <t>lig</t>
  </si>
  <si>
    <t>sence</t>
  </si>
  <si>
    <t>cas</t>
  </si>
  <si>
    <t>multi</t>
  </si>
  <si>
    <t>known</t>
  </si>
  <si>
    <t>pret</t>
  </si>
  <si>
    <t>critic</t>
  </si>
  <si>
    <t>dif</t>
  </si>
  <si>
    <t>emphas</t>
  </si>
  <si>
    <t>ploy</t>
  </si>
  <si>
    <t>facture</t>
  </si>
  <si>
    <t>migrat</t>
  </si>
  <si>
    <t>rout</t>
  </si>
  <si>
    <t>stat</t>
  </si>
  <si>
    <t>gredi</t>
  </si>
  <si>
    <t>vit</t>
  </si>
  <si>
    <t>min</t>
  </si>
  <si>
    <t>bandon</t>
  </si>
  <si>
    <t>trace</t>
  </si>
  <si>
    <t>fright</t>
  </si>
  <si>
    <t>cal</t>
  </si>
  <si>
    <t>liminate</t>
  </si>
  <si>
    <t>sequ</t>
    <phoneticPr fontId="1"/>
  </si>
  <si>
    <t>cid</t>
    <phoneticPr fontId="1"/>
  </si>
  <si>
    <t>mum</t>
  </si>
  <si>
    <t>cep</t>
  </si>
  <si>
    <t>habitat</t>
  </si>
  <si>
    <t>district</t>
  </si>
  <si>
    <t>serva</t>
  </si>
  <si>
    <t>operat</t>
    <phoneticPr fontId="1"/>
  </si>
  <si>
    <t>puta</t>
  </si>
  <si>
    <t>tinct</t>
    <phoneticPr fontId="1"/>
  </si>
  <si>
    <t>domin</t>
    <phoneticPr fontId="1"/>
  </si>
  <si>
    <t>ate</t>
    <phoneticPr fontId="1"/>
  </si>
  <si>
    <t>barrass</t>
  </si>
  <si>
    <t>lite</t>
  </si>
  <si>
    <t>jus</t>
  </si>
  <si>
    <t>ti</t>
  </si>
  <si>
    <t>rela</t>
  </si>
  <si>
    <t>crete</t>
  </si>
  <si>
    <t>stand</t>
  </si>
  <si>
    <t>brace</t>
  </si>
  <si>
    <t>modi</t>
  </si>
  <si>
    <t>quali</t>
  </si>
  <si>
    <t>faith</t>
  </si>
  <si>
    <t>lus</t>
  </si>
  <si>
    <t>pleas</t>
  </si>
  <si>
    <t>Arct</t>
  </si>
  <si>
    <t>privi</t>
  </si>
  <si>
    <t>lege</t>
  </si>
  <si>
    <t>mens</t>
  </si>
  <si>
    <t>radic</t>
  </si>
  <si>
    <t>vulner</t>
  </si>
  <si>
    <t>hybrid</t>
    <phoneticPr fontId="1"/>
  </si>
  <si>
    <t>pens</t>
    <phoneticPr fontId="1"/>
  </si>
  <si>
    <t>wor</t>
  </si>
  <si>
    <t>standing</t>
  </si>
  <si>
    <t>finite</t>
  </si>
  <si>
    <t>while</t>
  </si>
  <si>
    <t>dispens</t>
  </si>
  <si>
    <t>puls</t>
  </si>
  <si>
    <t>prob</t>
  </si>
  <si>
    <t>ambi</t>
  </si>
  <si>
    <t>g</t>
  </si>
  <si>
    <t>uous</t>
  </si>
  <si>
    <t>scure</t>
  </si>
  <si>
    <t>skept</t>
  </si>
  <si>
    <t>ile</t>
  </si>
  <si>
    <t>gradu</t>
  </si>
  <si>
    <t>voc</t>
  </si>
  <si>
    <t>viv</t>
  </si>
  <si>
    <t>carce</t>
  </si>
  <si>
    <t>her</t>
  </si>
  <si>
    <t>nota</t>
  </si>
  <si>
    <t>related19</t>
  </si>
  <si>
    <t>related20</t>
  </si>
  <si>
    <t>related21</t>
  </si>
  <si>
    <t>related22</t>
  </si>
  <si>
    <t>related23</t>
  </si>
  <si>
    <t>related24</t>
  </si>
  <si>
    <t>related25</t>
  </si>
  <si>
    <t>related26</t>
  </si>
  <si>
    <t>related27</t>
  </si>
  <si>
    <t>related28</t>
  </si>
  <si>
    <t>related29</t>
  </si>
  <si>
    <t>related30</t>
  </si>
  <si>
    <t>related18</t>
    <phoneticPr fontId="1"/>
  </si>
  <si>
    <t>rect（まっすぐ導く）系はまとめて覚える。correctは「まっすぐ導かれていて正しい」というイメージ。</t>
  </si>
  <si>
    <t>日本語でも使われるトロピカル（熱帯の）と関連させて覚える。</t>
  </si>
  <si>
    <t>&lt;span class="w"&gt;&lt;b&gt;【773.channel：チャンネル, 伝達経路, 海峡】&lt;/b&gt;&lt;/span&gt;
&lt;span class="ml"&gt;ラテン語canna（葦）から派生したcanalis（水路, 溝, 水道管）に由来する。
&lt;span class="spacer"&gt;&lt;/span&gt;この語の核は「何かの通り道」で、もともとは葦から生まれた。葦はストローのように中心部が空洞で通り道になっている。そこから比喩的に、溝やパイプ、水路といった何かを通すものへと発展した。そして情報や物が伝わる「伝達経路」や、陸地と陸地の間を海が通る「海峡」、ラジオやテレビの信号が通る「チャンネル」という意味になった。&lt;div class="sample_image channel"&gt;&lt;/div&gt;&lt;/span&gt;</t>
  </si>
  <si>
    <t>&lt;span class="w"&gt;&lt;b&gt;【783.concrete：具体的な】&lt;/b&gt;&lt;/span&gt;
&lt;span class="ml"&gt;ラテン語に由来する語で、以下の2つの要素から成る。
&lt;span class="spacer"&gt;&lt;/span&gt;con（共に）
crescere（成長する）
&lt;span class="spacer"&gt;&lt;/span&gt;このまま日本語にすると「共に成長する」となる。これは、複数のものが一緒に成長して固まるというイメージ。そこから、抽象的ではなく実体がある＝「具体的な」という意味になった。名詞のコンクリートもぎゅっと固まるイメージを表している。
&lt;div class="sample_image concrete"&gt;&lt;/div&gt;&lt;/span&gt;</t>
  </si>
  <si>
    <t>&lt;span class="w"&gt;&lt;b&gt;【788.subtle：微妙な, かすかな】&lt;/b&gt;&lt;/span&gt;
&lt;span class="ml"&gt;ラテン語に由来する語で、以下の2つの要素から成る。
&lt;span class="spacer"&gt;&lt;/span&gt;sub（〜の下へ）
tele（縦糸）
&lt;span class="spacer"&gt;&lt;/span&gt;縦糸の下に細かく横糸を通し、布がきめ細かく織られることから繊細さを表すようになった。そしてそこから発展し、捉えがたい繊細さを表す「微妙な, かすかな」という意味になった。
&lt;div class="sample_image subtle"&gt;&lt;/div&gt;&lt;/span&gt;</t>
  </si>
  <si>
    <t>&lt;span class="w"&gt;&lt;b&gt;【801.assess：〜を評価する, 〜を査定する】&lt;/b&gt;&lt;/span&gt;
&lt;span class="ml"&gt;ラテン語に由来する語で、以下の2つの要素から成る。
&lt;span class="spacer"&gt;&lt;/span&gt;ad（〜へ）
sedere（座る）
&lt;span class="spacer"&gt;&lt;/span&gt;このまま日本語にすると「何かのそばへ座る」となる。これは、古代ローマにおいて、特に裁判官のそばに補佐役が座ることを表していた。補佐役の職務のひとつは税額や罰金を定めることだったため、そこから金額を「査定する」という意味になった。また金銭的な査定から意味が広がって何かを「評価する」という意味になった。
&lt;div class="sample_image assess"&gt;&lt;/div&gt;&lt;/span&gt;</t>
  </si>
  <si>
    <t>prove（証明する）と関連させて覚える。</t>
  </si>
  <si>
    <t>&lt;span class="w"&gt;&lt;b&gt;【802.approve：賛成する, 〜を承認する】&lt;/b&gt;&lt;/span&gt;
&lt;span class="ml"&gt;ラテン語に由来する語で、以下の2つの要素から成る。
&lt;span class="spacer"&gt;&lt;/span&gt;ad（〜へ）
probus（良い, 正直な）から派生したprobare（良いかどうかを試す, 良いとわかる）
&lt;span class="spacer"&gt;&lt;/span&gt;このまま日本語にすると「何かに対して良いかどうかを試し、良いとわかる」となる。そこから、思考や判断などのプロセスを経て「賛成する, 承認する」という意味になる。
&lt;span class="spacer"&gt;&lt;/span&gt;ad（〜へ）が付かなければproveになる。proveは「証明する, わかる」、approveは何かに対して良いとわかった結果「賛成する, 承認する」というイメージで覚える。
&lt;div class="sample_image approve"&gt;&lt;/div&gt;&lt;/span&gt;</t>
  </si>
  <si>
    <t>probus（良い, 正直な）
&lt;span class="spacer"&gt;&lt;/span&gt;動詞になって
probare（良いかどうかを確認するために試す, 良いとわかる）
&lt;span class="spacer"&gt;&lt;/span&gt;ad（〜へ）＋probare
approbare（〜へよいものとして認める, 承認する, 賛成する）</t>
  </si>
  <si>
    <t>&lt;span class="w"&gt;&lt;b&gt;【803.remark：～と述べる】&lt;/b&gt;&lt;/span&gt;
&lt;span class="ml"&gt;フランス語に由来する語で、以下の2つの要素から成る。
&lt;span class="spacer"&gt;&lt;/span&gt;re（強意）
marquer（印をつける）
&lt;span class="spacer"&gt;&lt;/span&gt;このまま日本語にすると「はっきり印をつける」となる。もともとは、あるものに印をつけて他のものから区別することを表した。そこから心理的な意味へとシフトし、（他ではなく）あるものを心に留めたり、注意したりすることになった。さらに発展して、気になるところを言語化する行為、つまり「述べる」という意味になった。
&lt;div class="sample_image remark"&gt;&lt;/div&gt;&lt;/span&gt;</t>
  </si>
  <si>
    <t>&lt;span class="w"&gt;&lt;b&gt;【804.pose：（危険）を引き起こす, （問題など）を提起する, ポーズをとる, 装う】&lt;/b&gt;&lt;/span&gt;
&lt;span class="ml"&gt;ラテン語に由来する語で、以下の2つの要素から成る。
&lt;span class="spacer"&gt;&lt;/span&gt;pausere（止まる, 休む, 休ませる）
ponere（置く）
&lt;span class="spacer"&gt;&lt;/span&gt;この語の核は「何かを置く」。問題や危険を置くことから「問題を提起する, 危険を引き起こす」という意味になる。またある態度や性格に身を置くことから、態度や性格を「装う」、またモデルなどが「ポーズをとる」という意味になる。
&lt;span class="spacer"&gt;&lt;/span&gt;poseの目的語にくるものを「置く」ことから文に合った訳を考えればよい。
&lt;div class="sample_image pose"&gt;&lt;/div&gt;&lt;/span&gt;</t>
  </si>
  <si>
    <t>poser（置く, 提示する）
&lt;span class="spacer"&gt;&lt;/span&gt;poserは後期ラテン語pausareから生まれたが、意味は語源的に無関係な古典ラテン語ponereのものを引き継いだ。
&lt;span class="spacer"&gt;&lt;/span&gt;無関係なponereの意味になったのは、以下の2つの理由
&lt;span class="spacer"&gt;&lt;/span&gt;①poserとponereの音・スペルが似ていた
&lt;span class="spacer"&gt;&lt;/span&gt;②後期ラテン語pausareの休ませるという意味が、古典ラテン語ponereの置くという意味と似ていた（何かを休ませる→何かを置く）</t>
  </si>
  <si>
    <t>&lt;span class="w"&gt;&lt;b&gt;【805.yield：～を生み出す, （to）屈する, （to）～を譲る】&lt;/b&gt;&lt;/span&gt;
&lt;span class="ml"&gt;古英語gieldan / geldan（支払う, 報いる, 与える）にさかのぼる。
&lt;span class="spacer"&gt;&lt;/span&gt;この語の核は「何かを与える」。外部に何かを出して与えることから「何かを生み出す, 産出する」という意味になった。また自分自身や自分の何かを相手に与える場合は「屈する, 譲る」という意味になる。&lt;/span&gt;</t>
  </si>
  <si>
    <t>gieldan / geldan
支払う, 報いる, 与える</t>
  </si>
  <si>
    <t>日本語でも使われるエキシビション（展覧会）と関連させて覚える。</t>
  </si>
  <si>
    <t>&lt;span class="w"&gt;&lt;b&gt;【806.exhibit：〜を示す, 〜を見せる, 〜を展示する】&lt;/b&gt;&lt;/span&gt;
&lt;span class="ml"&gt;ラテン語に由来する語で、以下の2つの要素から成る。
&lt;span class="spacer"&gt;&lt;/span&gt;ex（外に）
habere（持つ）
&lt;span class="spacer"&gt;&lt;/span&gt;このまま日本語にすると「何かを持って外へ」となる。何かを持ち出して見えるようにすることから、何かを「示す, 見せる, 展示する」という意味になる。&lt;/span&gt;</t>
  </si>
  <si>
    <t>&lt;span class="w"&gt;&lt;b&gt;【807.distribute：〜を分配する】&lt;/b&gt;&lt;/span&gt;
&lt;span class="ml"&gt;ラテン語に由来する語で、以下の2つの要素から成る。
&lt;span class="spacer"&gt;&lt;/span&gt;dis（分けて）
tribus（部族）から派生したtribuere（割り当てる）
&lt;span class="spacer"&gt;&lt;/span&gt;このまま日本語にすると「分けて与える」つまり「分配する」という意味になる。
&lt;span class="spacer"&gt;&lt;/span&gt;tribute部分は、tribe（部族）に割り当てることが核。①は部族Aに、②は部族Bに…という形で与えるイメージ。
&lt;div class="sample_image distribute"&gt;&lt;/div&gt;&lt;/span&gt;</t>
  </si>
  <si>
    <t>ゲームのコマンド（ボタンを押して入力する命令）と関連させて覚える。コントローラーの右ボタンを押すと右に移動するのは、「右へ移動させろ」という命令が実行されるから。</t>
  </si>
  <si>
    <t>&lt;span class="w"&gt;&lt;b&gt;【808.command：〜を命じる, 〜を指揮する, （景色）を見渡せる】&lt;/b&gt;&lt;/span&gt;
&lt;span class="ml"&gt;ラテン語に由来する語で、以下の3つの要素から成る。
&lt;span class="spacer"&gt;&lt;/span&gt;com（強意）
manus（手）
dare（与える）
&lt;span class="spacer"&gt;&lt;/span&gt;このまま日本語にすると「しっかり手で与える」となる。もともとは何かを手渡すことや委ねることを表したが、そこから意味が強まって、権力をもって「命じる」という意味になった。また、命令によって他の人や物を動かすことから「指揮する」、軍事において指揮者が戦場全体を見渡すことから、一般的に「景色を見渡す」という意味にもなった。
&lt;div class="sample_image command"&gt;&lt;/div&gt;&lt;/span&gt;</t>
  </si>
  <si>
    <t>&lt;span class="w"&gt;&lt;b&gt;【809.occupy：〜を占める, 〜を占領する】&lt;/b&gt;&lt;/span&gt;
&lt;span class="ml"&gt;ラテン語に由来する語で、以下の2つの要素から成る。
&lt;span class="spacer"&gt;&lt;/span&gt;ob（〜に対して）
capere（つかむ）
&lt;span class="spacer"&gt;&lt;/span&gt;このまま日本語にすると「何かに対してつかむ」となる。ある部分をつかみとって離さないイメージから「占める, 占領する」という意味になる。
&lt;div class="sample_image occupy"&gt;&lt;/div&gt;&lt;/span&gt;</t>
  </si>
  <si>
    <t>&lt;span class="w"&gt;&lt;b&gt;【810.pop：ひょいと動く, 不意に現れる, ポンと弾ける】&lt;/b&gt;&lt;/span&gt;
&lt;span class="ml"&gt;語源不明だが、おそらく擬音語（音を真似た語）と考えられる。
&lt;span class="spacer"&gt;&lt;/span&gt;ポップ（ポッ）という音のように、短く弾むような動きを表す。&lt;/span&gt;</t>
  </si>
  <si>
    <t>&lt;span class="w"&gt;&lt;b&gt;【811.pile：〜を積み重ねる】&lt;/b&gt;&lt;/span&gt;
&lt;span class="ml"&gt;ラテン語pila（柱）に由来する。
&lt;span class="spacer"&gt;&lt;/span&gt;石を積んでいって作る柱から、何かを「積み重ねる」という意味になった。
&lt;div class="sample_image pile"&gt;&lt;/div&gt;&lt;/span&gt;</t>
  </si>
  <si>
    <t>&lt;span class="w"&gt;&lt;b&gt;【812.greet：〜に挨拶をする】&lt;/b&gt;&lt;/span&gt;
&lt;span class="ml"&gt;古英語graten（接触する）にさかのぼる。
&lt;span class="spacer"&gt;&lt;/span&gt;古英語ではさまざまな意味の接触を表した、接触の際に声をかける＝「挨拶する」という意味に限定されていった。&lt;/span&gt;</t>
  </si>
  <si>
    <t>apologizeのlog部分は、ギリシャ語のロゴス（言葉）に由来する。</t>
  </si>
  <si>
    <t>&lt;span class="w"&gt;&lt;b&gt;【813.apologize：謝る（to人, for対象）, 弁明する】&lt;/b&gt;&lt;/span&gt;
&lt;span class="ml"&gt;近代英語にさかのぼり、以下の2つの要素になる。
&lt;span class="spacer"&gt;&lt;/span&gt;apology（謝罪, 弁明）
ize（動詞化）
&lt;span class="spacer"&gt;&lt;/span&gt;apologyはギリシャ語に由来する語で、以下の2つの要素から成る。
&lt;span class="spacer"&gt;&lt;/span&gt;apo（〜に対して）
logos（言葉）
&lt;span class="spacer"&gt;&lt;/span&gt;これは、自分への非難や告発に対して尽くす言葉、つまり自己の「弁明」を表した。そこから意味が変化し、自分の非を認めて後悔を示す「謝罪」という意味になった。&lt;/span&gt;</t>
  </si>
  <si>
    <t>&lt;span class="w"&gt;&lt;b&gt;【814.frustrate：〜をいら立たせる, 〜を欲求不満にさせる】&lt;/b&gt;&lt;/span&gt;
&lt;span class="ml"&gt;ラテン語frustra（無駄に, 誤って）に由来する。
&lt;span class="spacer"&gt;&lt;/span&gt;計画や目的を無駄にしたり、 何かの効果を失わせたりすることから、思い通りにさせず「いら立たせる, 欲求不満にする」という意味になる。&lt;/span&gt;</t>
  </si>
  <si>
    <t>relieveのlieve部分は、elevator（エレベーター）のleva部分と同じで「上にあげる」イメージ。</t>
  </si>
  <si>
    <t>&lt;span class="w"&gt;&lt;b&gt;【815.relieve：〜を和らげる, 〜を解放する, （受け身で）安心する】&lt;/b&gt;&lt;/span&gt;
&lt;span class="ml"&gt;ラテン語に由来する語で、以下の2つの要素から成る。
&lt;span class="spacer"&gt;&lt;/span&gt;re（強意）
levare（軽くする, 持ち上げる）
&lt;span class="spacer"&gt;&lt;/span&gt;このまま日本語にすると「しっかり持ち上げて軽くする」となる。これは、誰かの負担を持ち上げて軽減するイメージから「和らげる, 解放する」という意味になる。また心理的負担を減らされることから「（受け身be relievedで）安心する」という意味になる。
&lt;div class="sample_image relieve"&gt;&lt;/div&gt;&lt;/span&gt;</t>
  </si>
  <si>
    <t>&lt;span class="w"&gt;&lt;b&gt;【816.derive：由来する, 〜を引き出す】&lt;/b&gt;&lt;/span&gt;
&lt;span class="ml"&gt;ラテン語に由来する語で、以下の2つの要素から成る。
&lt;span class="spacer"&gt;&lt;/span&gt;de（〜から）
rivus（小川, 流れ）
&lt;span class="spacer"&gt;&lt;/span&gt;このまま日本語にすると「小川から」となる。これは水源から水を引くイメージで、元になるものから「引き出す」や、元になるものに「由来する」という意味になる。&lt;/span&gt;</t>
  </si>
  <si>
    <t>serve（仕える）やservice（サービス, 奉仕）と関連させて覚える。</t>
  </si>
  <si>
    <t>&lt;span class="w"&gt;&lt;b&gt;【817.deserve：〜に値する】&lt;/b&gt;&lt;/span&gt;
&lt;span class="ml"&gt;ラテン語に由来する語で、以下の2つの要素から成る。
&lt;span class="spacer"&gt;&lt;/span&gt;de（強意）
servire（仕える）
&lt;span class="spacer"&gt;&lt;/span&gt;このまま日本語にすると「徹底的に仕える」となる。もともとは主人に対してしっかりと仕えることで、褒美や報酬を得るに値する働きを表した。そこから奉仕や褒美とは関係なく、何かに「値する」という意味になった。
&lt;div class="sample_image deserve"&gt;&lt;/div&gt;&lt;/span&gt;</t>
  </si>
  <si>
    <t>de（強意）＋servire（仕える：serveの語源）
desevire（よく仕える, 熱心に奉仕する）</t>
  </si>
  <si>
    <t>&lt;span class="w"&gt;&lt;b&gt;【818.peer：目を凝らしてじっと見る】&lt;/b&gt;&lt;/span&gt;
&lt;span class="ml"&gt;起源不明だが、appearの語源である中英語aperenのapが省略されたparenに影響された可能性がある。視界に見え隠れするものを目を凝らして「じっと見る」というイメージで覚える。&lt;/span&gt;</t>
  </si>
  <si>
    <t>&lt;span class="w"&gt;&lt;b&gt;【819.defeat：〜を負かす, 〜を失敗させる】&lt;/b&gt;&lt;/span&gt;
&lt;span class="ml"&gt;ラテン語に由来する語で、以下の2つの要素から成る。
&lt;span class="spacer"&gt;&lt;/span&gt;dis（否定）
facere（作る, 行う）
&lt;span class="spacer"&gt;&lt;/span&gt;この語の核は「作られたものや行われたことを否定する」。相手が目標に向かって築き上げたものを無かったことにすることから「失敗させる」という意味になる。また競争においては、相手を「負かす」という意味になる。
&lt;div class="sample_image defeat"&gt;&lt;/div&gt;&lt;/span&gt;</t>
  </si>
  <si>
    <t>&lt;span class="w"&gt;&lt;b&gt;【820.convert：～を変える, 改宗させる】&lt;/b&gt;&lt;/span&gt;
&lt;span class="ml"&gt;ラテン語に由来する語で、以下の2つの要素から成る。
&lt;span class="spacer"&gt;&lt;/span&gt;com（共に）
vertere（向ける）
&lt;span class="spacer"&gt;&lt;/span&gt;このまま日本語にすると「共に向ける」となる。これは、みんなを同じ方に向けるイメージ。そこから宗教において、同じ対象を信仰するように「改宗させる」という意味になる。また宗教に限らず、形式や用途などを人為的に「変える」という意味になる。
&lt;div class="sample_image convert"&gt;&lt;/div&gt;&lt;/span&gt;</t>
  </si>
  <si>
    <t>&lt;span class="w"&gt;&lt;b&gt;【821.wed：〜と結婚する, 〜を結婚させる】&lt;/b&gt;&lt;/span&gt;
&lt;span class="ml"&gt;古英語weddian（誓う, 結婚する）にさかのぼる。
&lt;span class="spacer"&gt;&lt;/span&gt;もとは誓いの印として手付金を渡して男性が妻を迎えること。その後、男女どちらにも使われるようになった。&lt;/span&gt;</t>
  </si>
  <si>
    <t>delightは、deliciousと同じ語源にさかのぼる。deliciousは味覚で大いに喜ばせるイメージ。</t>
  </si>
  <si>
    <t>&lt;span class="w"&gt;&lt;b&gt;【822.delight：〜を大喜びさせる】&lt;/b&gt;&lt;/span&gt;
&lt;span class="ml"&gt;ラテン語に由来する語で、以下の2つの要素から成る。
&lt;span class="spacer"&gt;&lt;/span&gt;de（〜から）
lacere（誘う, おびき寄せる）
&lt;span class="spacer"&gt;&lt;/span&gt;このまま日本語にすると「〜から誘う
」となる。何かの魅力で相手の心を引きつけ、相手を「大喜びさせる」という意味になる。&lt;/span&gt;</t>
  </si>
  <si>
    <t>&lt;span class="w"&gt;&lt;b&gt;【823.boost：〜を押し上げる, 〜を増加させる】&lt;/b&gt;&lt;/span&gt;
&lt;span class="ml"&gt;語源不明。後ろから押して持ち上げるイメージで「押し上げる, 増加させる」という意味になる。&lt;/span&gt;</t>
  </si>
  <si>
    <t>&lt;span class="w"&gt;&lt;b&gt;【824.endure：〜に耐える, 持ちこたえる】&lt;/b&gt;&lt;/span&gt;
&lt;span class="ml"&gt;ラテン語に由来する語で、以下の2つの要素から成る。
&lt;span class="spacer"&gt;&lt;/span&gt;in（中に）
durus（堅い, 硬い）から派生したdurare（堅くする, 持続する）
&lt;span class="spacer"&gt;&lt;/span&gt;この語の核は「内部から硬くする」。心が折れないように精神を硬くするイメージから「耐える」という意味になる。また、硬いと丈夫で長持ちすることから「持ちこたえる」という意味になる。
&lt;div class="sample_image endure"&gt;&lt;/div&gt;
&lt;span class="spacer"&gt;&lt;/span&gt;during（〜の間）もラテン語durusに由来する。during（何かの期間, 何かをしている間）とは、その状態が変わらず長持ちしているしているイメージ。&lt;/span&gt;</t>
  </si>
  <si>
    <t>&lt;span class="w"&gt;&lt;b&gt;【825.correspond：一致する, （to）相当する, 文通する・やり取りする】&lt;/b&gt;&lt;/span&gt;
&lt;span class="ml"&gt;ラテン語に由来する語で、以下の3つの要素から成る。
&lt;span class="spacer"&gt;&lt;/span&gt;com（共に）
re（返して）
spondere（誓約する）
&lt;span class="spacer"&gt;&lt;/span&gt;このまま日本語にすると「相手に誓約を返す」となる。respond部分は「答える, 返答する」という意味のrespondと同じなので、correspondは「相互に応答し合う」というイメージ。
&lt;span class="spacer"&gt;&lt;/span&gt;物事が相互に応答し合ってピッタリ合うイメージから、お互いが「一致する, 相当する」という意味になる。また、人が相互に応答し合う場合は「文通する, やり取りする」という意味になる。
&lt;div class="sample_image correspond"&gt;&lt;/div&gt;&lt;/span&gt;</t>
  </si>
  <si>
    <t>&lt;span class="w"&gt;&lt;b&gt;【826.impose：〜を課す, 〜を押し付ける】&lt;/b&gt;&lt;/span&gt;
&lt;span class="ml"&gt;古フランス語に由来する語で、以下の2つの要素から成る。
&lt;span class="spacer"&gt;&lt;/span&gt;in（中に）
poser（置く）
&lt;span class="spacer"&gt;&lt;/span&gt;このまま日本語にすると「中に置く」となる。相手の領域の中に押し込んで置くイメージから、対象に何かを「押し付ける, 課す」という意味になる。
&lt;div class="sample_image impose"&gt;&lt;/div&gt;&lt;/span&gt;</t>
  </si>
  <si>
    <t>日本語でも使われるレスキュー隊（救助隊）と関連させて覚える。</t>
  </si>
  <si>
    <t>&lt;span class="w"&gt;&lt;b&gt;【827.rescue：〜を救う】&lt;/b&gt;&lt;/span&gt;
&lt;span class="ml"&gt;ラテン語に由来する語で、以下の2つの要素から成る。
&lt;span class="spacer"&gt;&lt;/span&gt;ex（外に）
quatere（振る）
&lt;span class="spacer"&gt;&lt;/span&gt;この語の核は「外側に振り払う」。悪や害、敵の拘束、敵の攻撃などを振り払い、安全な状態にすることから、何かを「救う」という意味になった。&lt;/span&gt;</t>
  </si>
  <si>
    <t>&lt;span class="w"&gt;&lt;b&gt;【828.resolve：〜を解決する, 〜を決意する, 〜を議決する】&lt;/b&gt;&lt;/span&gt;
&lt;span class="ml"&gt;ラテン語に由来する語で、以下の2つの要素から成る。
&lt;span class="spacer"&gt;&lt;/span&gt;re（強意）
solvere（緩める, ほどく）
&lt;span class="spacer"&gt;&lt;/span&gt;この語の核は「複雑に絡まったものを緩めて完全にほどく」。さまざまな考えや感情が渦巻く状態からスッキリした状態にして「決意する, 決議する」という意味になる。また、複雑になった物事を解きほぐすことから「解決する」という意味になる。&lt;/span&gt;</t>
  </si>
  <si>
    <t>日本語でも使われる店のレジ（購入商品を登録するもの）と関連させて覚える。</t>
  </si>
  <si>
    <t>&lt;span class="w"&gt;&lt;b&gt;【829.register：〜を記録する, 〜を登録する】&lt;/b&gt;&lt;/span&gt;
&lt;span class="ml"&gt;ラテン語に由来する語で、以下の2つの要素から成る。
&lt;span class="spacer"&gt;&lt;/span&gt;re（後ろへ）
gerere（運ぶ）
&lt;span class="spacer"&gt;&lt;/span&gt;このまま日本語にすると「後ろへ運ぶ（持ち帰る）」となる。もともとは、情報を持ち帰って帳簿や記録簿に書き込むことを表した。そこから、何かを「記録する, 登録する」という意味になった。&lt;/span&gt;</t>
  </si>
  <si>
    <t>ruptは「壊す」というイメージ。</t>
  </si>
  <si>
    <t>&lt;span class="w"&gt;&lt;b&gt;【830.interrupt：〜を中断させる, 邪魔をする】&lt;/b&gt;&lt;/span&gt;
&lt;span class="ml"&gt;ラテン語に由来する語で、以下の2つの要素から成る。
&lt;span class="spacer"&gt;&lt;/span&gt;inter（〜の間に）
rumpere（壊す）
&lt;span class="spacer"&gt;&lt;/span&gt;このまま日本語にすると「何かの間に入って壊す」となる。会話や行為の最中に入り込み、その状況を壊すことから、何かを「中断させる, 邪魔をする」という意味になる。
&lt;div class="sample_image interrupt"&gt;&lt;/div&gt;&lt;/span&gt;</t>
  </si>
  <si>
    <t>&lt;span class="w"&gt;&lt;b&gt;【831.rid：取り除く（get rid of）】&lt;/b&gt;&lt;/span&gt;
&lt;span class="ml"&gt;中英語ridden（解放する）にさかのぼる。
&lt;span class="spacer"&gt;&lt;/span&gt;この語の核は「何かから解放する」。
get rid of Aで、Aから解放された状態をゲットする＝「Aを取り除く」という意味になる。
&lt;span class="spacer"&gt;&lt;/span&gt;頻度は少ないので覚える必要はないが
be rid of Aだと、Aから解放された状態にいる＝「Aから解放されている, Aがない」という意味になる。&lt;/span&gt;</t>
  </si>
  <si>
    <t>prohibitのhibit部分は「持つ」イメージ。
exhibit（展示する）やhabit（習慣）と同じ。</t>
  </si>
  <si>
    <t>&lt;span class="w"&gt;&lt;b&gt;【832.prohibit：〜を禁止する】&lt;/b&gt;&lt;/span&gt;
&lt;span class="ml"&gt;ラテン語に由来する語で、以下の2つの要素から成る。
&lt;span class="spacer"&gt;&lt;/span&gt;pro（前方に）
habere（持つ）
&lt;span class="spacer"&gt;&lt;/span&gt;この語の核は「前方に出て対象を持つ」。前方で対象をつかんで近づけないように引きとめることから、何かを遠ざけて防ぐイメージになる。そこから何かを「禁止する」という意味になる。
&lt;div class="sample_image prohibit"&gt;&lt;/div&gt;&lt;/span&gt;</t>
  </si>
  <si>
    <t>be composed of A（Aから構成される）で覚える。</t>
  </si>
  <si>
    <t>&lt;span class="w"&gt;&lt;b&gt;【833.compose：～を構成する, ～を創作する】&lt;/b&gt;&lt;/span&gt;
&lt;span class="ml"&gt;ラテン語に由来する語で、以下の2つの要素から成る。
&lt;span class="spacer"&gt;&lt;/span&gt;com（共に）
ponere（置く）
&lt;span class="spacer"&gt;&lt;/span&gt;このまま日本語にすると「共に置く」となる。2つ以上のものを一緒に置いて全体を形作ることから、構成要素となって全体を作り上げる＝「構成する, 創作する」という意味になる。
&lt;div class="sample_image compose"&gt;&lt;/div&gt;&lt;/span&gt;</t>
  </si>
  <si>
    <t>&lt;span class="w"&gt;&lt;b&gt;【834.misunderstand：誤解する】&lt;/b&gt;&lt;/span&gt;
&lt;span class="ml"&gt;中英語にさかのぼり、以下の2つの要素から成る。
&lt;span class="spacer"&gt;&lt;/span&gt;mis（誤って）
understonde（理解する）
&lt;span class="spacer"&gt;&lt;/span&gt;誤って理解するから「誤解する」という意味になる。&lt;/span&gt;</t>
  </si>
  <si>
    <t>&lt;span class="w"&gt;&lt;b&gt;【836.ruin：～をだめにする, ～を破滅させる】&lt;/b&gt;&lt;/span&gt;
&lt;span class="ml"&gt;ラテン語ruere（崩れ落ちる）に由来する。
&lt;span class="spacer"&gt;&lt;/span&gt;この語の核は「修復できないほど壊す」。もともとは、石造りの建物などがガラガラと音を立てて崩れ落ちるという物理的な現象を表した。
&lt;span class="spacer"&gt;&lt;/span&gt;そこからさらに物理的な破壊に加え、比喩的に、予定や計画、名声、健康状態などを「だめにする, 破滅させる」という意味にもなった。
&lt;div class="sample_image ruin"&gt;&lt;/div&gt;&lt;/span&gt;</t>
  </si>
  <si>
    <t>名詞のディフェンス（防御）と関連させて覚える。</t>
  </si>
  <si>
    <t>&lt;span class="w"&gt;&lt;b&gt;【837.defend：～を防御する, ～を弁護する】&lt;/b&gt;&lt;/span&gt;
&lt;span class="ml"&gt;ラテン語に由来する語で、以下の2つの要素から成る。
&lt;span class="spacer"&gt;&lt;/span&gt;de（離れて）
fendere（打つ, 当てる）
&lt;span class="spacer"&gt;&lt;/span&gt;もともとは向かってくる相手を打って追い払うことを表した。そこから物理的に誰かの身や国などを「防御する」という意味になった。さらに抽象化して、言葉による非難や批判を打ち払って「弁護する」という意味になった。&lt;/span&gt;</t>
  </si>
  <si>
    <t>ブレスレット（腕輪）のブレスと関連させて覚える。</t>
  </si>
  <si>
    <t>&lt;span class="w"&gt;&lt;b&gt;【838.embrace：～を受け入れる, 抱擁する】&lt;/b&gt;&lt;/span&gt;
&lt;span class="ml"&gt;古フランス語に由来する語で、以下の2つの要素から成る。
&lt;span class="spacer"&gt;&lt;/span&gt;em（中に）
brace（腕）
&lt;span class="spacer"&gt;&lt;/span&gt;このまま日本語にすると「腕の中に」となる。対象を腕の中に入れることから、何かを「抱きしめる, 抱擁する」という意味になった。また両手を広げて好意的に迎え入れるイメージから、何かを「受け入れる」という意味にもなった。&lt;/span&gt;</t>
  </si>
  <si>
    <t>&lt;span class="w"&gt;&lt;b&gt;【839.modify：～を修正する, ～を調整する】&lt;/b&gt;&lt;/span&gt;
&lt;span class="ml"&gt;ラテン語に由来する語で、以下の2つの要素から成る。
&lt;span class="spacer"&gt;&lt;/span&gt;modus（尺度）
facere（行う, 作る）
&lt;span class="spacer"&gt;&lt;/span&gt;この語の核は「一定の尺度に収まるようにする」。ラテン語modusは、英語model（モデル）の語源でもあるので「一定のモデル（基準）に収まるようにする」と考えてもよい。
&lt;span class="spacer"&gt;&lt;/span&gt;基準の中に収めるので、はみ出した部分があれば基準に合うように「調整する」という意味になる。また基準が変われば、それに収めるためにで部分的に「修正する」という意味にもなる。
&lt;div class="sample_image modify"&gt;&lt;/div&gt;&lt;/span&gt;</t>
    <rPh sb="298" eb="299">
      <t>ナカ</t>
    </rPh>
    <rPh sb="300" eb="301">
      <t>オサ</t>
    </rPh>
    <rPh sb="308" eb="309">
      <t>ダ</t>
    </rPh>
    <rPh sb="311" eb="313">
      <t>ブブン</t>
    </rPh>
    <rPh sb="342" eb="344">
      <t>キジュン</t>
    </rPh>
    <rPh sb="345" eb="346">
      <t>カ</t>
    </rPh>
    <rPh sb="353" eb="354">
      <t>オサ</t>
    </rPh>
    <phoneticPr fontId="1"/>
  </si>
  <si>
    <t>&lt;span class="w"&gt;&lt;b&gt;【840.qualify：～に資格を与える, 資格がある, 発言などに条件をつける】&lt;/b&gt;&lt;/span&gt;
&lt;span class="ml"&gt;ラテン語に由来する語で、以下の2つの要素から成る。
&lt;span class="spacer"&gt;&lt;/span&gt;qualis（どのような性質の）
facere（行う, 作る）
&lt;span class="spacer"&gt;&lt;/span&gt;この語の核は「対象に性質を与える」こと。ある役職に就くことや競技への参加、サービスを受けることなどは、特定の性質を持っていて条件を満たす必要がある。そうした必要な性質を与えることから、対象に「資格を与える」という意味になる。
&lt;span class="spacer"&gt;&lt;/span&gt;そして既にその性質を持っている場合は「資格がある」という意味になる。
&lt;span class="spacer"&gt;&lt;/span&gt;また発言や言葉に対して特定の性質を与える場合は、その言葉に「条件をつける」という意味になる。
&lt;div class="sample_image qualify"&gt;&lt;/div&gt;&lt;/span&gt;</t>
    <phoneticPr fontId="1"/>
  </si>
  <si>
    <t>qualificare（性質を与える）</t>
  </si>
  <si>
    <t>1530年代
制限する, 限定する
ある職務や地位に就くための必要条件を満たす
&lt;span class="spacer"&gt;&lt;/span&gt;1580年代
職や役職に適格となる, 適格である</t>
  </si>
  <si>
    <t>passionは理性の制御を振り切って人を動かす強い感情。</t>
  </si>
  <si>
    <t>&lt;span class="w"&gt;&lt;b&gt;【841.passion：情熱, 激怒】&lt;/b&gt;&lt;/span&gt;
&lt;span class="ml"&gt;ラテン語に由来する語で、以下の2つの要素から成る。
&lt;span class="spacer"&gt;&lt;/span&gt;pati（耐える, 受ける, 経験する）
io（名詞化）
&lt;span class="spacer"&gt;&lt;/span&gt;このまま日本語にすると「受けること, 耐えること」となる。この語の核は、自分の意思で行うのではなく、外部から何かを受けるということ。この核となる意味は、patient（患者, 忍耐強い）やpassive（受動的な）にも残っている。
&lt;span class="spacer"&gt;&lt;/span&gt;このラテン語は、理性によるコントロールが効かないほど人を突き動かす、非常に強い感情を表すギリシャ語pathosの翻訳語として使われるようになった。感情というのは、自らの意思で引き起こすものではなく、外部からの刺激によって生じる受動的なものだからである。そこから単なる感情ではなく、強い感情を表す「情熱, 激怒」という意味になった。&lt;/span&gt;</t>
  </si>
  <si>
    <t>thus</t>
  </si>
  <si>
    <t>iasm</t>
  </si>
  <si>
    <t>enthusiasmは「神が内に宿って、内側からエネルギーに溢れる状態」というイメージ。</t>
  </si>
  <si>
    <t>&lt;span class="w"&gt;&lt;b&gt;【842.enthusiasm：熱意, 熱狂】&lt;/b&gt;&lt;/span&gt;
&lt;span class="ml"&gt;ギリシャ語に由来する語で、以下の2つの要素から成る。
&lt;span class="spacer"&gt;&lt;/span&gt;en（中に）
theos（神）
&lt;span class="spacer"&gt;&lt;/span&gt;この語の核は「神が自分の中に憑依した状態」。もともとは宗教的な意味で、人が神的な力や霊感に満たされ、通常の状態を超えて没頭する状態を表した。そこから宗教的な意味は薄まり、我を忘れるほど何かに夢中になったり、強い内的なエネルギーに突き動かされて一生懸命何かをしたりする状態を表すようになり、「熱意, 熱狂」という意味になった。&lt;/span&gt;</t>
  </si>
  <si>
    <t>en（中に）＋theos（神）
entheos（神が中に入った, 神にとりつかれた）
&lt;span class="spacer"&gt;&lt;/span&gt;動詞になって
enthousiazein（神にとりつかれる, 我を忘れる）
&lt;span class="spacer"&gt;&lt;/span&gt;名詞を作る-mosが付いて
enthousiasmos（特定の音楽などによって生じる熱狂）</t>
  </si>
  <si>
    <t>日本語でも使われるフェーズ（段階）と同じ。</t>
  </si>
  <si>
    <t>&lt;span class="w"&gt;&lt;b&gt;【843.phase：段階, 局面】&lt;/b&gt;&lt;/span&gt;
&lt;span class="ml"&gt;ギリシャ語phainein（現れる）から派生したphasis（星の出現, 月の位相・満ち欠け）に由来する。
&lt;span class="spacer"&gt;&lt;/span&gt;もともとは、月が時間をかけて異なる姿になっていく月の満ち欠けを表した。そこから、進行によって変化・発展していく物事の「段階, 局面」という意味になった。&lt;/span&gt;</t>
  </si>
  <si>
    <t>phainein（現れる）
&lt;span class="spacer"&gt;&lt;/span&gt;名詞になって
phasis（星の出現, 月の位相・満ち欠け）</t>
  </si>
  <si>
    <t>日本語でも使われるマナーモードと関連させて覚える。</t>
  </si>
  <si>
    <t>&lt;span class="w"&gt;&lt;b&gt;【844.mode：方式, 形態, モード】&lt;/b&gt;&lt;/span&gt;
&lt;span class="ml"&gt;ラテン語modus（尺度, 方法）に由来する。
&lt;span class="spacer"&gt;&lt;/span&gt;尺度とは物事を測るための基準であり、その基準に従って行動すると、自然と一定のやり方（方法）が定まってくる。その「基準に沿ったやり方」が固定化されて「方式, 形態」といった意味になる。&lt;/span&gt;</t>
  </si>
  <si>
    <t>&lt;span class="w"&gt;&lt;b&gt;【845.span：期間, 範囲】&lt;/b&gt;&lt;/span&gt;
&lt;span class="ml"&gt;古英語span（広げた親指と、中指もしくは小指との間の距離）にさかのぼる。
&lt;span class="spacer"&gt;&lt;/span&gt;もともとは指を広げて測る距離を表していた。そこから2つの物体の間の距離となり、さらに空間的な「範囲」や時間的な「期間」という意味になった。&lt;/span&gt;</t>
  </si>
  <si>
    <t>gravi</t>
  </si>
  <si>
    <t>grave（重大な）とセットで覚える。</t>
  </si>
  <si>
    <t>&lt;span class="w"&gt;&lt;b&gt;【846.gravity：重力, 引力, 重大さ】&lt;/b&gt;&lt;/span&gt;
&lt;span class="ml"&gt;ラテン語に由来する語で、以下の2つの要素から成る。
&lt;span class="spacer"&gt;&lt;/span&gt;gravis（重い）
tas（名詞化）
&lt;span class="spacer"&gt;&lt;/span&gt;このまま日本語にすると「重さ」となる。そこから物事の「重大さ」や、科学における「重力, 引力」という意味になる。&lt;/span&gt;</t>
  </si>
  <si>
    <t>gravis（重い）
&lt;span class="spacer"&gt;&lt;/span&gt;名詞を作る-tasが付いて
gravitas（重さ, 重量）</t>
  </si>
  <si>
    <t>&lt;span class="w"&gt;&lt;b&gt;【847.orbit：軌道】&lt;/b&gt;&lt;/span&gt;
&lt;span class="ml"&gt;ラテン語orbita（車輪の跡, 踏み固められた道, 進路, 惑星の円形の進路）に由来する。
&lt;span class="spacer"&gt;&lt;/span&gt;もともとは車輪の跡を表したが、そこから何かが通った跡や何かが通る進路となった。そしてこれが天文学に持ち込まれ、惑星や彗星が通る道、つまり「軌道」という意味になった。
&lt;div class="sample_image orbit"&gt;&lt;/div&gt;&lt;/span&gt;</t>
  </si>
  <si>
    <t>asteroidのaster部分はstarと同じ。</t>
  </si>
  <si>
    <t>&lt;span class="w"&gt;&lt;b&gt;【848.asteroid：小惑星】&lt;/b&gt;&lt;/span&gt;
&lt;span class="ml"&gt;ギリシャ語に由来する語で、以下の2つの要素から成る。
&lt;span class="spacer"&gt;&lt;/span&gt;aster（星）
eidos（形をした, 〜のような）
&lt;span class="spacer"&gt;&lt;/span&gt;このまま日本語にすると「星のようなもの」となる。初期の望遠鏡では、「小惑星」は惑星のようには見えず、恒星のように見えたことから、asteroid（星のようなもの）という名前が付けられた。
&lt;div class="sample_image asteroid"&gt;&lt;/div&gt;
&lt;span class="spacer"&gt;&lt;/span&gt;惑星：水星・金星・地球・火星・木星・土星・天王星・海王星
球形で自ら光ってはいない。
&lt;span class="spacer"&gt;&lt;/span&gt;恒星：自ら光を放つ。&lt;/span&gt;</t>
  </si>
  <si>
    <t>&lt;span class="w"&gt;&lt;b&gt;【849.core：核心, 芯】&lt;/b&gt;&lt;/span&gt;
&lt;span class="ml"&gt;ラテン語cor（心, 心臓）に由来する。
&lt;span class="spacer"&gt;&lt;/span&gt;心や心臓のように中心にあるものということから「核心, 芯」という意味になった。&lt;/span&gt;</t>
  </si>
  <si>
    <t>&lt;span class="w"&gt;&lt;b&gt;【850.soul：精神, 魂】&lt;/b&gt;&lt;/span&gt;
&lt;span class="ml"&gt;古英語sawol（人の精神や感情, 命, 亡くなった人の霊魂）にさかのぼる。
&lt;span class="spacer"&gt;&lt;/span&gt;大昔のゲルマン神話において、人間の魂は海の彼方からやってきて、その人が亡くなると魂は海の彼方へ帰っていくと信じられていた。そのためsoulはseaと関係があるとする説がある。
&lt;span class="spacer"&gt;&lt;/span&gt;この信仰が表すように、soulはある人の内側に宿る、その人の核となる「精神, 魂」を意味する。&lt;/span&gt;</t>
  </si>
  <si>
    <t>nervous（神経質な, 緊張して）と関連させて覚える。</t>
  </si>
  <si>
    <t>&lt;span class="w"&gt;&lt;b&gt;【851.nerve：神経, 神経過敏, 〜する度胸（to do）】&lt;/b&gt;&lt;/span&gt;
&lt;span class="ml"&gt;ラテン語nervus（腱, 弓の弦）に由来する。
&lt;span class="spacer"&gt;&lt;/span&gt;もともとは、動物の強靭な腱や、それを乾燥させて作った弓・楽器の弦を表した。この語の核は「ピンと張り詰めた丈夫な糸」。
&lt;span class="spacer"&gt;&lt;/span&gt;古代の医学において、脳や脊髄から伸びる糸のような器官が発見され、これが弓や楽器の弦に似ていたことから「神経」という意味になった。また感情と神経の結びつきから、神経質な状態やイライラした状態＝「神経過敏」という意味に、神経の図太さから「度胸」という意味にもなった。&lt;/span&gt;</t>
  </si>
  <si>
    <t>&lt;span class="w"&gt;&lt;b&gt;【852.infection：感染（症）】&lt;/b&gt;&lt;/span&gt;
&lt;span class="ml"&gt;ラテン語に由来する語で、以下の3つの要素から成る。
&lt;span class="spacer"&gt;&lt;/span&gt;in（中に）
facere（行う, 作る）
io（名詞化）
&lt;span class="spacer"&gt;&lt;/span&gt;このまま日本語にすると「中に（入れて）行う」となる。もともとは、布を染料の中に入れて染めることを表したが、次第に美しく染めるだけではなく、悪いものが入り込んで汚染することも表すようになった。そこから医学において、悪いものが体の中に入って健康体を病気に染めていくこと、つまり「感染（症）」という意味になった。
&lt;div class="sample_image infection"&gt;&lt;/div&gt;&lt;/span&gt;</t>
  </si>
  <si>
    <t>&lt;span class="w"&gt;&lt;b&gt;【853.mall：モール, ショッピングセンター】&lt;/b&gt;&lt;/span&gt;
&lt;span class="ml"&gt;イタリア語pallamaglio（木槌で球を打つゴルフのような競技）に由来する。
&lt;span class="spacer"&gt;&lt;/span&gt;16〜17世紀頃、当時流行していたペルメルという競技のために、ロンドンに専用の細長いコースが作られた。競技が廃れると、その細長く平らなコースは並木のある散歩道として整備され、ペルメルという名前にちなんでThe Mallと呼ばれるようになる。そしてこの固有名詞は一般的な並木のある散歩道を表す際にも使われるようになり、一般名詞mall（並木のある散歩道）となった。
&lt;span class="spacer"&gt;&lt;/span&gt;20世紀になると、人々が安全に歩きながら買い物を楽しめる歩行者専用の巨大な商業施設が考案され、その構造が散歩道に似ていたことから「ショッピングモール」という意味になった。&lt;/span&gt;</t>
  </si>
  <si>
    <t>1670年代
The Mall（ロンドンのセント・ジェームズ・パークにある並木道が続く広い散歩道の名前）
&lt;span class="spacer"&gt;&lt;/span&gt;&lt;span class="obsolete"&gt;この固有名詞は、かつてpall-mall（ペルメル）をプレイするために使われていた道だったことに由来する&lt;/span&gt;
&lt;span class="spacer"&gt;&lt;/span&gt;1737年、固有名詞が一般名詞になって
散歩用の広い歩道, 並木のある遊歩道</t>
  </si>
  <si>
    <t>groce</t>
  </si>
  <si>
    <t>GDP（国内総生産）のGross（総, 全体の）と関連させて覚える。</t>
  </si>
  <si>
    <t>&lt;span class="w"&gt;&lt;b&gt;【854.grocery：食料雑貨店, （複数形で）食料雑貨】&lt;/b&gt;&lt;/span&gt;
&lt;span class="ml"&gt;ラテン語grossus（大きい, 大量の）から派生したgrossarius（大量の商品を扱う者, 卸売業者）に由来する。
&lt;span class="spacer"&gt;&lt;/span&gt;もともとは、大量にまとめて扱うということに由来し、そこから大量の商品を仕入れて販売する卸売商人を表した。14世紀頃のイギリスの商人たちは、外国から香辛料や保存食などを大量に仕入れて販売していたが、時代が下るにつれて、一般的な食料品や日用雑貨全般を扱うようになり、「食料雑貨店」という意味になった。また複数形groceriesは、その店で扱われる「食料雑貨」を指すようになった。&lt;/span&gt;</t>
  </si>
  <si>
    <t>grossus（大きい, 大量の）
&lt;span class="spacer"&gt;&lt;/span&gt;名詞を作る-ariusが付いて
grossarius（大量の商品を扱う者, 卸売業者）</t>
  </si>
  <si>
    <t>&lt;span class="w"&gt;&lt;b&gt;【855.humor：ユーモア, 気分, 機嫌】&lt;/b&gt;&lt;/span&gt;
&lt;span class="ml"&gt;ラテン語umor（体液）に由来する。
&lt;span class="spacer"&gt;&lt;/span&gt;&lt;b&gt;［古代の医学：四体液説］&lt;/b&gt;
古代の医学では、血液、粘液、黄胆汁、黒胆汁の比率によって身体や精神の状態が決まると信じられていた。
&lt;span class="spacer"&gt;&lt;/span&gt;中世になると医学的な概念が一般社会に広まり、体液ではなく、それによって生じる「気分, 機嫌」という意味で使われるようになった。
&lt;span class="spacer"&gt;&lt;/span&gt;さらに近代になると、特定の気質に偏った風変わりな気質を持つ人が面白がられるようになる。そこから、滑稽な性質やおかしさを表す「ユーモア」という意味になった。&lt;/span&gt;</t>
  </si>
  <si>
    <t>［古代の医学：四体液説］
人間の体には四つの体液—血液、粘液、黄胆汁、黒胆汁—があり、それぞれの体液に特定の性質を帰属させた。
&lt;span class="spacer"&gt;&lt;/span&gt;血液は空気のように熱く湿っており、粘液は水のように冷たく湿っており、黄胆汁は火のように熱く乾いており、黒胆汁は土のように冷たく乾いている。
&lt;span class="spacer"&gt;&lt;/span&gt;これらの四体液とその性質は、世界の構成要素とされた四大元素（空気、水、火、土）と関連づけられており、身体や精神を構成し、これらのバランスが身体や精神のコンディションを決定すると考えられていた。
&lt;span class="spacer"&gt;&lt;/span&gt;1520年代
humor（体液）は、気分や機嫌といった一時的な精神状態を指すようになる
&lt;span class="spacer"&gt;&lt;/span&gt;1560年代
気まぐれ
&lt;span class="spacer"&gt;&lt;/span&gt;1680年代
おどけた気質, おかしさ, 滑稽な性質</t>
  </si>
  <si>
    <t>instinctは「内部から突き動かす本能」というイメージ。</t>
  </si>
  <si>
    <t>&lt;span class="w"&gt;&lt;b&gt;【856.instinct：本能, 直感, 自然に起こる衝動】&lt;/b&gt;&lt;/span&gt;
&lt;span class="ml"&gt;ラテン語に由来する語で、以下の2つの要素から成る。
&lt;span class="spacer"&gt;&lt;/span&gt;in（中に）
stinguere（刺す, 駆り立てる）
&lt;span class="spacer"&gt;&lt;/span&gt;このまま日本語にすると「中に刺す」となる。刺激されて内部から突き動かされるように、自分の意識や思考とは関係なく動くことから「本能, 直感, 自然に起こる衝動」といった意味になる。&lt;span&gt;</t>
  </si>
  <si>
    <t>&lt;span class="w"&gt;&lt;b&gt;【857.faith：信頼, 信仰】&lt;/b&gt;&lt;/span&gt;
&lt;span class="ml"&gt;ラテン語fidere（信頼する）に由来する。
&lt;span class="spacer"&gt;&lt;/span&gt;根拠や証明よりも、相手や対象に対する信頼に基づいて真実だと受け入れることを表し、そこから「信頼」や、特に宗教における「信仰」という意味になった。&lt;/span&gt;</t>
  </si>
  <si>
    <t>incentiveは「心に火をつけるような動機」というイメージ。</t>
  </si>
  <si>
    <t>&lt;span class="w"&gt;&lt;b&gt;【859.incentive：動機（づけ）, 報奨金】&lt;/b&gt;&lt;/span&gt;
&lt;span class="ml"&gt;ラテン語に由来する語で、以下の2つの要素から成る。
&lt;span class="spacer"&gt;&lt;/span&gt;in（中に）
canere（歌う）
ivus（形容詞化）
&lt;span class="spacer"&gt;&lt;/span&gt;このまま日本語にすると「歌の中に入る（歌に向かう）」となる。もともとは歌い出しや、楽器を鳴らして伴奏を始めることを表した。ここに火をつけるという意味を持つ、形がよく似た別のラテン語の影響が加わり、人の気持ちに火をつけて駆り立てること、すなわち「動機（づけ）」という意味になった。また、より懸命な労働のきっかけになるものとして「報奨金」という意味にもなった。&lt;/span&gt;</t>
  </si>
  <si>
    <t>in（中に）＋canere（歌う）
incinere（歌い出す, 合図として鳴らす）
&lt;span class="spacer"&gt;&lt;/span&gt;形容詞を作る-ivusが付いて
incentivus（調べを合わせる）</t>
  </si>
  <si>
    <t>incentivus（駆り立てる）
&lt;span class="spacer"&gt;&lt;/span&gt;名詞になって
incentivum（駆り立てるもの）</t>
  </si>
  <si>
    <t>15世紀初頭
心を動かすもの, 感情をかき立てるもの
&lt;span class="spacer"&gt;&lt;/span&gt;語源的には関係のない後期ラテン語incendere（火をつける）の影響を受けている</t>
  </si>
  <si>
    <t>&lt;span class="w"&gt;&lt;b&gt;【860.prospect：見込み, 未来への展望, 有望な人】&lt;/b&gt;&lt;/span&gt;
&lt;span class="ml"&gt;ラテン語に由来する語で、以下の2つの要素から成る。
&lt;span class="spacer"&gt;&lt;/span&gt;pro（前へ）
specere（見る）
&lt;span class="spacer"&gt;&lt;/span&gt;このまま日本語にすると「前方を見る」となる。物理的に遠くを見ることから、時間的に遠い将来を見ることへと発展して「見込み, 未来への展望」という意味になった。また未来を期待される人＝「将来有望な人」という意味にもなった。&lt;/span&gt;</t>
  </si>
  <si>
    <t>&lt;span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t>
  </si>
  <si>
    <t>ob（前に, ～に対して）＋stare（立つ）
obstare（前に立つ, 立ちはだかる, 妨げる）
&lt;span class="spacer"&gt;&lt;/span&gt;道具や手段を表す-culumが付いて
obstaculum（障害物, 妨害物）</t>
  </si>
  <si>
    <t>&lt;span class="w"&gt;&lt;b&gt;【862.architecture：建築, 建築様式, 構造】&lt;/b&gt;&lt;/span&gt;
&lt;span class="ml"&gt;ギリシャ語に由来する語で、以下の2つの要素から成る。
&lt;span class="spacer"&gt;&lt;/span&gt;arkhi（首位の）
tekton（大工）
&lt;span class="spacer"&gt;&lt;/span&gt;このまま日本語にすると「大工のトップ」となる。もともとは建築を指揮する棟梁や主任建築者を表した。そこから、大工の棟梁が学んだ建築技術や建築方法そのものを指すようになり、さらに建てられた構造や様式を表すようになって「建築, 構造」や「建築様式」という意味になった。&lt;/span&gt;</t>
  </si>
  <si>
    <t>&lt;span class="w"&gt;&lt;b&gt;【863.stem：（草木の）茎や幹】&lt;/b&gt;&lt;/span&gt;
&lt;span class="ml"&gt;古英語stemn（木の幹, 船首の柱）にさかのぼる。この古英語はさらに印欧祖語*sta-（立つ）にさかのぼる。
&lt;span class="spacer"&gt;&lt;/span&gt;この語の核は「しっかり立って支える中心部分」。植物で言えば、木を支える「幹」や草を支える「茎」を指す。また植物ではなくても、ワイングラスの脚や単語の語幹といった支える部分も指す。&lt;/span&gt;</t>
  </si>
  <si>
    <t>stemn（木の幹, 船首の柱）</t>
  </si>
  <si>
    <t>日本語でも使われるイリュージョン（本当に起きたように錯覚させるもの）と関連させて覚える。</t>
  </si>
  <si>
    <t>&lt;span class="w"&gt;&lt;b&gt;【864.illusion：錯覚, 思い違い, 幻想】&lt;/b&gt;&lt;/span&gt;
&lt;span class="ml"&gt;ラテン語に由来する語で、以下の3つの要素から成る。
&lt;span class="spacer"&gt;&lt;/span&gt;in（～に対して）
ludere（遊ぶ）
io（名詞化）
&lt;span class="spacer"&gt;&lt;/span&gt;このまま日本語にすると「相手に対して遊ぶ」となり、もともとは相手をからかうことを表した。中世のキリスト教社会になると、悪霊が人の心を騙して見せる幻影・まやかしを表すようになる。
&lt;span class="spacer"&gt;&lt;/span&gt;そこからさらに時代が下り、宗教的なニュアンスが薄れ、現実ではないものを事実かのように思わせる「錯覚, 思い違い, 幻想」という意味になった。&lt;/span&gt;</t>
  </si>
  <si>
    <t>criminat</t>
  </si>
  <si>
    <t>&lt;span class="w"&gt;&lt;b&gt;【865.discrimination：差別, 区別】&lt;/b&gt;&lt;/span&gt;
&lt;span class="ml"&gt;ラテン語に由来する語で、以下の3つの要素から成る。
&lt;span class="spacer"&gt;&lt;/span&gt;dis（離れて）
cernere（ふるいにかける）
io（名詞化）
&lt;span class="spacer"&gt;&lt;/span&gt;このまま日本語にすると「ふるいにかけて離すこと」となる。もともとは「区別」を意味していたが、近代において、特定の集団に対する不当な区別を表すようになり、不当な「差別」という意味にもなった。
&lt;div class="sample_image discrimination"&gt;&lt;/div&gt;&lt;/span&gt;</t>
  </si>
  <si>
    <t>dry（乾いた, ドライ）＋th（名詞化）として覚える。</t>
  </si>
  <si>
    <t>&lt;span class="w"&gt;&lt;b&gt;【867.drought：干ばつ】&lt;/b&gt;&lt;/span&gt;
&lt;span class="ml"&gt;ゲルマン祖語にさかのぼり、以下の2つの要素から成る。
&lt;span class="spacer"&gt;&lt;/span&gt;*dreug-（乾いた）
itho（名詞化）
&lt;span class="spacer"&gt;&lt;/span&gt;このまま日本語にすると「乾いた状態」となる。そこから乾いて土地が干からびた「干ばつ」という意味になる。
&lt;span class="spacer"&gt;&lt;/span&gt;droughtはdryに名詞を作るthが付いた語と考えればよい。
highーheight / wideーwidthと同じ関係。&lt;/span&gt;</t>
  </si>
  <si>
    <t>&lt;span class="w"&gt;&lt;b&gt;【868.flavor：風味】&lt;/b&gt;&lt;/span&gt;
&lt;span class="ml"&gt;ラテン語に由来する語で、以下の2つの要素から成る。
&lt;span class="spacer"&gt;&lt;/span&gt;flare（吹く）
or（〜するもの, 〜する人）
&lt;span class="spacer"&gt;&lt;/span&gt;この語の核は「風に乗ってくる香りや匂い」。そこから、食べ物を口に入れた際に鼻から抜ける「風味」という意味になった。&lt;/span&gt;</t>
  </si>
  <si>
    <t>partやproportionと関連させて覚える。</t>
  </si>
  <si>
    <t>&lt;span class="w"&gt;&lt;b&gt;【869.portion：部分, 1人前, 割り当て】&lt;/b&gt;&lt;/span&gt;
&lt;span class="ml"&gt;ラテン語portio（部分, 分け前）に由来する。
&lt;span class="spacer"&gt;&lt;/span&gt;この語の核は「全体を分けて何かに割り当てた部分」。そこから「1人前, 割り当て, 部分」という意味になる。&lt;/span&gt;</t>
  </si>
  <si>
    <t>日本語でも使われる料理のレシピと同じ。</t>
  </si>
  <si>
    <t>&lt;span class="w"&gt;&lt;b&gt;【870.recipe：調理法, レシピ, 手順】&lt;/b&gt;&lt;/span&gt;
&lt;span class="ml"&gt;ラテン語に由来する語で、以下の2つの要素から成る。
&lt;span class="spacer"&gt;&lt;/span&gt;re（再び）
capere（取る）
&lt;span class="spacer"&gt;&lt;/span&gt;もともとは、医師が薬剤師に渡す処方箋の冒頭に、ラテン語recipe（取りなさい）と書いたことによる。これは処方箋に書かれた材料を取り出しなさいという指示だったが、そこから薬の処方箋そのものを表すようになった。
&lt;span class="spacer"&gt;&lt;/span&gt;処方箋は薬の作り方を書き記したものなので、そこから発展して、何かの「手順」や料理の「調理法, レシピ」という意味になった。&lt;/span&gt;</t>
  </si>
  <si>
    <t>re（再び）＋capere（取る）
recipere（取り戻す, 持ち帰る, 受け入れる）
&lt;span class="spacer"&gt;&lt;/span&gt;命令形recipe（取りなさい！）
これは医師が処方箋の初めに書いた言葉（処方箋に書かれた材料を取り出しなさい！という意味）</t>
  </si>
  <si>
    <t>luxu</t>
  </si>
  <si>
    <t>&lt;span class="w"&gt;&lt;b&gt;【871.luxury：ぜいたく（品）】&lt;/b&gt;&lt;/span&gt;
&lt;span class="ml"&gt;ラテン語に由来する語で、以下の2つの要素から成る。
&lt;span class="spacer"&gt;&lt;/span&gt;luxus（過剰, ぜいたく）
ia（名詞化）
&lt;span class="spacer"&gt;&lt;/span&gt;このまま日本語にすると「過剰なこと」となる。生活に必要な程度を超えていることから「ぜいたく（品）」という意味になる。&lt;/span&gt;</t>
  </si>
  <si>
    <t>luxus（過剰, ぜいたく）
&lt;span class="spacer"&gt;&lt;/span&gt;名詞を作る-iaが付いて
luxuria（過剰, ぜいたく, 浪費的生活）</t>
  </si>
  <si>
    <t>&lt;span class="w"&gt;&lt;b&gt;【872.chip：かけら, 集積回路（チップ）】&lt;/b&gt;&lt;/span&gt;
&lt;span class="ml"&gt;古英語cipp（道具による打撃によって本体から切り離された小さなかけら）にさかのぼる。
&lt;span class="spacer"&gt;&lt;/span&gt;木や石などを砕いたときの小さなかけらから、一般的な何かのものを小さくした「かけら」という意味になる。&lt;/span&gt;</t>
  </si>
  <si>
    <t>&lt;span class="w"&gt;&lt;b&gt;【873.ritual：儀式, 日常の習慣的行為】&lt;/b&gt;&lt;/span&gt;
&lt;span class="ml"&gt;ラテン語に由来する語で、以下の2つの要素から成る。
&lt;span class="spacer"&gt;&lt;/span&gt;ritus（宗教的な儀式や慣習）
alis（形容詞化）
&lt;span class="spacer"&gt;&lt;/span&gt;このまま日本語にすると「宗教的な儀式や習慣の」となる。もともとは宗教に関する言葉だったが、そこから宗教に限らず一般的な「儀式, 習慣的行為」という意味になった。&lt;/span&gt;</t>
  </si>
  <si>
    <t>&lt;span class="w"&gt;&lt;b&gt;【875.prefecture：日本の県や府】&lt;/b&gt;&lt;/span&gt;
&lt;span class="ml"&gt;ラテン語に由来する語で、以下の3つの要素から成る。
&lt;span class="spacer"&gt;&lt;/span&gt;prae（前に, 先に）
facere（行う, 作る）
ura（名詞化）
&lt;span class="spacer"&gt;&lt;/span&gt;もともとは、人々の前にいて何かを行う人、つまり先頭で統括する責任者や監督者を表した。そこから、責任者や監督者が監督する行政区である「県, 府」という意味になった。&lt;/span&gt;</t>
  </si>
  <si>
    <t>coun</t>
  </si>
  <si>
    <t>cil</t>
  </si>
  <si>
    <t>&lt;span class="w"&gt;&lt;b&gt;【876.council：議会】&lt;/b&gt;&lt;/span&gt;
&lt;span class="ml"&gt;印欧祖語
*kele-（叫ぶ）
&lt;span class="spacer"&gt;&lt;/span&gt;ラテン語に由来する語で、以下の2つの要素から成る。
&lt;span class="spacer"&gt;&lt;/span&gt;con（共に）
calāre（呼ぶ）
&lt;span class="spacer"&gt;&lt;/span&gt;このまま日本語にすると「共に叫ぶ」となる。声をかけて人を集めて話し合うことから「議会」という意味になった。&lt;/span&gt;</t>
  </si>
  <si>
    <t>*kele-（叫ぶ）
&lt;span class="spacer"&gt;&lt;/span&gt;&lt;span class="obsolete"&gt;declare（宣言する）, claim（主張する）, exclaim（叫ぶ）などもこの印欧祖語にさかのぼる&lt;/span&gt;</t>
  </si>
  <si>
    <t>com（共に）＋calāre（呼ぶ）
concilium（声をかけて人を集めること, 集まり, 人々の集会）</t>
  </si>
  <si>
    <t>trat</t>
  </si>
  <si>
    <t>国の管理・運営をしている政府の人間minister（大臣）と関連させて覚える。</t>
  </si>
  <si>
    <t>&lt;span class="w"&gt;&lt;b&gt;【877.administration：管理（部）, 運営, 行政, 政府（機関）】&lt;/b&gt;&lt;/span&gt;
&lt;span class="ml"&gt;ラテン語に由来する語で、以下の要素から成る。
&lt;span class="spacer"&gt;&lt;/span&gt;&lt;b&gt;［ministerの語源］&lt;/b&gt;
minus（小さい）
teros（比較級）
&lt;span class="spacer"&gt;&lt;/span&gt;この語の核は「より小さい者」。主人に対して自分をより小さくする者、つまり召使いや助手といった主人に奉仕する者を表した。
&lt;span class="spacer"&gt;&lt;/span&gt;&lt;b&gt;［administrationの語源］&lt;/b&gt;
ad（〜へ）
ministrare（奉仕する, 仕える）
io（名詞化）
&lt;span class="spacer"&gt;&lt;/span&gt;このまま日本語にすると「〜へ奉仕する者」となる。王や君主へ奉仕する者たちは、彼らの代わりに領地や財産を管理し、運営したことから、組織や国の「管理, 運営」という意味になった。また国の管理や運営を行っている「行政, 政府」という意味にもなった。
&lt;div class="sample_image administration"&gt;&lt;/div&gt;&lt;/span&gt;</t>
  </si>
  <si>
    <t>minus（小さい）＋teros（比較級接尾辞）
minister（下位の者, 祭司の助手, 召使い）
&lt;span class="spacer"&gt;&lt;/span&gt;動詞になって
ministrare（奉仕する, 仕える）
&lt;span class="spacer"&gt;&lt;/span&gt;ad（〜へ）＋ministrare（奉仕する, 仕える）
administrare（助ける, 補佐する, 管理する, 統制する）
&lt;span class="spacer"&gt;&lt;/span&gt;名詞を作る-ioが付いて
administratio（援助, 管理, 指導）</t>
  </si>
  <si>
    <t>&lt;span class="w"&gt;&lt;b&gt;【878.curriculum：カリキュラム, 教育課程】&lt;/b&gt;&lt;/span&gt;
&lt;span class="ml"&gt;ラテン語に由来する語で、以下の2つの要素から成る。
&lt;span class="spacer"&gt;&lt;/span&gt;currere（走る）
culum（名詞化：場所・道具を表す）
&lt;span class="spacer"&gt;&lt;/span&gt;このまま日本語にすると「走るための場所」となる。もともとは実際に走るコースを表していたが、そこから教育において進んでいくコース＝「教育課程, カリキュラム」という意味になった。
&lt;div class="sample_image curriculum"&gt;&lt;/div&gt;&lt;/span&gt;</t>
  </si>
  <si>
    <t>currere（走る）
&lt;span class="spacer"&gt;&lt;/span&gt;名詞を作る-culumが付いて
curriculum（走るための場所, 走るための道具）</t>
  </si>
  <si>
    <t>price（価格）と関連させて覚える。</t>
  </si>
  <si>
    <t>&lt;span class="w"&gt;&lt;b&gt;【879.precious：貴重な, 高価な】&lt;/b&gt;&lt;/span&gt;
&lt;span class="ml"&gt;ラテン語に由来する語で、以下の2つの要素から成る。
&lt;span class="spacer"&gt;&lt;/span&gt;pretium（価値, 価格）
osus（形容詞化：〜に満ちている）
&lt;span class="spacer"&gt;&lt;/span&gt;price（価格, 価値）が形容詞となったと考えればよい。価値や価格で満ちているということから 「貴重な, 高価な」という意味になる。&lt;/span&gt;</t>
  </si>
  <si>
    <t>&lt;span class="w"&gt;&lt;b&gt;【881.casual：何気ない, 形式ばらない】&lt;/b&gt;&lt;/span&gt;
&lt;span class="ml"&gt;ラテン語に由来する語で、以下の2つの要素から成る。
&lt;span class="spacer"&gt;&lt;/span&gt;cadere（落ちる, 降りかかる）
alis（形容詞化）
&lt;span class="spacer"&gt;&lt;/span&gt;もともとは、出来事が突然降りかかってくることから、自分の意思とは関係のない偶然であることを表した。さらにそこから発展して、意図や事前の準備などを必要としない気楽さを表すようになり、「何気ない, 形式ばらない」という意味になった。&lt;/span&gt;</t>
  </si>
  <si>
    <t>日本語でも使われるラフ（大雑把な, 粗っぽい）と関連させて覚える。</t>
  </si>
  <si>
    <t>&lt;span class="w"&gt;&lt;b&gt;【883.rough：粗い, 大まかな, 乱暴な, 荒れた】&lt;/b&gt;&lt;/span&gt;
&lt;span class="ml"&gt;古英語ruh（触り心地が滑らかでない, 布のきめが粗い, 耕作されていない）にさかのぼる。
&lt;span class="spacer"&gt;&lt;/span&gt;古英語では触感の粗さや土地の荒れ具合を表したが、そこからさらに人柄や言葉遣い、状況、数量といった様々な粗さへと意味が拡大した。この語は「粗い」という意味を覚え、文脈に応じて適した日本語にすればよい。&lt;/span&gt;</t>
  </si>
  <si>
    <t>動詞please（喜ばせる）や名詞pleasure（喜び）と関連させ、「喜ばせる」を否定した形容詞「不愉快な」と覚えればよい。</t>
  </si>
  <si>
    <t>北斗七星を含むおおぐま座と関連させて覚える。</t>
  </si>
  <si>
    <t>&lt;span class="w"&gt;&lt;b&gt;【885.Arctic：北極の】&lt;/b&gt;&lt;/span&gt;
&lt;span class="ml"&gt;ギリシャ語に由来する語で、以下の2つの要素から成る。
&lt;span class="spacer"&gt;&lt;/span&gt;arktos（熊, おおぐま座）
ikos（形容詞化）
&lt;span class="spacer"&gt;&lt;/span&gt;北の空に輝く北斗七星を含むおおぐま座は、古代から北の方角を知る目印だったことから「北極の」という意味になった。&lt;/span&gt;
&lt;div class="animation arctic"&gt;&lt;/div&gt;</t>
  </si>
  <si>
    <t>&lt;span class="w"&gt;&lt;b&gt;【886.ultimate：究極の】&lt;/b&gt;&lt;/span&gt;
&lt;span class="ml"&gt;ラテン語*ulter（向こう側の）の最上級ultimus（最も向こうの, 最後の, 最終の）に由来する。
&lt;span class="spacer"&gt;&lt;/span&gt;最も向こう側という最果て・限界というイメージから「究極の」という意味になる。
&lt;span class="spacer"&gt;&lt;/span&gt;ラテン語*ulter（向こう側の）は印欧祖語*al-（向こうへ）にさかのぼる。この印欧祖語からはother / alter という「こちらではなくあちら側＝他の」を意味する語も生まれている。&lt;/span&gt;</t>
  </si>
  <si>
    <t>&lt;span class="w"&gt;&lt;b&gt;【887.deaf：耳が聞こえない】&lt;/b&gt;&lt;/span&gt;
&lt;span class="ml"&gt;古英語deaf（聴覚を欠いている）にさかのぼり、古英語から意味の変化はない。&lt;/span&gt;</t>
  </si>
  <si>
    <t>&lt;span class="w"&gt;&lt;b&gt;【888.genuine：本物の, 偽りのない】&lt;/b&gt;&lt;/span&gt;
&lt;span class="ml"&gt;ラテン語に由来する語で、以下の2つの要素から成ると考えられる。
&lt;span class="spacer"&gt;&lt;/span&gt;gignere（生む, 産出する）
inus（形容詞化）
&lt;span class="spacer"&gt;&lt;/span&gt;この語の核は「生まれたまま自然な状態」。後から作られた混ぜ物や偽物ではなく、生まれたままであることを表し、「本物の, 偽りのない」という意味になる。
&lt;span class="spacer"&gt;&lt;/span&gt;また別の語源の説では、ラテン語genu（膝）に由来するという考えもある。
&lt;span class="spacer"&gt;&lt;/span&gt;古代ローマでは、赤ん坊が生まれると、父親がその子を自分の膝の上に置くという伝統的な儀式があった。これは単なるスキンシップではなく、「この子は間違いなく自分の血を引く、正式な子供である」と公に認めるための重要な法的手続きだった。そこから「偽りのない, 本物の」という意味になった。&lt;/span&gt;</t>
  </si>
  <si>
    <t>&lt;span class="w"&gt;&lt;b&gt;【889.manual：手（体）を使う, 手の, 手動の】&lt;/b&gt;&lt;/span&gt;
&lt;span class="ml"&gt;ラテン語に由来する語で、以下の2つの要素から成る。
&lt;span class="spacer"&gt;&lt;/span&gt;manus（手）
alis（形容詞化）
&lt;span class="spacer"&gt;&lt;/span&gt;このまま日本語にすると「手の, 手を使う, 手動の」という意味になる。&lt;/span&gt;</t>
  </si>
  <si>
    <t>日本語でも使われるインスタントコーヒーやインスタグラムと関連させて覚える。
instagram
instant：すぐに
telegram：電報＝すぐに写真や動画を共有できる</t>
  </si>
  <si>
    <t>&lt;span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t>
  </si>
  <si>
    <t>in（上に, 中に）＋stare（立つ）
instare（近くに立つ, 促す）
&lt;span class="spacer"&gt;&lt;/span&gt;現在分詞instans（近くに立っている, 切迫した, 緊急の）</t>
  </si>
  <si>
    <t>日本語でも使われるスペアタイアやスペアキーなど予備と関連させて覚える。</t>
  </si>
  <si>
    <t>&lt;span class="w"&gt;&lt;b&gt;【892.spare：余分の, 予備の】&lt;/b&gt;&lt;/span&gt;
&lt;span class="ml"&gt;古英語spær（控えめな, 節約する）にさかのぼる。
&lt;span class="spacer"&gt;&lt;/span&gt;もともとの「節約して使わずに残しておく」という状態から、「使われずに残っているもの＝いざという時のためのストック」というイメージに繋がり、そこから「余分な, 予備の」という意味へと発展した。&lt;/span&gt;</t>
  </si>
  <si>
    <t>&lt;span class="w"&gt;&lt;b&gt;【893.immune：免疫を持つ, 免れた】&lt;/b&gt;&lt;/span&gt;
&lt;span class="ml"&gt;ラテン語に由来する語で、以下の2つの要素から成る。
&lt;span class="spacer"&gt;&lt;/span&gt;in（否定）
munis（奉仕を行っている, 義務の）
&lt;span class="spacer"&gt;&lt;/span&gt;もともとは、公共の義務や税などから免除されていることを表した。そこから医学的な意味へと発展し、病気を免れている、つまり「免疫をもつ」という意味になった。&lt;/span&gt;</t>
  </si>
  <si>
    <t>&lt;span class="w"&gt;&lt;b&gt;【894.harsh：厳しい, きつい, （光・色・味などが）不快な】&lt;/b&gt;&lt;/span&gt;
&lt;span class="ml"&gt;中英語harske（ざらざらした, 粗い, 酸っぱい）にさかのぼる。
&lt;span class="spacer"&gt;&lt;/span&gt;もともとは、未加工の布や木の表面などがざらざらしていて、肌に触れるとチクチクするような不快な状態を表した。この触覚の不快感が視覚・聴覚・味覚などにも広がり、「（光・色・味などが）不快な」という意味になった。さらに心理面や環境面にも拡張されて「厳しい, きつい」という意味になった。
&lt;div class="sample_image harsh"&gt;&lt;/div&gt;&lt;/span&gt;</t>
  </si>
  <si>
    <t>&lt;span class="w"&gt;&lt;b&gt;【895.collective：集団の, 共同の】&lt;/b&gt;&lt;/span&gt;
&lt;span class="ml"&gt;ラテン語に由来する語で、以下の2つの要素から成る。
&lt;span class="spacer"&gt;&lt;/span&gt;com（共に）
legere（集める）
ivus（形容詞化）
&lt;span class="spacer"&gt;&lt;/span&gt;このまま日本語にすると「共に集まった」、つまり「集合の, 集団な」という意味になる。これはcollect（集める）の形容詞として覚えればよい。&lt;/span&gt;</t>
  </si>
  <si>
    <t>&lt;span class="w"&gt;&lt;b&gt;【896.inevitable：避けられない】&lt;/b&gt;&lt;/span&gt;
&lt;span class="ml"&gt;ラテン語に由来する語で、以下の2つの要素から成る。
&lt;span class="spacer"&gt;&lt;/span&gt;in（否定）
ex（外に）
viter（遠ざける, 避ける）
bilis（できる）
&lt;span class="spacer"&gt;&lt;/span&gt;このまま日本語にすると「外へ向かって避けることができない」という意味になる。&lt;/span&gt;</t>
  </si>
  <si>
    <t>&lt;span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t>
  </si>
  <si>
    <t>&lt;span class="w"&gt;&lt;b&gt;【899.mature：成熟した】&lt;/b&gt;&lt;/span&gt;
&lt;span class="ml"&gt;ラテン語mātūrus（熟した）に由来する。
&lt;span class="spacer"&gt;&lt;/span&gt;果物が熟していることから、比喩的に人の身体や精神、物事の完成度などが「成熟している」という意味へと発展した。&lt;/span&gt;</t>
  </si>
  <si>
    <t>&lt;span class="w"&gt;&lt;b&gt;【900.likewise：同様に】&lt;/b&gt;&lt;/span&gt;
&lt;span class="ml"&gt;古英語にさかのぼり、以下の2つの要素から成る。
&lt;span class="spacer"&gt;&lt;/span&gt;gelic（似ている, 同様の）
wise（方法, やり方）
&lt;span class="spacer"&gt;&lt;/span&gt;このまま日本語にすると「似ているやり方」、つまり「同様に」という意味になる。
&lt;span class="spacer"&gt;&lt;/span&gt;~wiseは「〜な方法」という意味になる。
clockwise（時計の方法, 時計回り）
otherwise（他の方法で, そうでなければ）&lt;/span&gt;</t>
  </si>
  <si>
    <t>&lt;span class="w"&gt;&lt;b&gt;【259.race：人種, 民族】&lt;/b&gt;&lt;/span&gt;
&lt;span class="ml"&gt;フランス語race（種族, 血統）に由来する。&lt;span class="obsolete"&gt;これより前の詳細は不明。&lt;/span&gt;
&lt;span class="spacer"&gt;&lt;/span&gt;「種族, 血統」という共通の祖先をもつ人の集まりから「民族, 人種」という意味になる。
&lt;span class="spacer"&gt;&lt;/span&gt;race（競争）は古英語に由来し、race（人種, 民族）とは偶然に同じスペルになっただけ。&lt;/span&gt;</t>
  </si>
  <si>
    <t>&lt;span class="w"&gt;&lt;b&gt;【279.cognitive：認知の】&lt;/b&gt;&lt;/span&gt;
&lt;span class="ml"&gt;ラテン語に由来する語で、以下の2つの要素から成る。
&lt;span class="spacer"&gt;&lt;/span&gt;com（共に）
gnoscere（知る）
&lt;span class="obsolete"&gt;ive（形容詞化）は英語段階で付いた&lt;/span&gt;
&lt;span class="spacer"&gt;&lt;/span&gt;このまま日本語にすると「共に知る」となる。互いに認知することから「認知の」という意味になる。&lt;/span&gt;</t>
  </si>
  <si>
    <t>&lt;span class="w"&gt;&lt;b&gt;【485.linguistic：言語の, 言語学の】&lt;/b&gt;&lt;/span&gt;
&lt;span class="ml"&gt;ラテン語lingua（舌, 言語：languageの語源）に由来する。&lt;span class="obsolete"&gt;ist（〜する人）とic（形容詞化）は英語段階で付いた。&lt;/span&gt;
&lt;span class="spacer"&gt;&lt;/span&gt;言葉を話すときによく動かす器官が舌であることから、そのまま「言語」を意味するようになった。ここから「言語の, 言語学の」という意味になる。
英語で2カ国語を話す人を bilingual（バイリンガル）と言うが、これもbi-（2つの）＋lingua（舌・言語）が組み合わさったもの。舌と言語の関係は、英語で母国語をmother tongueと呼ぶことからもよくわかる。&lt;/span&gt;</t>
  </si>
  <si>
    <t>&lt;span class="w"&gt;&lt;b&gt;【523.regret：〜を後悔する】&lt;/b&gt;&lt;/span&gt;
&lt;span class="ml"&gt;古フランス語に由来する語で、以下の2つの要素から成る。
&lt;span class="spacer"&gt;&lt;/span&gt;re（強意）
greter
&lt;span class="obsolete"&gt;原始ゲルマン語*gretan（泣く）に由来&lt;/span&gt;
&lt;span class="spacer"&gt;&lt;/span&gt;もともとは、何かを嘆く、特に誰かの死を嘆き悲しむことを表した。人は誰かが亡くなると、その死を嘆いたり、その人のことを思い出して悲しんだりすることから、過去を振り返って嘆くという行為へつながった。そして、そこから死に限らず、一般的に過去を「後悔する」という意味になった。&lt;/span&gt;</t>
  </si>
  <si>
    <t>&lt;span class="w"&gt;&lt;b&gt;【526.disappoint：〜を失望させる, （希望など）をくじく】&lt;/b&gt;&lt;/span&gt;
&lt;span class="ml"&gt;古フランス語に由来する語で、以下の3つの要素から成る。
des（反対）＋à（〜に）＋point（点）
&lt;span class="spacer"&gt;&lt;/span&gt;まずà point（点へ）が、ある1点を指し示すことから、動詞apointer（指名する, 任命する）となる。&lt;span class="obsolete"&gt;これは英語appoint（指名する, 任命する）の語源。&lt;/span&gt;
&lt;span class="spacer"&gt;&lt;/span&gt;そしてここにdes（反対）が付くことで、任命を取り消すとなる。これは、相手の期待や希望にそわなかったことを表し、そこから一般的に「失望させる, （希望などを）くじく」という意味になった。&lt;/span&gt;</t>
  </si>
  <si>
    <t>&lt;span class="w"&gt;&lt;b&gt;【586.abstract：抽象的な】&lt;/b&gt;&lt;/span&gt;
&lt;span class="ml"&gt;ラテン語に由来する語で、以下の2つの要素から成る。
&lt;span class="spacer"&gt;&lt;/span&gt;ab（離れて）
trahere（引く）
&lt;span class="spacer"&gt;&lt;/span&gt;このまま日本語にすると「引き離す」となる。もともとは、物理的にある物質から特定のものを引き離すことを表した。&lt;span class="obsolete"&gt;現在でも動詞abstructは「抽出する」を意味する。&lt;/span&gt;
&lt;span class="spacer"&gt;&lt;/span&gt;そして物理的な動作から思考プロセスへと意味が広がる。目に見える具体的な事物（リンゴ、バナナ、イチゴなど）から、共通する性質や本質（＝果物という概念）だけを「引き離して頭の中で考える」ことを指すようになり、「抽象的な」という意味になった。
&lt;div class="sample_image abstract"&gt;&lt;/div&gt;&lt;/span&gt;</t>
  </si>
  <si>
    <t>&lt;span class="w"&gt;&lt;b&gt;【592.aggressive：攻撃的な】&lt;/b&gt;&lt;/span&gt;
&lt;span class="ml"&gt;ラテン語に由来する語で、以下の2つの要素から成る。
&lt;span class="spacer"&gt;&lt;/span&gt;ad（〜へ）
gradus（一歩）から派生した動詞gradi（歩く, 進む）
&lt;span class="obsolete"&gt;ive（形容詞化）は英語段階で付いた&lt;/span&gt;
&lt;span class="spacer"&gt;&lt;/span&gt;このまま日本語にすると「〜へ歩き進む」となり、対象への接近や、さらに襲いかかる・攻撃することを表した。ここから「攻撃的な」という意味になった。&lt;/span&gt;</t>
  </si>
  <si>
    <t>&lt;span class="w"&gt;&lt;b&gt;【603.enhance：〜を高める, 増す】&lt;/b&gt;&lt;/span&gt;
&lt;span class="ml"&gt;ラテン語に由来する語で、以下の2つの要素から成る。
in（上に）
altus（高い）から派生した動詞altare（高くする）
&lt;span class="spacer"&gt;&lt;/span&gt;このまま日本語にすると「上に高くする」となる。ここから何かを「高める, 増す」という意味になる。
&lt;span class="spacer"&gt;&lt;/span&gt;ラテン語altusからは、英語altitude（高度）も生まれている。
&lt;span class="spacer"&gt;&lt;/span&gt;&lt;span class="obsolete"&gt;hance部分の"h, n"はフランス語で追加されたスペル。&lt;/span&gt;&lt;/span&gt;</t>
  </si>
  <si>
    <t>&lt;span class="w"&gt;&lt;b&gt;【622.attach：〜を（取り）付ける】&lt;/b&gt;&lt;/span&gt;
&lt;span class="ml"&gt;古フランス語に由来する語で、以下の2つの要素から成る。
&lt;span class="spacer"&gt;&lt;/span&gt;a（〜へ）
tachier（杭で固定する）
&lt;span class="obsolete"&gt;このtachierは、印欧祖語*steg-（柱, 杭）から派生した。この印欧祖語からは英語stickも生まれている。&lt;/span&gt;
&lt;span class="spacer"&gt;&lt;/span&gt;このまま日本語にすると「何かへ杭で固定する」となる。ここから、何かを「（取り）付ける」という意味になった。&lt;/span&gt;</t>
  </si>
  <si>
    <t>*randa
&lt;span class="spacer"&gt;&lt;/span&gt;&lt;span class="obsolete"&gt;古英語rinnan（走る, 流れる）の語源であり、これがrun（走る）となる&lt;/span&gt;</t>
  </si>
  <si>
    <t>garant（防御者, 保護者, 保証）
&lt;span class="spacer"&gt;&lt;/span&gt;&lt;span class="obsolete"&gt;ゲルマン祖語のwがフランス国内でgに変化した&lt;/span&gt;</t>
  </si>
  <si>
    <t>1500年頃
名詞で、閃光を生む突然の動き
&lt;span class="spacer"&gt;&lt;/span&gt;1580年代
素早くみる
&lt;span class="obsolete"&gt;中英語glanten（横目で見る）の影響と考えられる&lt;/span&gt;
&lt;span class="spacer"&gt;&lt;/span&gt;1590年代
瞬間的な視線の動き</t>
  </si>
  <si>
    <t>&lt;span class="w"&gt;&lt;b&gt;【776.usage：使われ方, 語法, 慣習】&lt;/b&gt;&lt;/span&gt;
&lt;span class="ml"&gt;ラテン語に由来する語で、以下の2つの要素から成る。
uti（使う：useの語源）
&lt;span class="obsolete"&gt;age（〜すること）はフランス語段階で付いた&lt;/span&gt;
&lt;span class="spacer"&gt;&lt;/span&gt;このまま日本語にすると「使うこと」となる。もともとは、人々が繰り返し使うことによって作り上げられる「慣習」を意味した。
&lt;span class="spacer"&gt;&lt;/span&gt;そこから、繰り返し使われることで確立された言葉の使い方＝「語法」や、言葉に限らず様々なものの日常的な「使われ方」、データや資源などの「使用量」などの意味になった。&lt;/span&gt;</t>
  </si>
  <si>
    <t>&lt;span class="w"&gt;&lt;b&gt;【858.courage：勇気】&lt;/b&gt;&lt;/span&gt;
&lt;span class="ml"&gt;ラテン語cor（心・心臓）に由来する。&lt;span class="obsolete"&gt;age（名詞化）はフランス語段階で付いた。&lt;/span&gt;
&lt;span class="spacer"&gt;&lt;/span&gt;もともとは、人の内面の心や気持ちを表していたが、そこから困難や恐怖に直面したときにも揺らがずに行動できる心の強さを指すようになり、「勇気」という意味になった。&lt;/span&gt;</t>
  </si>
  <si>
    <t>&lt;span class="w"&gt;&lt;b&gt;【882.optimistic：楽観的な】&lt;/b&gt;&lt;/span&gt;
&lt;span class="ml"&gt;ラテン語に由来する語で、以下の3つの要素から成る。
&lt;span class="spacer"&gt;&lt;/span&gt;optimus（最善の）
&lt;span class="obsolete"&gt;ist（〜する人）はフランス語段階で付いた&lt;/span&gt;
&lt;span class="obsolete"&gt;ic（形容詞化）は英語段階で付いた&lt;/span&gt;
&lt;span class="spacer"&gt;&lt;/span&gt;もともとは、哲学者ライプニッツが唱えた“最大の善”という考えにさかのぼる。全知全能かつ完全な善である神が創造したこの世界は、存在しうるあらゆる世界の中で、最も良い状態であるはずだという哲学。現実には悪いことも存在するが、神が創った以上、トータルで見ればプラスが最大でマイナスが最小になっているはずだと考えたわけである。
&lt;span class="spacer"&gt;&lt;/span&gt;その後、この哲学の議論から前提や推論が省かれ、この世界は最も良いものなんだという結論だけが一般化した。そこから、何が起きても物事をポジティブに受け入れる「楽観的な」という意味になった。&lt;/span&gt;</t>
  </si>
  <si>
    <t>&lt;span class="w"&gt;&lt;b&gt;【884.unpleasant：不愉快な】&lt;/b&gt;&lt;/span&gt;
&lt;span class="ml"&gt;ラテン語placere（受け入れられる, 好かれる）に由来する。&lt;span class="obsolete"&gt;un（否定）は英語段階で付いた。&lt;/span&gt;
&lt;span class="spacer"&gt;&lt;/span&gt;相手の心に何の引っかかりもなく受け入れられ、好かれることから相手にとって「喜ばしい（plesant）」となる。そしてそこに否定のunが付いて喜ばしくない、つまり「不愉快な」という意味になった。&lt;/span&gt;</t>
  </si>
  <si>
    <t>&lt;span class="w"&gt;&lt;b&gt;【890.mechanical：機械の, 機械的な】&lt;/b&gt;&lt;/span&gt;
&lt;span class="ml"&gt;ギリシャ語に由来する語で、以下の3つの要素から成る。
&lt;span class="spacer"&gt;&lt;/span&gt;mēkhanē（装置, 仕掛け）
ikos（形容詞化）
&lt;span class="obsolete"&gt;al（形容詞化）は英語段階で付いた&lt;/span&gt;
&lt;span class="spacer"&gt;&lt;/span&gt;この装置や仕掛けは、人力ではできないようなことを可能にする、いまで言う機械のこと。そこから「機械の, 機械的な」という意味になった。&lt;/span&gt;</t>
  </si>
  <si>
    <t>&lt;span class="w"&gt;&lt;b&gt;【901.chase：〜を追跡する】&lt;/b&gt;&lt;/span&gt;
&lt;span class="ml"&gt;ラテン語capere（取る）の反復形captare（繰り返し取ろうとする）に由来する。
&lt;span class="spacer"&gt;&lt;/span&gt;この語の核は「繰り返し取ろうとする」。ただ追いかけるだけではなく、最終的に捕まえるということを目的にして「追いかける」という意味になる。
&lt;span class="spacer"&gt;&lt;/span&gt;&lt;span class="obsolete"&gt;ラテン語captareからは、追いかけて捕まえるという一連の行為から、追いかけるchaseと捕まえるcatchが生まれた。chaseとcatchは同じ語が2つに分かれてできたもの。&lt;/span&gt;&lt;/span&gt;</t>
  </si>
  <si>
    <t>&lt;span class="w"&gt;&lt;b&gt;【902.sue：〜を告訴する】&lt;/b&gt;&lt;/span&gt;
&lt;span class="ml"&gt;ラテン語sequi（従う, 後を追う）に由来する。
&lt;span class="spacer"&gt;&lt;/span&gt;相手の後を追うという物理的な追跡から、法廷で相手を追うことへと意味が特化して「告訴する」という意味になった。
&lt;div class="sample_image sue"&gt;&lt;/div&gt;&lt;/span&gt;</t>
  </si>
  <si>
    <t>stargaze（星をじっと見る, 星を観察する）やstargazer（占星術師）などと関連させて覚える。</t>
  </si>
  <si>
    <t>&lt;span class="w"&gt;&lt;b&gt;【903.gaze：じっと見る】&lt;/b&gt;&lt;/span&gt;
&lt;span class="ml"&gt;中英語gazen（じっと見つめる）にさかのぼるが、詳細な語源は不明の語。
&lt;span class="spacer"&gt;&lt;/span&gt;うっとり見とれる、ぼんやり見つめるというイメージ。&lt;/span&gt;</t>
  </si>
  <si>
    <t>&lt;span class="w"&gt;&lt;b&gt;【904.slip：滑る, そっと動く】&lt;/b&gt;&lt;/span&gt;
&lt;span class="ml"&gt;印欧祖語*(s)lei-（ぬるぬるした, 粘つく, 滑りやすい）に由来する。
&lt;span class="spacer"&gt;&lt;/span&gt;この印欧祖語はslime（スライム）の語源でもあり、ぬるぬると滑りやすいイメージ。そこから「滑る」や、滑るように「そっと動く」という意味になる。&lt;/span&gt;</t>
  </si>
  <si>
    <t>&lt;span class="w"&gt;&lt;b&gt;【905.load：〜に積む】&lt;/b&gt;&lt;/span&gt;
&lt;span class="ml"&gt;古英語lad（進路, 運ぶこと, 運搬）にさかのぼる。
&lt;span class="spacer"&gt;&lt;/span&gt;もともとは運搬や荷物を表す名詞だったが、中英語期に音やスペルが似た他の語の意味を吸収して「積む」という動詞になった。&lt;/span&gt;</t>
  </si>
  <si>
    <t>&lt;span class="w"&gt;&lt;b&gt;【906.overwhelm：〜を圧倒する, 〜を打ちのめす】&lt;/b&gt;&lt;/span&gt;
&lt;span class="ml"&gt;中英語にさかのぼり、以下の2つの要素から成る。
&lt;span class="spacer"&gt;&lt;/span&gt;over（上から）
whelmen（ひっくり返す）
&lt;span class="spacer"&gt;&lt;/span&gt;大波が覆い被さって船をひっくり返すイメージから、上下をひっくり返すという物理的な動きを表した。さらにそこから心理的な意味にも発展して、物理的・感情的に「圧倒する」や、圧倒して「打ちのめす」という意味になった。
&lt;div class="sample_image overwhelm"&gt;&lt;/div&gt;&lt;/span&gt;</t>
  </si>
  <si>
    <t>&lt;span class="w"&gt;&lt;b&gt;【907.wander：歩き回る】&lt;/b&gt;&lt;/span&gt;
&lt;span class="ml"&gt;古英語wandrian（あてもなく動き回る, 放浪する）にさかのぼる。
&lt;span class="spacer"&gt;&lt;/span&gt;古英語wandrianは、動詞wind（曲がりくねる）と同じく印欧祖語*wendh-（曲がる）に由来する。まっすぐではなく、あちこち向きを変えながら進むイメージから「歩き回る」という意味になる。&lt;/span&gt;</t>
  </si>
  <si>
    <t>&lt;span class="w"&gt;&lt;b&gt;【908.float：漂う, 浮かぶ, 〜を浮かべる】&lt;/b&gt;&lt;/span&gt;
&lt;span class="ml"&gt;古英語flotian（水面に浮かぶ）にさかのぼる。
&lt;span class="spacer"&gt;&lt;/span&gt;fl-で始まる単語は、flow / fly / flee / floodなど、風や水にふわりと乗って動いていくイメージ。ここから「漂う, 浮かぶ, 浮かべる」という意味になる。&lt;/span&gt;</t>
  </si>
  <si>
    <t>&lt;span class="w"&gt;&lt;b&gt;【909.pour：〜を注ぐ, （雨が）激しく降る】&lt;/b&gt;&lt;/span&gt;
&lt;span class="ml"&gt;語源不明。ラテン語purus（純粋な）から派生した動詞purare（浄化する）に由来するという考えがある。
&lt;span class="spacer"&gt;&lt;/span&gt;何かをピュアな状態にする＝浄化するために穀物をふるいにかけたり、水を濾過したりする様子から、何かを「注ぐ」という意味になった。またドバッと注ぐように雨が降る様子から「激しく降る」という意味にもなった。
&lt;div class="sample_image pour"&gt;&lt;/div&gt;&lt;/span&gt;</t>
  </si>
  <si>
    <t>サブメンバーの「サブ（代わり）」はsubstituteの省略。</t>
  </si>
  <si>
    <t>&lt;span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t>
  </si>
  <si>
    <t>&lt;span class="w"&gt;&lt;b&gt;【911.pronounce：〜を発音する, 〜を宣言する】&lt;/b&gt;&lt;/span&gt;
&lt;span class="ml"&gt;ラテン語に由来する語で、以下の2つの要素から成る。
&lt;span class="spacer"&gt;&lt;/span&gt;pro（前へ）
nuntius（使者）から派生したnuntiare（告知する）
&lt;span class="spacer"&gt;&lt;/span&gt;この語は、使者が人前へ出て大きな声で伝えるイメージ。そこから、言葉を声に出すこと＝「発音する」や何かを「宣言する」という意味になった。
&lt;div class="sample_image pronounce"&gt;&lt;/div&gt;&lt;/span&gt;</t>
  </si>
  <si>
    <t>&lt;span class="w"&gt;&lt;b&gt;【912.shrink：縮む, 縮小する, ひるむ】&lt;/b&gt;&lt;/span&gt;
&lt;span class="ml"&gt;古英語scrincan（手足を縮める, 自然に収縮する）にさかのぼる。
&lt;span class="spacer"&gt;&lt;/span&gt;この語の核は「ぎゅっと小さく丸まる」。そこからサイズが「縮む, 縮小する」や恐怖で「ひるむ」という意味になる。&lt;/span&gt;</t>
  </si>
  <si>
    <t>&lt;span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t>
  </si>
  <si>
    <t>&lt;span class="w"&gt;&lt;b&gt;【914.trigger：〜を引き起こす, 〜のきっかけとなる】&lt;/b&gt;&lt;/span&gt;
&lt;span class="ml"&gt;オランダ語trekker（引き金）に由来する。
&lt;span class="spacer"&gt;&lt;/span&gt;引き金という名詞から引き金を引く動作へと発展した。銃の引き金を引けば弾が発射されることから、比喩的に何かを「引き起こす, きっかけとなる」という意味になった。&lt;/span&gt;</t>
  </si>
  <si>
    <t>grasp（握る, 把握する）やgrip（握る, グリップ）と関連させて覚える。</t>
  </si>
  <si>
    <t>&lt;span class="w"&gt;&lt;b&gt;【915.grab：〜をつかむ, 〜を横取りする】&lt;/b&gt;&lt;/span&gt;
&lt;span class="ml"&gt;印欧祖語*ghrebh-（つかむ）に由来する。
&lt;span class="spacer"&gt;&lt;/span&gt;この語の核は「対象を素早くガシッと手に取る」。そこから何かを「つかむ」や「横取りする」という意味になる。&lt;/span&gt;</t>
  </si>
  <si>
    <t>*ghrebh-（つかむ）
&lt;span class="spacer"&gt;&lt;/span&gt;&lt;span class="obsolete"&gt;grasp（握る, 把握する）の語源でもある&lt;/span&gt;</t>
  </si>
  <si>
    <t>&lt;span class="w"&gt;&lt;b&gt;【916.retain：〜を保持する】&lt;/b&gt;&lt;/span&gt;
&lt;span class="ml"&gt;ラテン語に由来する語で、以下の2つの要素から成る。
&lt;span class="spacer"&gt;&lt;/span&gt;re（後ろに）
tenere（つかむ）
&lt;span class="spacer"&gt;&lt;/span&gt;このまま日本語にすると「つかんで後ろに」となる。何かを後ろ方向につかんで引き止めるイメージから、なくならないように留めておく、つまり何かを「保持する」という意味になる。
&lt;div class="sample_image retain"&gt;&lt;/div&gt;&lt;/span&gt;</t>
  </si>
  <si>
    <t>&lt;span class="w"&gt;&lt;b&gt;【917.reproduce：〜を複製する, 〜を繁殖させる】&lt;/b&gt;&lt;/span&gt;
&lt;span class="ml"&gt;近代英語に由来する語で、以下の2つの要素から成る。
&lt;span class="spacer"&gt;&lt;/span&gt;re（再び）
produce（生産する） 
&lt;span class="spacer"&gt;&lt;/span&gt;このまま日本語にすると「再び生産する」となる。既に存在するオリジナルをもとに再び生産することから、何かを「複製する」という意味になる。また生物学においては、遺伝子を複製して「繁殖させる」という意味になる。&lt;/span&gt;</t>
  </si>
  <si>
    <t>&lt;span class="w"&gt;&lt;b&gt;【918.bob：上下に動く, 〜を上下に動かす】&lt;/b&gt;&lt;/span&gt;
&lt;span class="ml"&gt;中英語bobben（ぴょこぴょこ動く）にさかのぼる。
&lt;span class="spacer"&gt;&lt;/span&gt;おそらく擬音語で、上下に動く感じがbobという短く跳ねるような音で表現されている。&lt;/span&gt;</t>
  </si>
  <si>
    <t>&lt;span class="w"&gt;&lt;b&gt;【919.entertain：〜を楽しませる, 〜をもてなす】&lt;/b&gt;&lt;/span&gt;
&lt;span class="ml"&gt;古フランス語に由来する語で、以下の2つの要素から成る。
&lt;span class="spacer"&gt;&lt;/span&gt;entre（間に）
tenir（保つ）
&lt;span class="spacer"&gt;&lt;/span&gt;この語の核は「自分と相手の間にある関係や状態を保つ」。良好な関係に保つために、客人を「もてなす」や相手を「楽しませる」という意味になる。&lt;/span&gt;</t>
  </si>
  <si>
    <t>&lt;span class="w"&gt;&lt;b&gt;【920.interfere：（in）干渉する, （with）邪魔をする】&lt;/b&gt;&lt;/span&gt;
&lt;span class="ml"&gt;古フランス語に由来する語で、以下の2つの要素から成る。
&lt;span class="spacer"&gt;&lt;/span&gt;entre（〜の間）
ferir（叩く, 打つ）
&lt;span class="spacer"&gt;&lt;/span&gt;このまま日本語にすると「間に入って叩く」となる。進行中の物事の間に入ってぶつかるようなイメージから「干渉する, 邪魔をする」という意味になる。
&lt;div class="sample_image interfere"&gt;&lt;/div&gt;
&lt;span class="spacer"&gt;&lt;/span&gt;interfere &lt;strong&gt;in&lt;/strong&gt;A
Aの領域に入り込んでぶつかるイメージから「干渉する」
&lt;span class="spacer"&gt;&lt;/span&gt;interfere &lt;strong&gt;with&lt;/strong&gt;A
Aにぶつかって摩擦を起こすイメージから「邪魔をする」&lt;/span&gt;</t>
  </si>
  <si>
    <t>&lt;span class="w"&gt;&lt;b&gt;【921.cultivate：〜を栽培する, 〜を養う】&lt;/b&gt;&lt;/span&gt;
&lt;span class="ml"&gt;ラテン語colere（耕作する）に由来する。
&lt;span class="spacer"&gt;&lt;/span&gt;この語の核は「時間をかけて作物が育つ土壌を作り上げる」。そこから、畑を耕作して何かを「栽培する」という意味になり、さらに発展して能力や習慣などを「養う」という意味になった。
&lt;span class="spacer"&gt;&lt;/span&gt;ラテン語colereからは、土を育てるように、人々が時間をかけて作り上げるculture（文化）という語も生まれている。&lt;/span&gt;</t>
  </si>
  <si>
    <t>&lt;span class="w"&gt;&lt;b&gt;【922.underlie：〜の根底にある】&lt;/b&gt;&lt;/span&gt;
&lt;span class="ml"&gt;古英語にさかのぼり、以下の2つの要素から成る。
&lt;span class="spacer"&gt;&lt;/span&gt;under（下に）
lie（横たわる, 横になる）
&lt;span class="spacer"&gt;&lt;/span&gt;このまま日本語にすると「下に横たわる」となる。物理的に何かの下にあることから抽象的な意味へと発展し、何かが土台となって上にあるものを成り立たせるというニュアンスで「何かの根底にある」という意味になった。&lt;/span&gt;</t>
  </si>
  <si>
    <t>&lt;span class="w"&gt;&lt;b&gt;【923.anticipate：〜を予期する, 期待する】&lt;/b&gt;&lt;/span&gt;
&lt;span class="ml"&gt;ラテン語に由来する語で、以下の2つの要素から成る。
&lt;span class="spacer"&gt;&lt;/span&gt;anti（前に）
capere（取る）
&lt;span class="spacer"&gt;&lt;/span&gt;このまま日本語にすると「前もって取る」となる。何かが起こる前に先取りするイメージから、将来起こることを「予期する」という意味になる。
&lt;div class="sample_image anticipate"&gt;&lt;/div&gt;&lt;/span&gt;</t>
  </si>
  <si>
    <t>just（正しい, ちょうど）
justice（正義）
と関連させて覚える。</t>
  </si>
  <si>
    <t>&lt;span class="w"&gt;&lt;b&gt;【924.justify：〜を正当化する】&lt;/b&gt;&lt;/span&gt;
&lt;span class="ml"&gt;ラテン語に由来する語で、以下の2つの要素から成る。
&lt;span class="spacer"&gt;&lt;/span&gt;iustus（正しい, 公正な）
facere（作る, 行う）
&lt;span class="spacer"&gt;&lt;/span&gt;このまま日本語にすると「正しい状態を作る, 正しいものとする」となる。もともとは法的な用語で、司法で裁く、無罪と宣言するといった意味で使われていた。その後、司法の意味から一般化して、行動や意見に理由を与えて正しい状態にする＝「正当化する」という意味になった。&lt;/span&gt;</t>
  </si>
  <si>
    <t>regular（レギュラー, 規則正しい）
irregular（イレギュラー, 不規則な）
regulation（レギュレーション, 規則）
と関連させて覚える。</t>
  </si>
  <si>
    <t>&lt;span class="w"&gt;&lt;b&gt;【925.regulate：〜を規制する】&lt;/b&gt;&lt;/span&gt;
&lt;span class="ml"&gt;ラテン語regula（規則, まっすぐな木片）に由来する。
&lt;span class="spacer"&gt;&lt;/span&gt;この語の核は「規則に従わせて整える」。もともとラテン語regulaは、直線を引くためのまっすぐな木片を表した。この「線をまっすぐに保つ物理的な基準（定規）」というイメージが、やがて「人々の行動を正しく導くための基準」へと転じ、規則へと意味が発展した。そしてこのregulaから動詞が派生し、規則に基づいて物事を「規制する」という意味になった。&lt;/span&gt;</t>
  </si>
  <si>
    <t>&lt;span class="w"&gt;&lt;b&gt;【926.scan：〜をスキャンする, 〜をざっと見る, 〜を注意深く調べる】&lt;/b&gt;&lt;/span&gt;
&lt;span class="ml"&gt;後期ラテン語scandere（登る, 詩を韻律分析する）
&lt;span class="spacer"&gt;&lt;/span&gt;もともとは登ることを表したラテン語が、詩の上下する抑揚や、詩を読む際にリズムを刻む足踏みと結びつき、詩を細かく分析する行為を表すようになった。そこから、詩を分析するように何かを「注意深く調べる」という意味になった。
&lt;span class="spacer"&gt;&lt;/span&gt;またこれとは反対に、全体に視線を走らせる動きに焦点が当たって「ざっと見る」という意味も持つようになった。
&lt;span class="spacer"&gt;&lt;/span&gt;さらに現代の技術の発展により、センサーやビームで対象の表面を順次なぞって読み取る＝「スキャンする」という意味にもなった。&lt;/span&gt;</t>
  </si>
  <si>
    <t>scandere（登る, 上昇する）</t>
  </si>
  <si>
    <t>&lt;span class="w"&gt;&lt;b&gt;【927.classify：〜を分類する, 〜を機密扱いにする】&lt;/b&gt;&lt;/span&gt;
&lt;span class="ml"&gt;フランス語に由来する語で、以下の2つの要素から成る。
&lt;span class="spacer"&gt;&lt;/span&gt;class（クラス, 階級）
fier（動詞化）
&lt;span class="spacer"&gt;&lt;/span&gt;この語の核は「クラスに分ける」。そこから何かを「分類する」という意味になった。また現代のアメリカにて、ある情報を「機密扱いに分類する」という意味でも使われるようになった。&lt;/span&gt;</t>
  </si>
  <si>
    <t>&lt;span class="w"&gt;&lt;b&gt;【928.submit：〜を提出する, submit oneself 従う】&lt;/b&gt;&lt;/span&gt;
&lt;span class="ml"&gt;ラテン語に由来する語で、以下の2つの要素から成る。
&lt;span class="spacer"&gt;&lt;/span&gt;sub（〜の下に）
mittere（送る, 放つ）
&lt;span class="spacer"&gt;&lt;/span&gt;このまま日本語にすると「下に送る」となる。この物理的な下方向への動きから、自分自身を相手の下に置き、相手に「従う」という意味になった。さらに、自分で判断するのではなく他者の判断に従うために、自分の意見や考えなどを差し出すことから、何かを「提出する」という意味にもなった。
&lt;div class="sample_image submit"&gt;&lt;/div&gt;&lt;/span&gt;</t>
  </si>
  <si>
    <t>再生した動画を一時停止するボタン⏸️をポーズボタン（pause button）と言う。</t>
  </si>
  <si>
    <t>&lt;span class="w"&gt;&lt;b&gt;【929.pause：一時中止する, 立ち止まる】&lt;/b&gt;&lt;/span&gt;
&lt;span class="ml"&gt;ギリシャ語pauein（止める, 中止させる）に由来する。
&lt;span class="spacer"&gt;&lt;/span&gt;ギリシャ語から意味の変化はほとんどない。&lt;/span&gt;</t>
  </si>
  <si>
    <t>&lt;span class="w"&gt;&lt;b&gt;【930.lean：傾く, 寄りかかる】&lt;/b&gt;&lt;/span&gt;
&lt;span class="ml"&gt;古英語hlinian（横になる, 傾ける）にさかのぼる。
&lt;span class="spacer"&gt;&lt;/span&gt;古英語から意味の変化はほとんどなく「傾く, 寄りかかる」という意味になる。&lt;/span&gt;</t>
  </si>
  <si>
    <t>車の前方部と後方部にあるバンパー（bumper）と関連させて覚える。バンパーは車の衝突時の衝撃を軽減するためのもの。
&lt;div class="sample_image bump"&gt;&lt;/div&gt;</t>
  </si>
  <si>
    <t>&lt;span class="w"&gt;&lt;b&gt;【931.bump：ぶつかる, 〜をぶつける】&lt;/b&gt;&lt;/span&gt;
&lt;span class="ml"&gt;語源不明。おそらくbumpは衝突の音を表す擬音語で、日本語の「ドン, バーン」に近いイメージ。&lt;/span&gt;</t>
  </si>
  <si>
    <t>日本語でも使われるフォルダー（folder）と関連させて覚える。フォルダーはもともとバラバラの書類を折りたたんで保管するためのもの。</t>
  </si>
  <si>
    <t>&lt;span class="w"&gt;&lt;b&gt;【932.fold：〜を折りたたむ, 腕を組む】&lt;/b&gt;&lt;/span&gt;
&lt;span class="ml"&gt;古英語faldan, fealdan（折り返す, 畳む, 腕を組む）にさかのぼる。
&lt;span class="spacer"&gt;&lt;/span&gt;古英語から意味の変化はほとんどなく「折りたたむ」という意味になる。&lt;/span&gt;</t>
  </si>
  <si>
    <t>&lt;span class="w"&gt;&lt;b&gt;【933.hesitate：ためらう】&lt;/b&gt;&lt;/span&gt;
&lt;span class="ml"&gt;ラテン語haerere（固執する, しがみつく）の反復形haesitare（くっついて動かない）に由来する。
&lt;span class="spacer"&gt;&lt;/span物理的にくっついて動かないことから、心理的に思考や判断が停滞していることを表すようになり、「ためらう」という意味になった。
&lt;div class="sample_image hesitate"&gt;&lt;/div&gt;&lt;/span&gt;</t>
  </si>
  <si>
    <t>haerere（固執する, しがみつく）
&lt;span class="spacer"&gt;&lt;/span&gt;反復形haesitare（くっついて動かない, ためらう）
&lt;span class="spacer"&gt;&lt;/span&gt;過去分詞haesitatus</t>
  </si>
  <si>
    <t>&lt;span class="w"&gt;&lt;b&gt;【934.pump：〜をポンプで送り出す, 〜を汲み出す】&lt;/b&gt;&lt;/span&gt;
&lt;span class="ml"&gt;中世オランダ語pompe（パイプ, 導水管）に由来する。
&lt;span class="spacer"&gt;&lt;/span&gt;おそらくもともとは船の底に溜まった水を排出する際に、木製のプランジャー（ピストン）が水面を「ドンッ」「ゴボッ」と叩く鈍い音をまねした言葉だと考えられる。そこから「ポンプで送り出す, 汲み出す」という意味になった。&lt;/span&gt;</t>
  </si>
  <si>
    <t>&lt;span class="w"&gt;&lt;b&gt;【935.mount：〜を設置する, 着手する, （自転車や馬など）に乗る, 増える】&lt;/b&gt;&lt;/span&gt;
&lt;span class="ml"&gt;ラテン語mons（山）に由来する。
&lt;span class="spacer"&gt;&lt;/span&gt;この語の核は、山に登るような「上方向の動き」。
馬に乗るときの上方向の動きから「乗る」
数値や感情などが「増える, 高まる」
気分が高まって何かに「着手する」
高い位置や所定の位置に「設置する」&lt;/span&gt;</t>
  </si>
  <si>
    <t>&lt;span class="w"&gt;&lt;b&gt;【936.exceed：〜を超える, 〜を勝る】&lt;/b&gt;&lt;/span&gt;
&lt;span class="ml"&gt;ラテン語に由来する語で、以下の2つの要素から成る。
&lt;span class="spacer"&gt;&lt;/span&gt;ex（外に）
cedere（行く）
&lt;span class="spacer"&gt;&lt;/span&gt;このまま日本語にすると「外に行く」となる。ある範囲や基準の外に出て行くことから、何かを「超える, 勝る」という意味になる。
&lt;div class="sample_image exceed"&gt;&lt;/div&gt;&lt;/span&gt;</t>
    <phoneticPr fontId="1"/>
  </si>
  <si>
    <t>&lt;span class="w"&gt;&lt;b&gt;【937.undergo：〜を経験する, （手術など）を受ける, 〜に耐える】&lt;/b&gt;&lt;/span&gt;
&lt;span class="ml"&gt;古英語にさかのぼり、underとgan（goの語源）から成る。
&lt;span class="spacer"&gt;&lt;/span&gt;このまま日本語にすると「下を通って行く」となる。もともとは文字通り「下を行く」という物理的な動作を表していたが、やがて覆いかぶさってくるような大きな出来事や、重荷となる状況の下に入り込んでいくという比喩的な意味へと変化した。そこから「（苦難に）耐える」「（避けられないプロセスを）経験する」という意味になった。&lt;/span&gt;</t>
  </si>
  <si>
    <t>&lt;span class="w"&gt;&lt;b&gt;【938.confront：〜に立ち向かう, 問題などが立ちはだかる】&lt;/b&gt;&lt;/span&gt;
&lt;span class="ml"&gt;ラテン語に由来する語で、以下の2つの要素から成る。
&lt;span class="spacer"&gt;&lt;/span&gt;com（共に）
frontem（前面, 額）
&lt;span class="spacer"&gt;&lt;/span&gt;相手の前面とこちらの前面が一致するイメージから、自分のすぐ前に何かがある＝「立ち向かう, 立ちはだかる」という意味になる。&lt;/span&gt;</t>
  </si>
  <si>
    <t>confrontari（最も前の面を共有している, 接している）
confrontare（境界を接近させる, 隣接させる）</t>
  </si>
  <si>
    <t>&lt;span class="w"&gt;&lt;b&gt;【939.consult：（に）相談する, 〜を参照する】&lt;/b&gt;&lt;/span&gt;
&lt;span class="ml"&gt;ラテン語に由来する語で、以下の2つの要素から成る。
&lt;span class="spacer"&gt;&lt;/span&gt;con（共に）
sulere（集める）
&lt;span class="spacer"&gt;&lt;/span&gt;このまま日本語にすると「共に集める」となる。これは1人で決定するのではなく、人を呼び集めて話し合うイメージ。そこから誰かに「相談する」となる。また辞書やマニュアル、記録などを専門家として見立てて、何かを「参照する」という意味になる。&lt;/span&gt;</t>
  </si>
  <si>
    <t>&lt;span class="w"&gt;&lt;b&gt;【940.fulfill：〜を果たす, 〜を実現させる】&lt;/b&gt;&lt;/span&gt;
&lt;span class="ml"&gt;古英語にさかのぼり、以下の2つの要素から成る。
full（満ちた, 完全な）
fyllan（満たす）
&lt;span class="spacer"&gt;&lt;/span&gt;このまま日本語にすると「完全に満たす」となる。何らかの行為に関して、それを満たして終わらせるイメージから「果たす, 実現させる」という意味になる。&lt;/span&gt;</t>
  </si>
  <si>
    <t>privilegeのprivi部分はプライベート（private）で、lege部分は法律（legal）と同じ。</t>
  </si>
  <si>
    <t>&lt;span class="w"&gt;&lt;b&gt;【941.privilege：特権】&lt;/b&gt;&lt;/span&gt;
&lt;span class="ml"&gt;ラテン語に由来する語で、以下の2つの要素から成る。
&lt;span class="spacer"&gt;&lt;/span&gt;privus（個人の：privateの語源）
lex（法律）
&lt;span class="spacer"&gt;&lt;/span&gt;この語の核は「特定の個人に適用される法律」。みんなに適用される法・ルールではなく、特定の個人に有利なルールを表して「特権」という意味になった。&lt;/span&gt;</t>
  </si>
  <si>
    <t>日本語でも使われるフォーム（form, 形）と関連させて覚える。</t>
  </si>
  <si>
    <t>&lt;span class="w"&gt;&lt;b&gt;【942.formation：形成】&lt;/b&gt;&lt;/span&gt;
&lt;span class="ml"&gt;ラテン語に由来する語で、以下の2つの要素から成る。
&lt;span class="spacer"&gt;&lt;/span&gt;
forma（形, 姿）から派生した動詞formare（形作る）
io（名詞化）
&lt;span class="spacer"&gt;&lt;/span&gt;このまま日本語にすると「形作ること, 形成」という意味になる。&lt;/span&gt;</t>
  </si>
  <si>
    <t>日本語でも使われる3D（3次元）や4D（4次元）のD（dimension, dimensional）と関連させて覚える。</t>
  </si>
  <si>
    <t>dis（分けて）＋metiri（測る）
dimetri（測り分ける, 測り出す）
&lt;span class="spacer"&gt;&lt;/span&gt;名詞を作る-ioが付いて
dimensio（測定すること）</t>
  </si>
  <si>
    <t>nerve（神経）やnervous（緊張して, 神経質な）と関連させて覚える。</t>
  </si>
  <si>
    <t>&lt;span class="w"&gt;&lt;b&gt;【944.neuron：ニューロン】&lt;/b&gt;&lt;/span&gt;
&lt;span class="ml"&gt;ギリシャ語neuron（引き伸ばされたもの, 腱, 筋, 神経）に由来する。
&lt;span class="spacer"&gt;&lt;/span&gt;この語の核は「引き伸ばされた糸」。もともとのギリシャ語では、腱や筋、神経などの身体内部に張りめぐらされた線状構造や、弓や楽器の弦を表していた。そこから近代英語において、神経系の構成単位である「ニューロン」を表す用語として使われるようになった。&lt;/span&gt;</t>
  </si>
  <si>
    <t>sensat</t>
  </si>
  <si>
    <t>sense（五感, 意味, 理解, 知的な感覚）との対比で覚える。</t>
  </si>
  <si>
    <t>card（カード）やcharts （カルタ）と兄弟の語。</t>
    <phoneticPr fontId="1"/>
  </si>
  <si>
    <t>&lt;span class="w"&gt;&lt;b&gt;【946.chart：図, グラフ, 海図】&lt;/b&gt;&lt;/span&gt;
&lt;span class="ml"&gt;ギリシャ語khartēs（パピルス, 紙）に由来する。
&lt;span class="spacer"&gt;&lt;/span&gt;もともとはエジプトなどで作られていたパピルス紙自体を表したが、そこから紙に書かれるものへと意味がシフトしていった。
&lt;span class="spacer"&gt;&lt;/span&gt;この語の核は「情報を整理して一覧化したもの」。特に大航海時代には航海士が使う「海図」という意味で使われ、その後、地図のように情報をまとまっている「図, グラフ」という意味にもなった。
&lt;div class="sample_image chart"&gt;&lt;/div&gt;&lt;/span&gt;</t>
    <rPh sb="214" eb="215">
      <t>ゴ</t>
    </rPh>
    <rPh sb="216" eb="217">
      <t>カク</t>
    </rPh>
    <phoneticPr fontId="1"/>
  </si>
  <si>
    <t>&lt;span class="w"&gt;&lt;b&gt;【947.geography：（theが付いて）地理, 地理学】&lt;/b&gt;&lt;/span&gt;
&lt;span class="ml"&gt;ギリシャ語に由来する語で、以下の2つの要素から成る。
&lt;span class="spacer"&gt;&lt;/span&gt;geo（大地）
graphia（記述）
&lt;span class="spacer"&gt;&lt;/span&gt;このまま日本語にすると「大地（地球表面）に関する記述」となる。地球全体を把握することが困難だった時代、探検家や冒険家は未知の大地（geo）を歩き、その場所について記述した（graph）。そこから、ある土地や地域と結びついた地形、気候、人々の生活などの特徴を記述する「地理学, 地理」という意味になった。&lt;/span&gt;</t>
  </si>
  <si>
    <t>&lt;span class="w"&gt;&lt;b&gt;【948.panel：専門家の一団, 討論者一同, パネル】&lt;/b&gt;&lt;/span&gt;
&lt;span class="ml"&gt;ギリシャ語に由来する語で、以下の2つの要素から成る。
&lt;span class="spacer"&gt;&lt;/span&gt;pannus（布の切れ端）
ellus（小さいことを表す）
&lt;span class="spacer"&gt;&lt;/span&gt;このまま日本語にすると「小さい布切れ」となる。中世のイギリスでは、小さい羊皮紙の切れ端に裁判の陪審員として呼ばれた人々の名前を記載した。そこから裁判に限らず、討論や審査などのために呼ばれた「専門家の一団, 討論者一同」という意味になった。
&lt;span class="spacer"&gt;&lt;/span&gt;また「小さい布切れ」は、大きな布に継ぎ当てをする素材としても使われた。そこから、大きな壁やドアの一部にはめ込まれた別の素材（板やガラス）を指すようになり、現在のドアパネル、コントロールパネル、ソーラーパネルといった枠にはめ込まれた「平らな板, パネル」という意味になった。
&lt;div class="sample_image panel"&gt;&lt;/div&gt;&lt;/span&gt;</t>
    <phoneticPr fontId="1"/>
  </si>
  <si>
    <t>&lt;span class="w"&gt;&lt;b&gt;【949.semester：（2学期制の）学期】&lt;/b&gt;&lt;/span&gt;
&lt;span class="ml"&gt;ラテン語に由来する語で、以下の3つの要素から成る。
&lt;span class="spacer"&gt;&lt;/span&gt;se（6：sixの仲間）
mensis（月：moonの仲間）
tris（場所や時間を表す）
&lt;span class="spacer"&gt;&lt;/span&gt;このまま日本語にすると「6ヶ月間の」となり、2学期制の「学期」という意味になった。&lt;/span&gt;</t>
  </si>
  <si>
    <t>semestris / semenstris（半年の, 半年ごとの）
se（6：sixの仲間）
mensis（月：moonの仲間）
tris（場所や時間に関連する接尾辞）
&lt;span class="spacer"&gt;&lt;/span&gt;フレーズcursus semestris（6ヶ月の課程）</t>
  </si>
  <si>
    <t>&lt;span class="w"&gt;&lt;b&gt;【950.workforce：労働人口, 総労働力, 全従業員】&lt;/b&gt;&lt;/span&gt;
&lt;span class="ml"&gt;現代英語で以下の2つの要素から成る。
&lt;span class="spacer"&gt;&lt;/span&gt;work（労働）
force（力, 集団）
&lt;span class="spacer"&gt;&lt;/span&gt;forceには「力」だけではなく、air force（空軍）やpolice force（警察隊）のように同じ目的を持った人々の集団という意味もある。それがwork（労働）と結びついて、労働者の集団や労働力全体を表し、「労働人口, 全従業員数」や「総労働力」といった意味になる。&lt;/span&gt;</t>
  </si>
  <si>
    <t>&lt;span class="w"&gt;&lt;b&gt;【951.mill：製造工場, 製粉所, 粉ひき機】&lt;/b&gt;&lt;/span&gt;
&lt;span class="ml"&gt;ラテン語mola（石臼, 粉ひき機）に由来する。
&lt;span class="spacer"&gt;&lt;/span&gt;もともとは石臼で粉をひく「粉ひき機」を意味した。そこから、水車や風車の動力を使って粉をひく規模の大きい建物を備えた「製粉所」という意味になり、さらに粉をひくことに限らず何かをつくる「製造工場」という意味になった。
&lt;div class="sample_image mill"&gt;&lt;/div&gt;&lt;/span&gt;</t>
    <phoneticPr fontId="1"/>
  </si>
  <si>
    <t>ab（離れて）とuse（使う）からできた語。</t>
  </si>
  <si>
    <t>&lt;span class="w"&gt;&lt;b&gt;【952.abuse：乱用, 虐待】&lt;/b&gt;&lt;/span&gt;
&lt;span class="ml"&gt;ラテン語に由来する語で、以下の2つの要素から成る。
&lt;span class="spacer"&gt;&lt;/span&gt;ab（離れて）
uti（使う：useの語源）
&lt;span class="spacer"&gt;&lt;/span&gt;この語の核は「本来の使用法から離れた使用」。そこから何かの「乱用」や、本来の子育てのあり方から離れた「虐待」という意味になった。&lt;/span&gt;</t>
    <phoneticPr fontId="1"/>
  </si>
  <si>
    <t>&lt;span class="w"&gt;&lt;b&gt;【953.vice：（道徳上の）悪徳, 欠点, 悪癖】&lt;/b&gt;&lt;/span&gt;
&lt;span class="ml"&gt;ラテン語vitium（物理的な欠陥, 道徳的な欠陥や罪）に由来する。
&lt;span class="spacer"&gt;&lt;/span&gt;もともとは物理的な欠陥を表したが、そこから人間の心や行動における道徳的な欠陥へと発展し、道徳的な「悪徳」という意味になった。さらに道徳的なニュアンスが薄まり、性格や振る舞いにおける「欠点, 悪癖」という意味にもなった。&lt;/span&gt;</t>
  </si>
  <si>
    <t>vitium（物理的な欠陥, 道徳的な欠陥や罪）</t>
  </si>
  <si>
    <t>&lt;span class="w"&gt;&lt;b&gt;【954.fate：運命, 結末】&lt;/b&gt;&lt;/span&gt;
&lt;span class="ml"&gt;ラテン語fari（話す）から派生したfatum（語られたこと）に由来する。
&lt;span class="spacer"&gt;&lt;/span&gt;この語の核は「神々によって語られたこと」。古代ローマの人々にとって、神が一度「こうなる」と口にして語った言葉は、人間にはどうすることもできない絶対的な決定事項だった。そこから既に決まっているもの、つまり「運命」や最終的な「結末」という意味になった。&lt;/span&gt;</t>
  </si>
  <si>
    <t>&lt;span class="w"&gt;&lt;b&gt;【955.tragedy：悲劇】&lt;/b&gt;&lt;/span&gt;
&lt;span class="ml"&gt;ギリシャ語に由来する語で、以下の2つの要素から成る。
&lt;span class="spacer"&gt;&lt;/span&gt;tragos（ヤギ）
ōidē（歌）
&lt;span class="spacer"&gt;&lt;/span&gt;ヤギの歌から「悲劇」への発展は、一説によると、悲劇の起源となったディオニュソスの祭りの合唱において、俳優や歌手が半獣半人（半分ヤギで半分人間）の精霊であるサテュロスを象徴するためにヤギの皮を身にまとっていたことに由来する。&lt;/span&gt;</t>
  </si>
  <si>
    <t>日本語でも使われるシナリオ（脚本, 筋書き）と関連させて覚える。</t>
  </si>
  <si>
    <t>&lt;span class="w"&gt;&lt;b&gt;【956.scenario：筋書き, 脚本, 予想された事態】&lt;/b&gt;&lt;/span&gt;
&lt;span class="ml"&gt;ギリシャ語skēnē（テント, 舞台の後ろにある小屋）に由来する。
&lt;span class="spacer"&gt;&lt;/span&gt;古代ギリシャの円形劇場では、舞台のすぐ後ろに役者が衣装を着替えたり休んだりするためのテントが張られていた。やがてこのテントの幕に風景が描かれるようになり、舞台の背景や場面（scene）を指すようになる。そしてイタリアの即興喜劇において、もともとテントがあった舞台裏の壁に貼られた劇の進行表やあらすじをscenarioと呼ぶようになった。それが英語に入って「脚本, 筋書き, 予想された事態」という意味になった。&lt;/span&gt;</t>
  </si>
  <si>
    <t>skēnē（テント, 舞台の後ろにある小屋）</t>
  </si>
  <si>
    <t>allergyのall部分はalienと同じで「異なる」で、ergo部分はenergyと同じで「働き」という意味。</t>
  </si>
  <si>
    <t>&lt;span class="w"&gt;&lt;b&gt;【957.allergy：アレルギー】&lt;/b&gt;&lt;/span&gt;
&lt;span class="ml"&gt;ギリシャ語をもとに造られた語で、以下の2つの要素から成る。
&lt;span class="spacer"&gt;&lt;/span&gt;allos（異なる, 奇妙な）
ergon（仕事）
&lt;span class="spacer"&gt;&lt;/span&gt;小児科医クレメンス・E・フォン・ピルケによってギリシャ語をもとに造られた語。彼が患者を診察している際、ある物質（ワクチンや花粉など）に再び触れたとき、免疫システムが初回とは異なる（allo）過敏な働き（ergon）をすることに気づき、この2つのギリシャ語を組み合わせて「アレルギー」と名付けた。&lt;/span&gt;</t>
  </si>
  <si>
    <t>1906年
小児科医クレメンス・E・フォン・ピルケによってギリシャ語をもとに造られたAllergie</t>
  </si>
  <si>
    <t>&lt;span class="w"&gt;&lt;b&gt;【958.wound：負傷, 傷】&lt;/b&gt;&lt;/span&gt;
&lt;span class="ml"&gt;古英語wund（人または動物の身体における刺す・切ることを伴う損傷）にさかのぼる。
&lt;span class="spacer"&gt;&lt;/span&gt;古英語から意味の変化はほとんどない。&lt;/span&gt;</t>
  </si>
  <si>
    <t>&lt;span class="w"&gt;&lt;b&gt;【959.antibiotic：（通例~sで）抗生物質】&lt;/b&gt;&lt;/span&gt;
&lt;span class="ml"&gt;ギリシャ語に由来する語で、以下の2つの要素から成る。
&lt;span class="spacer"&gt;&lt;/span&gt;bios（生命）
ikos（形容詞化）
&lt;span class="obsolete"&gt;anti（〜に反対して）はフランス語段階で付いた&lt;/span&gt;
&lt;span class="spacer"&gt;&lt;/span&gt;このまま日本語にすると「生命に対するもの」となる。ここでいう生命は、人間の体内で悪さをする微生物を表し、それに対抗するものとして「抗生物質」を指す。&lt;/span&gt;</t>
  </si>
  <si>
    <t>vaccination（ワクチン接種, 予防接種）も関連させて覚える。</t>
  </si>
  <si>
    <t>&lt;span class="w"&gt;&lt;b&gt;【960.vaccine：ワクチン】&lt;/b&gt;&lt;/span&gt;
&lt;span class="ml"&gt;ラテン語vacca（牛）に由来する。
&lt;span class="spacer"&gt;&lt;/span&gt;18世紀後期、世界中では天然痘という恐ろしい感染症が猛威を振るっていた。そんな中、イギリス人医師エドワード・ジェンナーは、農村で牛の乳搾りをしている女性たちは、天然痘にかからない、あるいはかかっても非常に軽い症状で済むという噂に目をつけた。
&lt;span class="spacer"&gt;&lt;/span&gt;彼女たちは日常的に牛と接する中で、人間の天然痘よりもはるかに症状の軽い牛痘（牛の病気）に感染し、知らず知らずのうちに免疫を獲得していた。ジェンナーは牛からとれた（vaccinus）成分を人間に接種することで、天然痘を防ぐ画期的な方法（種痘）を確立し、これが世界初のワクチンとなった。
&lt;span class="spacer"&gt;&lt;/span&gt;つまり「ワクチン」の語源は文字通り牛からとれたものという意味。後に天然痘以外のすべての予防接種液に対してもvaccineという語が使われるようになった。&lt;/span&gt;</t>
  </si>
  <si>
    <t>1800年、vaccination（予防接種）
人に牛痘ウイルスを注入することで天然痘を予防する行為
予防接種, ワクチン接種
&lt;span class="spacer"&gt;&lt;/span&gt;1846年
vaccine（ワクチン）
予防接種で使われるもの, ワクチン</t>
  </si>
  <si>
    <t>日本語でもメタファーという言葉は使われる。</t>
    <rPh sb="13" eb="15">
      <t>コトバ</t>
    </rPh>
    <phoneticPr fontId="1"/>
  </si>
  <si>
    <t>&lt;span class="w"&gt;&lt;b&gt;【961.metaphor：隠喩, 比喩】&lt;/b&gt;&lt;/span&gt;
&lt;span class="ml"&gt;ギリシャ語に由来する語で、以下の2つの要素から成る。
&lt;span class="spacer"&gt;&lt;/span&gt;meta（越えて）
pherein（運ぶ, 持つ）
&lt;span class="spacer"&gt;&lt;/span&gt;このまま日本語にすると「越えて運ぶ」となる。ある言葉が含むイメージを他の言葉へ持ち運ぶことから「隠喩, 比喩」という意味になる。たとえば「この扉は岩だ」と言うとき、岩がもつ「重い、動かない」といったイメージが扉へ持ち込まれている。&lt;/span&gt;&lt;/span&gt;</t>
  </si>
  <si>
    <t>&lt;span class="w"&gt;&lt;b&gt;【962.folk：人々, （folks）みなさん】&lt;/b&gt;&lt;/span&gt;
&lt;span class="ml"&gt;古英語folc（人々, 一般民衆, 民族）にさかのぼる。
&lt;span class="spacer"&gt;&lt;/span&gt;古英語から意味の変化はほとんどない。&lt;/span&gt;</t>
  </si>
  <si>
    <t>&lt;span class="w"&gt;&lt;b&gt;【963.fare：運賃, 乗り物の料金】&lt;/b&gt;&lt;/span&gt;
&lt;span class="ml"&gt;古英語fær（旅, 道, 通行）にさかのぼる。
&lt;span class="spacer"&gt;&lt;/span&gt;この語の核は「旅」。もともとは旅自体や、それに関連する旅で行く道、どこかを通行することなどを表した。そこから、スコットランドにおいて、乗り物による運送という意味へ発展し、旅というニュアンスが乗り物による移動へと変化した。その結果、「運賃, 乗り物の料金」という意味になった。&lt;/span&gt;</t>
  </si>
  <si>
    <t>15世紀初頭
スコットランド語で、運送すること</t>
  </si>
  <si>
    <t>it</t>
  </si>
  <si>
    <t>&lt;span class="w"&gt;&lt;b&gt;【964.transition：移り変わり, 移行】&lt;/b&gt;&lt;/span&gt;
&lt;span class="ml"&gt;ラテン語に由来する語で、以下の2つの要素から成る。
&lt;span class="spacer"&gt;&lt;/span&gt;trans（越えて, 向こう）
ire（行く）
io（名詞化）
&lt;span class="spacer"&gt;&lt;/span&gt;このまま日本語にすると「越えて行くこと」となる。そこからある状態から別の状態へ越えて行くこと、つまり「移行, 移り変わり」という意味になる。
&lt;div class="sample_image transition"&gt;&lt;/div&gt;&lt;/span&gt;</t>
    <phoneticPr fontId="1"/>
  </si>
  <si>
    <t>天の川（the Milky Way：ミルクの道）やギリシャ神話と関連させて覚える。</t>
  </si>
  <si>
    <t>&lt;span class="w"&gt;&lt;b&gt;【966.galaxy：星雲, 銀河】&lt;/b&gt;&lt;/span&gt;
&lt;span class="ml"&gt;ギリシャ語に由来する語で、以下の2つの要素から成る。
&lt;span class="spacer"&gt;&lt;/span&gt;gala（乳）
ias（形容詞化）
&lt;span class="spacer"&gt;&lt;/span&gt;星やガスや塵が集まって見える天の川は、その見た目が乳白色であることから、ギリシャ神話の女神の乳（gala, galaxias）からできたものと語られていた。ここからgalaxyが天の川を指すようになり、さらに天の川のような「銀河」やその一部であるガスや塵の集まり「星雲」を意味するようになった。
&lt;span class="spacer"&gt;&lt;/span&gt;天の川が英語でthe Milky Way（ミルクの道）になるのも同様の理由。&lt;/span&gt;</t>
  </si>
  <si>
    <t>gala（乳）
&lt;span class="spacer"&gt;&lt;/span&gt;形容詞を作るiasが付いて
galaxias（乳の）</t>
  </si>
  <si>
    <t>&lt;span class="w"&gt;&lt;b&gt;【967.mineral：鉱物, ミネラル】&lt;/b&gt;&lt;/span&gt;
&lt;span class="ml"&gt;ラテン語にminera（鉱山）に由来する。
&lt;span class="spacer"&gt;&lt;/span&gt;この語の核は「鉱山で採掘されたもの」。そこから「鉱物, ミネラル」という意味になった。&lt;/span&gt;</t>
  </si>
  <si>
    <t>ゴルフでボールを打つストロークや、水泳の1回手で水をかいて進むストロークのような一瞬の打撃やパワーと関連させて覚える。</t>
  </si>
  <si>
    <t>&lt;span class="w"&gt;&lt;b&gt;【965.maximum：最大限】&lt;/b&gt;&lt;/span&gt;
&lt;span class="ml"&gt;ラテン語に由来する語で、以下の2つの要素から成る。
&lt;span class="spacer"&gt;&lt;/span&gt;magnus（大きな, 多い, 偉大な）
imus（最上級を作る）
um（名詞化）
&lt;span class="spacer"&gt;&lt;/span&gt;このまま日本語にすると「最も大きいこと」、つまり「最大限」という意味になる。&lt;/span&gt;</t>
  </si>
  <si>
    <t>&lt;span class="w"&gt;&lt;b&gt;【968.skeleton：骨格, 骨組み】&lt;/b&gt;&lt;/span&gt;
&lt;span class="ml"&gt;ギリシャ語skellein（乾燥させる, 干からびさせる）に由来し、skeleton soma（干からびた体, ミイラ, 骸骨）というフレーズで使われた。
&lt;span class="spacer"&gt;&lt;/span&gt;もともとは、skeleton somaで干からびて骨だけになった体を表したが、skeletonで「骨格」を意味するようになった。また体の骨格から比喩的に、ものごとの「骨組み」を意味するようになった。&lt;/span&gt;</t>
  </si>
  <si>
    <t>&lt;span class="w"&gt;&lt;b&gt;【969.counterpart：相当する物や人】&lt;/b&gt;&lt;/span&gt;
&lt;span class="ml"&gt;フランス語に由来する語で、以下の2つの要素から成る。
&lt;span class="spacer"&gt;&lt;/span&gt;contra（対して）
partie（分けられたもの, 部分, 写し）
&lt;span class="spacer"&gt;&lt;/span&gt;このまま日本語にすると「何かに対応させて分けられたもの」となる。もともとは法的な文書を写して分けたものを表した。法的文書の写しは元の文書と同等のものであることから、一般的な意味に発展し、何かに「相当する物や人」という意味になった。&lt;/span&gt;</t>
  </si>
  <si>
    <t>&lt;span class="w"&gt;&lt;b&gt;【970.stroke：脳卒中, （雷などの）一撃, （ボールなどを）打つこと】&lt;/b&gt;&lt;/span&gt;
&lt;span class="ml"&gt;中英語にさかのぼる。
&lt;span class="spacer"&gt;&lt;/span&gt;この語の核は「瞬間的な打撃」。
そこから
①雷などの瞬間的な「一撃」
②ゴルフやテニスなど、一瞬のタイミングでボールを「打つこと」
③瞬間的に頭を殴られたような痛みに襲われる「脳卒中」という意味になる。&lt;/span&gt;</t>
  </si>
  <si>
    <t>pedestrianのped部分はpedal（ペダル）と同じで「足」を表す。</t>
  </si>
  <si>
    <t>&lt;span class="w"&gt;&lt;b&gt;【971.pedestrian：歩行者】&lt;/b&gt;&lt;/span&gt;
&lt;span class="ml"&gt;ラテン語に由来する語で、以下の2つの要素から成る。
&lt;span class="spacer"&gt;&lt;/span&gt;pes（足）から派生したpedes（歩行者）
&lt;span class="obsolete"&gt;ian（〜する人）は英語段階で付いた&lt;/span&gt;
&lt;span class="spacer"&gt;&lt;/span&gt;この語の核は「足」。馬に乗って行くのではなく、足で行くことから「歩行者」という意味になる。このラテン語からはpedal（ペダル）も生まれている。&lt;/span&gt;</t>
  </si>
  <si>
    <t>&lt;span class="w"&gt;&lt;b&gt;【972.trail：小道, 跡】&lt;/b&gt;&lt;/span&gt;
&lt;span class="ml"&gt;古フランス語trailler（引く, 引きずる）に由来する。
&lt;span class="spacer"&gt;&lt;/span&gt;この語の核は「引きずってできたもの」。人や動物が通って引かれた「跡」や、繰り返し通ることでできる「小道」という意味になる。&lt;/span&gt;</t>
  </si>
  <si>
    <t>&lt;span class="w"&gt;&lt;b&gt;【973.ecology：生態学, 生態系, 環境保護】&lt;/b&gt;&lt;/span&gt;
&lt;span class="ml"&gt;ギリシャ語から造られた語で、以下の2つの要素から成る。
&lt;span class="spacer"&gt;&lt;/span&gt;oikos（家, 居住地）
logia（学問, 研究）
&lt;span class="spacer"&gt;&lt;/span&gt;このまま日本語にすると「居住地に関する学問」となる。これは生物の住む場所つまり自然環境と、そこに住む生物の関係＝「生態系」を研究する学問である「生態学」という意味になる。
&lt;span class="spacer"&gt;&lt;/span&gt;また、生物の生息環境を破壊しない活動に対してこの語が使われるようになって「環境保護」と意味になった。&lt;/span&gt;</t>
  </si>
  <si>
    <t>&lt;span class="w"&gt;&lt;b&gt;【974.sibling：きょうだいの1人】&lt;/b&gt;&lt;/span&gt;
&lt;span class="ml"&gt;古英語にさかのぼる語で、以下の2つの要素から成る。
&lt;span class="spacer"&gt;&lt;/span&gt;sibb（親族関係, 血縁関係）
ling（〜に属する人）にさかのぼる。
&lt;span class="spacer"&gt;&lt;/span&gt;男女問わず親類という広い意味から「きょうだい」へ特化した。brother / sisterのように性別を特定しない使い方ができる便利な語。&lt;/span&gt;</t>
  </si>
  <si>
    <t>rat</t>
  </si>
  <si>
    <t>io</t>
  </si>
  <si>
    <t>&lt;span class="w"&gt;&lt;b&gt;【975.ratio：比率】&lt;/b&gt;&lt;/span&gt;
&lt;span class="ml"&gt;ラテン語に由来する語で、以下の2つの要素から成る。
&lt;span class="spacer"&gt;&lt;/span&gt;reri（計算する, 考える）
io（名詞化）
&lt;span class="spacer"&gt;&lt;/span&gt;この語の核は「論理的な思考」。そこから計算すること、考えることの2つを表したが、英語に入ってくるまでに計算系の語と思考系の語に分かれた。
&lt;span class="spacer"&gt;&lt;/span&gt;計算系の語はratioとなり、数学において、あるものと別のものの数量を比べる「比率」という意味で使われるようになった。
&lt;span class="spacer"&gt;&lt;/span&gt;一方、思考系の語はreasonとなり、理由や理性を意味するようになった。&lt;/span&gt;&lt;/span&gt;</t>
  </si>
  <si>
    <t>reri（計算する, 考える）
&lt;span class="spacer"&gt;&lt;/span&gt;名詞を作る-ioが付いて
ratio（計算, 手続き, 判断, 理由, 理性）</t>
  </si>
  <si>
    <t>&lt;span class="w"&gt;&lt;b&gt;【976.mixture：混合（物）】&lt;/b&gt;&lt;/span&gt;
&lt;span class="ml"&gt;ラテン語に由来する語で、以下の2つの要素から成る。
&lt;span class="spacer"&gt;&lt;/span&gt;miscere（混ぜる）
ura（名詞化）
&lt;span class="spacer"&gt;&lt;/span&gt;このまま日本語にすると「混ぜること」となる。そこから混ぜ合わせる行為、つまり「混合」という意味になった。また混ぜ合わせることで出来上がる「混合物」という意味にもなった。&lt;/span&gt;</t>
  </si>
  <si>
    <t>日本語でも使われるチャームポイント（魅力）と関連させて覚える。</t>
  </si>
  <si>
    <t>&lt;span class="w"&gt;&lt;b&gt;【977.charm：魅力, お守り】&lt;/b&gt;&lt;/span&gt;
&lt;span class="ml"&gt;ラテン語canere（歌う）から派生したcarmen（歌, 詩, 魔法, 呪文）に由来する。
&lt;span class="spacer"&gt;&lt;/span&gt;古代の世界では、神や精霊と交信するための歌や詩は、そのまま不思議な力を持つ呪文（魔法の言葉）として扱われていた。そのため歌から、魔力が込められた物＝「お守り」や、魔法をかけたみたいに相手を惹きつける「魅力」という意味になった。&lt;/span&gt;</t>
  </si>
  <si>
    <t>英語のradish（ラディッシュ, 大根）と関連させて覚える。</t>
  </si>
  <si>
    <t>&lt;span class="w"&gt;&lt;b&gt;【980.radical：急進的な, 根本的な】&lt;/b&gt;&lt;/span&gt;
&lt;span class="ml"&gt;ラテン語に由来する語で、以下の2つの要素から成る。
&lt;span class="spacer"&gt;&lt;/span&gt;radix（根）
alis（形容詞化）
&lt;span class="spacer"&gt;&lt;/span&gt;植物の根から、比喩的に物事の根本を表すようになって「根本的な」という意味になった。根という意味は、同じラテン語から生まれたradish（大根）や数学のルート（√：根号）にも残っている。
&lt;span class="spacer"&gt;&lt;/span&gt;また政治において、問題の表面ではなく、根本から改革しようとする人々を指すようになる。そうした人たちの改革は、保守派からしたら極端で激しいものだったため、「過激な, 急進的な」という意味にもなった。&lt;/span&gt;</t>
  </si>
  <si>
    <t>&lt;span class="w"&gt;&lt;b&gt;【982.informal：形式ばらない】&lt;/b&gt;&lt;/span&gt;
&lt;span class="ml"&gt;ラテン語に由来する語で、以下の3つの要素から成る。
&lt;span class="spacer"&gt;&lt;/span&gt;&lt;span class="obsolete"&gt;in（否定）は英語段階で付いた&lt;/span&gt;
forma（形, 型）
alis（形容詞化）
&lt;span class="spacer"&gt;&lt;/span&gt;形や型を表すformから、決まった型があるformalになる。そしてそれを否定したinformalは「型がない, 形式ばらない」という意味になる。&lt;/span&gt;</t>
  </si>
  <si>
    <t>communicateやcommonなどと関連させて覚える。</t>
  </si>
  <si>
    <t>&lt;span class="w"&gt;&lt;b&gt;【983.mutual：相互の, 共通の】&lt;/b&gt;&lt;/span&gt;
&lt;span class="ml"&gt;印欧祖語*mei-（変える, 交換）に由来する。
&lt;span class="spacer"&gt;&lt;/span&gt;この語の核は「あるものと別のものを交換する」。交換という双方向のやりとりから「相互の, 共通の」という意味になった。
&lt;span class="spacer"&gt;&lt;/span&gt;双方向の情報交換を意味するcommunicate（意思疎通する）のmu部分も同じ印欧祖語に遡る。&lt;/span&gt;</t>
  </si>
  <si>
    <t>&lt;span class="w"&gt;&lt;b&gt;【984.neutral：中立の】&lt;/b&gt;&lt;/span&gt;
&lt;span class="ml"&gt;ラテン語に由来する語で、以下の3つの要素から成る。
&lt;span class="spacer"&gt;&lt;/span&gt;ne（否定）
uter（どちらか一方）
alis（形容詞化）
&lt;span class="spacer"&gt;&lt;/span&gt;このまま日本語にすると「どちらか一方ではない」となる。どちらか一方に偏ることなく真ん中にいることから「中立の」という意味になる｡
&lt;span class="spacer"&gt;&lt;/span&gt;もとになったラテン語ne（否定）＋uter（どちらか一方）は、イメージとしてはnot either（どちらでもない）に近い。&lt;/span&gt;</t>
  </si>
  <si>
    <t>&lt;span class="w"&gt;&lt;b&gt;【985.alert：警戒して】&lt;/b&gt;&lt;/span&gt;
&lt;span class="ml"&gt;［ert部分］
ラテン語に由来する語で、以下の2つの要素から成る。
&lt;span class="spacer"&gt;&lt;/span&gt;ex（外に, 上に）
regere（導く）
&lt;span class="spacer"&gt;&lt;/span&gt;［al+ert］
イタリア語に由来する語で、以下の3つの要素から成る。
&lt;span class="spacer"&gt;&lt;/span&gt;a（〜へ）
la（＝the）
erta（高い塔, 見張り台）
&lt;span class="spacer"&gt;&lt;/span&gt;ラテン語の「上に導く（erigere）」から派生した言葉が「高く持ち上げられた場所（erta）」となり、それがイタリア語で「高台」や「見張り台」を表すようになった。そして、兵士に対する「見張り台へ！（all'erta）」という軍事的な呼びかけの言葉が、フランス語を経由して英語に取り入れられ、alert「警戒して」という意味になった。&lt;/span&gt;</t>
  </si>
  <si>
    <t>&lt;span class="w"&gt;&lt;b&gt;【986.magnetic：磁気の, 磁石の】&lt;/b&gt;&lt;/span&gt;
&lt;span class="ml"&gt;ギリシャ語ho Magnes lithos（マグネシアの石）に由来する。
&lt;span class="spacer"&gt;&lt;/span&gt;マグネシアとは古代ギリシャの地名で、磁石になる石が採れた場所を表す。この地名から磁石を意味するマグネットや、magnetic「磁石の, 磁気の」という語が生まれた。&lt;/span&gt;</t>
  </si>
  <si>
    <t>pole（ポール, 棒, 極）と関連させて覚える。</t>
  </si>
  <si>
    <t>&lt;span class="w"&gt;&lt;b&gt;【987.polar：極地の, 極の】&lt;/b&gt;&lt;/span&gt;
&lt;span class="ml"&gt;ギリシャ語に由来する語で、以下の2つの要素から成る。
&lt;span class="spacer"&gt;&lt;/span&gt;pólos（球体の軸, 回転軸）
&lt;span class="obsolete"&gt;arius（形容詞化）はラテン語段階で付いた&lt;/span&gt;
&lt;span class="spacer"&gt;&lt;/span&gt;古代の人々が夜空を見上げると、星々は北極星付近のある一点を中心にして、まるで巨大な球体（天球）が回っているようにぐるぐると回転していた。この星空の回転の中心となる軸をギリシャ人はpólosと呼んだ。
&lt;span class="spacer"&gt;&lt;/span&gt;そこから地球の北極と南極を表す「極の」という意味になり、さらに抽象化して、物事が正反対である「対極の」という意味にもなった。
&lt;span class="spacer"&gt;&lt;/span&gt;polarは、軸を意味するpole（ポール）と同じ語源にさかのぼる。またホッキョクグマは英語でpolar bearと言う。&lt;/span&gt;</t>
  </si>
  <si>
    <t>pólos（球体の軸, 回転軸）</t>
  </si>
  <si>
    <t>&lt;span class="w"&gt;&lt;b&gt;【988.fluent：流ちょうな】&lt;/b&gt;&lt;/span&gt;
&lt;span class="ml"&gt;ラテン語fluere（流れる, 流れ出る）に由来する。
&lt;span class="spacer"&gt;&lt;/span&gt;もともとは物理的な流れるという意味だったが、そこから水が流れるように言葉が出てくることから「流ちょうな」という意味になった。
&lt;span class="spacer"&gt;&lt;/span&gt;このfl部分の「流れる」というイメージは、fluid（液体）やinfluence（影響）、インフルエンザのfluにも見られる。&lt;/span&gt;</t>
  </si>
  <si>
    <t>&lt;span class="w"&gt;&lt;b&gt;【989.external：外部の, 外側にある】&lt;/b&gt;&lt;/span&gt;
&lt;span class="ml"&gt;ラテン語ex（外へ）から派生したexternus（外部の, 外側に属する）に由来する。&lt;span class="obsolete"&gt;al（形容詞化）は英語段階で付いた。&lt;/span&gt;
&lt;span class="spacer"&gt;&lt;/span&gt;内と外という構造的な位置関係において、内側ではなく「外部の, 外側にある」という意味になる。&lt;/span&gt;</t>
  </si>
  <si>
    <t>&lt;span class="w"&gt;&lt;b&gt;【990.passive：受動的な, 消極的な】&lt;/b&gt;&lt;/span&gt;
&lt;span class="ml"&gt;ラテン語に由来する語で、以下の2つの要素から成る。
&lt;span class="spacer"&gt;&lt;/span&gt;pati（苦しむ, 耐える）
ivus（形容詞化）
&lt;span class="spacer"&gt;&lt;/span&gt;この語の核は「外部から苦痛や困難を受ける」。これはpassion（情熱）やpatient（忍耐強い, 患者）といった語にも共通しており、自らの主体的行為ではなく、外部から何かを受けることを表す。そこから「受動的な」という意味になり、さらに積極的ではないため「消極的な」という意味になった。&lt;/span&gt;</t>
  </si>
  <si>
    <t>pati（苦しむ, 耐える）
&lt;span class="spacer"&gt;&lt;/span&gt;過去分詞passus
&lt;span class="spacer"&gt;&lt;/span&gt;形容詞を作る-ivusが付いて
passivus（感じる・苦しむ能力がある）</t>
  </si>
  <si>
    <t>&lt;span class="w"&gt;&lt;b&gt;【991.awful：ひどい, 嫌な, ものすごい】&lt;/b&gt;&lt;/span&gt;
&lt;span class="ml"&gt;古英語にさかのぼる語で、以下の2つの要素から成る。
&lt;span class="spacer"&gt;&lt;/span&gt;ege（恐れ, 畏怖）
full（満ちた）
&lt;span class="spacer"&gt;&lt;/span&gt;このまま日本語にすると「恐れや畏怖に満ちた」となる。この恐れとは単なる恐怖ではなく、人間の力を超えた神や大自然などの圧倒的な力の前にひれ伏したくなるような畏れを表した。
&lt;span class="spacer"&gt;&lt;/span&gt;もともとは神聖なものを畏れ敬うことを表したこの語は、次第にそのニュアンスが失われていき、very badのようなただのネガティブな程度表現となり、「ひどい, 嫌な」という意味になった。
&lt;span class="spacer"&gt;&lt;/span&gt;同じくaweから生まれた語でawesomeがある。こちらは、awefulとは反対にポジティブな評価へと発展して「素晴らしい, 最高の」という意味になった。
&lt;span class="spacer"&gt;&lt;/span&gt;名詞awe（畏怖, 畏敬）はもとの意味を保ってる。&lt;/span&gt;</t>
  </si>
  <si>
    <t>&lt;span class="w"&gt;&lt;b&gt;【992.unrelated：無関係の, 血縁関係がない】&lt;/b&gt;&lt;/span&gt;
&lt;span class="ml"&gt;近代英語にさかのぼり、以下の2つの要素から成る。
&lt;span class="spacer"&gt;&lt;/span&gt;un（否定）
related（関係のある）
&lt;span class="spacer"&gt;&lt;/span&gt;このまま日本語にすると「無関係の, 血縁関係がない」という意味になる。&lt;/span&gt;</t>
  </si>
  <si>
    <t>&lt;span class="w"&gt;&lt;b&gt;【993.cruel：残酷な】&lt;/b&gt;&lt;/span&gt;
&lt;span class="ml"&gt;ラテン語に由来する語で、以下の2つの要素から成る。
&lt;span class="spacer"&gt;&lt;/span&gt;crudus（生の, 血生臭い, 未加工の）
elis（形容詞化）
&lt;span class="spacer"&gt;&lt;/span&gt;もともとの調理されていなくて生の、血生臭いという物理的な状態が、比喩的に人間的な温かみがなく無慈悲であるという心理的・性格的な意味へと変化して「残酷な」という意味になった。
&lt;span class="spacer"&gt;&lt;/span&gt;cruelは、crude（未加工の, 粗野な）やraw（生の）と同じ印欧祖語にさかのぼる。&lt;/span&gt;</t>
  </si>
  <si>
    <t>*kreue- （生肉、流れる血）</t>
  </si>
  <si>
    <t>&lt;span class="w"&gt;&lt;b&gt;【994.fake：偽の】&lt;/b&gt;&lt;/span&gt;
&lt;span class="ml"&gt;語源不明。1700年代後期に、ロンドンの犯罪者仲間の隠語として使われていたことが確認されている。&lt;/span&gt;</t>
  </si>
  <si>
    <t>動詞urge（強く促す）と関連させて覚える。</t>
  </si>
  <si>
    <t>&lt;span class="w"&gt;&lt;b&gt;【996.urgent：緊急の】&lt;/b&gt;&lt;/span&gt;
&lt;span class="ml"&gt;ラテン語urgere（強く押す, 促す）に由来する。
&lt;span class="spacer"&gt;&lt;/span&gt;この語の核は「強く背中を押して促す」。背中をグッと押されるように、時間的に余裕がなく差し迫っていることから「緊急の」という意味になる。&lt;/span&gt;</t>
  </si>
  <si>
    <t>&lt;span class="w"&gt;&lt;b&gt;【997.spiritual：精神の, 霊的な】&lt;/b&gt;&lt;/span&gt;
&lt;span class="ml"&gt;ラテン語に由来する語で、以下の2つの要素から成る。
&lt;span class="spacer"&gt;&lt;/span&gt;spiritus（息, 呼吸, 神の息吹, 生命の息吹, 生命）
alis（形容詞化）
&lt;span class="spacer"&gt;&lt;/span&gt;息は生命の象徴であり、神が息を吹き込んで生命を与えるという考えが古代の宗教に見られる。生命とは物質である肉体を生かし、動かし、行動させる原動力のようなもの。その非物質的なものは精神、神による働きかけだと考えられたことから、息から「精神の, 霊的な」という意味になった。&lt;/span&gt;</t>
  </si>
  <si>
    <t>&lt;span class="w"&gt;&lt;b&gt;【998.modest：謙虚な, 適度な, 質素な】&lt;/b&gt;&lt;/span&gt;
&lt;span class="ml"&gt;ラテン語に由来する語で、以下の2つの要素から成る。
&lt;span class="spacer"&gt;&lt;/span&gt;modus（尺度, 方法）
tus（形容詞化）
&lt;span class="spacer"&gt;&lt;/span&gt;この語の核は「尺度の中に収まっている」。出過ぎることなくちょうどよい感じから「謙虚な, 適度な, 質素な」という意味になる。ラテン語modusは英語modelの語源でもあるため、モデル（基準）の中に収まっていて出過ぎていない、とイメージしてもよい。&lt;/span&gt;</t>
  </si>
  <si>
    <t>「キーン」という発音の「鋭い感じ」から意味を覚える。</t>
  </si>
  <si>
    <t>&lt;span class="w"&gt;&lt;b&gt;【999.keen：熱心な, 鋭い】&lt;/b&gt;&lt;/span&gt;
&lt;span class="ml"&gt;古英語cane（勇敢な, 賢い, 有能な）にさかのぼる。
&lt;span class="spacer"&gt;&lt;/span&gt;この語の核は「一点に向かう鋭さ」。古英語ではもともと、勇敢で有能で賢いという人物の性質を表す語だった。中英語になると、有能つまり頭がキレるということから比喩的に、刃物などが物理的に「鋭い」という意味になった。さらにその一点に集中して尖っている様子から、人の心が一点に集中していることを表し、「熱心な」という意味になった。&lt;/span&gt;</t>
  </si>
  <si>
    <t>&lt;span class="w"&gt;&lt;b&gt;【1000.nonetheless：それにもかかわらず, それでもなお】&lt;/b&gt;&lt;/span&gt;
&lt;span class="ml"&gt;関連語のneverthelessを参照。&lt;/span&gt;</t>
  </si>
  <si>
    <t>&lt;span class="w"&gt;&lt;b&gt;【978.ambition：願望, 野望】&lt;/b&gt;&lt;/span&gt;
&lt;span class="ml"&gt;ラテン語に由来する語で、以下の3つの要素から成る。
&lt;span class="spacer"&gt;&lt;/span&gt;amb（周囲に）
ire（行く）
io（名詞化）
&lt;span class="spacer"&gt;&lt;/span&gt;このまま日本語にすると「周囲を行くこと」となる。もともとは選挙で票を得るためにあちこち行くことを表し、名誉や権力を求めて走るという政治的な活動を指していた。そこから一般的に、何かを成し遂げようとする前向きな気持ちを表すようになって「願望, 野望」という意味になった。
&lt;div class="sample_image ambition"&gt;&lt;/div&gt;&lt;/span&gt;</t>
  </si>
  <si>
    <t>&lt;span class="w"&gt;&lt;b&gt;【979.prominent：卓越した, 目立つ】&lt;/b&gt;&lt;/span&gt;
&lt;span class="ml"&gt;ラテン語に由来する語で、以下の2つの要素から成る。
&lt;span class="spacer"&gt;&lt;/span&gt;pro（前へ）
minere（突き出る）
&lt;span class="spacer"&gt;&lt;/span&gt;このまま日本語にすると「前へ突き出る」となる。他と比べて前へ突出しているということを表し、「目立つ, 卓越した」という意味になった。
&lt;div class="sample_image prominent"&gt;&lt;/div&gt;&lt;/span&gt;</t>
  </si>
  <si>
    <t>&lt;span class="w"&gt;&lt;b&gt;【981.prompt：迅速な】&lt;/b&gt;&lt;/span&gt;
&lt;span class="ml"&gt;ラテン語に由来する語で、以下の2つの要素から成る。
&lt;span class="spacer"&gt;&lt;/span&gt;pro（前に）
emere（取る）
&lt;span class="spacer"&gt;&lt;/span&gt;このまま日本語にすると「前に取り出す」となる。目の前に取り出してあってすぐに使える状態というところから、すぐ対応できる＝「迅速な」という意味になった。
&lt;div class="sample_image prompt"&gt;&lt;/div&gt;&lt;/span&gt;</t>
  </si>
  <si>
    <t>vulnerableのvuln部分は「傷」という意味。</t>
    <rPh sb="15" eb="17">
      <t>ブブン</t>
    </rPh>
    <rPh sb="19" eb="20">
      <t>キズ</t>
    </rPh>
    <rPh sb="24" eb="26">
      <t>イミ</t>
    </rPh>
    <phoneticPr fontId="1"/>
  </si>
  <si>
    <t>&lt;span class="w"&gt;&lt;b&gt;【1001.negotiate：交渉する, （交渉して）取り決める】&lt;/b&gt;&lt;/span&gt;
&lt;span class="ml"&gt;ラテン語に由来する語で、以下の2つの要素から成る。
&lt;span class="spacer"&gt;&lt;/span&gt;neg（否定）
otium（余暇）
&lt;span class="spacer"&gt;&lt;/span&gt;このまま日本語にすると「余暇がない」となる。もともとは、古代ローマにおいて、暇がなく忙しく働いている状態を表した。そこから、商取引において不可欠な条件のすり合わせに意味が特化していって「交渉する」そして結果的に何かを「取り決める」という意味になった。&lt;/span&gt;</t>
  </si>
  <si>
    <t>&lt;span class="w"&gt;&lt;b&gt;【1002.grasp：〜を把握する, 〜を理解する, 〜をしっかり握る】&lt;/b&gt;&lt;/span&gt;
&lt;span class="ml"&gt;印欧祖語*ghrebh-（つかむ）に由来する。
&lt;span class="spacer"&gt;&lt;/span&gt;gripやgrabのgrと同じで、この語の核は「つかむ」。物理的に「しっかり握る」という意味から、比喩的に意味や考えなどをつかむ＝「把握する, 理解する」という意味にもなる。&lt;/span&gt;</t>
  </si>
  <si>
    <t>日本語でも使われる臓器や血液を提供するドナーと関連させて覚える。</t>
  </si>
  <si>
    <t>&lt;span class="w"&gt;&lt;b&gt;【1003.donate：〜を寄付する, （臓器や血液）を提供する】&lt;/b&gt;&lt;/span&gt;
&lt;span class="ml"&gt;ラテン語donum（贈り物）に由来する。
&lt;span class="spacer"&gt;&lt;/span&gt;もともとは贈り物を表したが、そこから見返りを求めずに何かを無償で与える行為へと発展して「寄付する, 臓器提供する」という意味になった。
&lt;span class="spacer"&gt;&lt;/span&gt;臓器移植のドナー（donor）はdonateの派生語。&lt;/span&gt;</t>
  </si>
  <si>
    <t>&lt;span class="w"&gt;&lt;b&gt;【1005.crack：ひびが入る, 〜にひびを入れる】&lt;/b&gt;&lt;/span&gt;
&lt;span class="ml"&gt;古英語cracian（鋭い音を立てる）にさかのぼる。
&lt;span class="spacer"&gt;&lt;/span&gt;おそらくもともとは擬音語で、クラックは何かで生じる鋭い音を表していた。日本語で言えば「ガシャン, カキン, パリン」に近いと思われる。そうした鋭い音は何かが壊れる際に立つので「ひびが入る, ひびを入れる」という意味になった。&lt;/span&gt;</t>
  </si>
  <si>
    <t>&lt;span class="w"&gt;&lt;b&gt;【1006.tap：①〜を軽く叩く, ②（液体など）を出す, 〜を盗聴する】&lt;/b&gt;&lt;/span&gt;
&lt;span class="ml"&gt;①と②は語源が異なる
&lt;span class="spacer"&gt;&lt;/span&gt;①中英語tappen（軽く叩く, 軽く叩いて音を立てる）にさかのぼる。
&lt;span class="spacer"&gt;&lt;/span&gt;これは叩く音を表した擬音語と考えられる。日本語で言うと「ポン, パッ」のイメージ。そこから「軽く叩く」という意味になる。
&lt;span class="spacer"&gt;&lt;/span&gt;②中英語tappe（蛇口）にさかのぼる。
&lt;span class="spacer"&gt;&lt;/span&gt;蛇口という物の名前から「液体を出す」という動詞になった。また蛇口から液体を出すように秘密裏に情報を抜き出すことから「盗聴する」という意味にもなった。&lt;/span&gt;</t>
  </si>
  <si>
    <t>&lt;span class="w"&gt;&lt;b&gt;【1007.split：〜を分割する, 分裂する】&lt;/b&gt;&lt;/span&gt;
&lt;span class="ml"&gt;近代英語期の1580年代に現れた語。語源は不明だが、おそらく中低地ドイツ語や中オランダ語splitten（裂く, 割る）に由来すると考えら、そのまま「分割する, 分裂する」という意味になった。。&lt;/span&gt;</t>
  </si>
  <si>
    <t>&lt;span class="w"&gt;&lt;b&gt;【1010.overlook：〜を見落とす, 〜を大目に見る, 〜を見渡す】&lt;/b&gt;&lt;/span&gt;
&lt;span class="ml"&gt;中英語にさかのぼる語で、以下の2つの要素から成る。
&lt;span class="spacer"&gt;&lt;/span&gt;over（越えて）
loken（見る）
&lt;span class="spacer"&gt;&lt;/span&gt;このまま日本語にすると「越えて見る」となる。高い位置から色々なものを越えて全体を見ることから「見渡す」という意味になる。
&lt;span class="spacer"&gt;&lt;/span&gt;また対象を飛び越えて見てしまうことから「見落とす」、相手がしたことを意図的に注意せず見落とすことから「大目に見る」という意味にもなる。&lt;/span&gt;</t>
  </si>
  <si>
    <t>&lt;span class="w"&gt;&lt;b&gt;【1011.burst：破裂する, （into）突然始める】&lt;/b&gt;&lt;/span&gt;
&lt;span class="ml"&gt;古英語berstan（突然壊れる, 破裂する）にさかのぼる。
&lt;span class="spacer"&gt;&lt;/span&gt;「破裂する」からburst intoで破裂するように勢いよくある行動や状態に入ることを表し、「突然始める」という意味になった。&lt;/span&gt;</t>
  </si>
  <si>
    <t>&lt;span class="w"&gt;&lt;b&gt;【1012.heal：（人や傷など）を癒す】&lt;/b&gt;&lt;/span&gt;
&lt;span class="ml"&gt;印欧祖語*kailo-（完全な）に由来する。これはwhole（完全な, 全体の）やhealth（健康）の語源でもある。健康（health）とは、何も欠けていない完全な状態（whole）を表す。
&lt;span class="spacer"&gt;&lt;/span&gt;healという動詞の核は「誰かを完全な状態（whole）にする」。そこから何も損なわれていない健康な状態にする、つまり「癒す」という意味になる。
&lt;span class="spacer"&gt;&lt;/span&gt;healの意味は、health（健康）から名詞化するthを取って「健康にする」とイメージしてもよい。&lt;/span&gt;</t>
  </si>
  <si>
    <t>&lt;span class="w"&gt;&lt;b&gt;【1013.forbid：〜を禁じる】&lt;/b&gt;&lt;/span&gt;
&lt;span class="ml"&gt;古英語にさかのぼり、以下の2つの要素から成る。
&lt;span class="spacer"&gt;&lt;/span&gt;
for（否定, 完全）＋beodan（命じる）
&lt;span class="spacer"&gt;&lt;/span&gt;この語の核は「反対の命令をする」。権威ある主体が、相手が行おうとしていることと反対の命令をする、つまりそれを「禁止する」という意味になる。
&lt;span class="spacer"&gt;&lt;/span&gt;旧約聖書の「創世記」で、神がアダムとイブに食べてはならないと命じた果実をforbidden fruitという。&lt;/span&gt;</t>
  </si>
  <si>
    <t>&lt;span class="w"&gt;&lt;b&gt;【1014.install：〜をインストールする, 〜を設置する, 〜を就任させる】&lt;/b&gt;&lt;/span&gt;
&lt;span class="ml"&gt;ラテン語に由来する語で、以下の2つの要素から成る。
&lt;span class="spacer"&gt;&lt;/span&gt;in（中に）
stallum（座席）
&lt;span class="spacer"&gt;&lt;/span&gt;この語の核は「ある座席（の中）に座らせる」。誰かを正式な座席に座らせることから比喩的に、ある地位に「就任させる」という意味になった。また何かを適切なポジションに座らせることから、何かを適切な場所に「設置する」という意味になった。さらに、ソフトウェアをコンピュータ内の所定の位置に座らせることから「インストールする」という意味もなった。&lt;/span&gt;</t>
  </si>
  <si>
    <t>diminishのmini部分はミニ（小さい）と同じ。</t>
  </si>
  <si>
    <t>&lt;span class="w"&gt;&lt;b&gt;【1015.diminish：〜を減らす, 減る】&lt;/b&gt;&lt;/span&gt;
&lt;span class="ml"&gt;ラテン語に由来する語で、以下の2つの要素から成る。
&lt;span class="spacer"&gt;&lt;/span&gt;de（完全に）
minuere（小さくする）
&lt;span class="spacer"&gt;&lt;/span&gt;このまま日本語にすると「完全に小さくする」となる。そこから何かを「減らす」や、何かが「減る」という意味になる。
&lt;span class="spacer"&gt;&lt;/span&gt;diminishのmini部分は、以下の語と関連する。
minimum（最小限）
minus（マイナス）
minor（マイナー）&lt;/span&gt;</t>
  </si>
  <si>
    <t>&lt;span class="w"&gt;&lt;b&gt;【1004.arrest：〜を逮捕する, 〜を止める, （注意）を引く】&lt;/b&gt;&lt;/span&gt;
&lt;span class="ml"&gt;ラテン語に由来する語で、以下の3つの要素から成る。
&lt;span class="spacer"&gt;&lt;/span&gt;ad（〜へ）
re（後ろへ）
stare（立つ）
&lt;span class="spacer"&gt;&lt;/span&gt;この語の核は「何かを後ろへ立たせて動けないようにする」。進行していくものや離れていくものへ手を伸ばし、後ろに立たせて進めないようにするイメージから、何かの進行を「止める」という意味になった。
&lt;span class="spacer"&gt;&lt;/span&gt;また法的な拘束力で相手を止めて動けなくする＝「逮捕する」という意味や、さまざまな方に向く相手の注意を「引き止めて離さない」という意味にもなった。
&lt;div class="sample_image arrest"&gt;&lt;/div&gt;&lt;/span&gt;</t>
    <phoneticPr fontId="1"/>
  </si>
  <si>
    <t>&lt;span class="w"&gt;&lt;b&gt;【1008.forecast：〜を予想する】&lt;/b&gt;&lt;/span&gt;
&lt;span class="ml"&gt;中英語にさかのぼる語で、以下の2つの要素から成る。
&lt;span class="spacer"&gt;&lt;/span&gt;fore（前に）
casten（投げる, 計算する, 考える）
&lt;span class="spacer"&gt;&lt;/span&gt;このforeはbefore / forwardのfor (e) と同じで時間的・空間的な「前」を表す。
&lt;span class="spacer"&gt;&lt;/span&gt;cast（投げる）は、物を移動させてある位置に置く動きから、比喩的に石を動かして計算する、物事を考えるとなった。
&lt;span class="spacer"&gt;&lt;/span&gt;この2つの要素が合わさって、先のことを計算したり考えたりする、つまり「予測する」という意味になった。&lt;/span&gt;</t>
    <phoneticPr fontId="1"/>
  </si>
  <si>
    <t>&lt;span class="w"&gt;&lt;b&gt;【1009.exclude：〜を排除する】&lt;/b&gt;&lt;/span&gt;
&lt;span class="ml"&gt;ラテン語に由来する語で、以下の2つの要素から成る。
&lt;span class="spacer"&gt;&lt;/span&gt;ex（外に）
claudere（閉じる：closeの語源）
&lt;span class="spacer"&gt;&lt;/span&gt;このまま日本語にすると「外に閉じる」となる。何かが外にある、外にいる状態で扉を閉じて、それらが中に入れないようにすることから、何かを「排除する」という意味になる。
&lt;div class="sample_image exclude"&gt;&lt;/div&gt;&lt;/span&gt;</t>
    <phoneticPr fontId="1"/>
  </si>
  <si>
    <t>&lt;span class="w"&gt;&lt;b&gt;【1016.cite：〜を引き合いに出す, 〜を引用する】&lt;/b&gt;&lt;/span&gt;
&lt;span class="ml"&gt;ラテン語citare（頻繁に呼びかける, 呼び出す, 促す）に由来する。
&lt;span class="spacer"&gt;&lt;/span&gt;この語の核は「呼び出す」。もともとは法廷などの公式の場に誰かを呼び出し、証言させることを表した。そこから、自分の主張の正当性や妥当性を示すための根拠として、権威ある文献や証拠などを議論の場に呼び出すというニュアンスへと変化して「引き合いに出す, 引用する」という意味になった。&lt;/span&gt;</t>
  </si>
  <si>
    <t>クォーテーションマーク（引用符, ' 'や" "）と関連させて覚える。この記号は引用するときに使う。</t>
  </si>
  <si>
    <t>disputeのpure部分はcompute / computerと同じで「考える, 計算する」。</t>
  </si>
  <si>
    <t>&lt;span class="w"&gt;&lt;b&gt;【1018.dispute：〜に異議を唱える, 議論する】&lt;/b&gt;&lt;/span&gt;
&lt;span class="ml"&gt;ラテン語に由来する語で、以下の2つの要素から成る。
&lt;span class="spacer"&gt;&lt;/span&gt;dis（分けて）
putare（考える, 計算する）
&lt;span class="spacer"&gt;&lt;/span&gt;このまま日本語にすると「分けて考える」となる。複数の立場やさまざまな意見をもとに物事を考えることから「議論する」という意味になった。さらに、議論の中では当然相手と反対の意見が出てきて激しく対立することがあるため、相手に対して「異議を唱える」という意味にもなった。
&lt;div class="sample_image dispute"&gt;&lt;/div&gt;&lt;/span&gt;</t>
    <phoneticPr fontId="1"/>
  </si>
  <si>
    <t>スポーツのハイライト（目立つ部分）やマーカー（ハイライト）と関連させて覚える。</t>
  </si>
  <si>
    <t>attractの反対として覚える。
attract：ad（何かへ）tract（引く）
distract：dis（離れて）tract（引く）</t>
    <rPh sb="29" eb="30">
      <t>ナニ</t>
    </rPh>
    <rPh sb="39" eb="40">
      <t>ヒ</t>
    </rPh>
    <rPh sb="56" eb="57">
      <t>ハナ</t>
    </rPh>
    <phoneticPr fontId="1"/>
  </si>
  <si>
    <t>&lt;span class="w"&gt;&lt;b&gt;【1020.distract：（注意など）をそらす】&lt;/b&gt;&lt;/span&gt;
&lt;span class="ml"&gt;ラテン語に由来する語で、以下の2つの要素から成る。
&lt;span class="spacer"&gt;&lt;/span&gt;dis（離れて）
trahere（引く）
&lt;span class="spacer"&gt;&lt;/span&gt;このまま日本語にすると「離れたところへ引く」となる。人の心や注意を異なる方へ引っぱることから、心や注意を「そらす」という意味になる。
&lt;div class="sample_image distract"&gt;&lt;/div&gt;&lt;/span&gt;</t>
    <phoneticPr fontId="1"/>
  </si>
  <si>
    <t>ゲームのチート（不正行為）や、テストのチート・チーティング（カンニング）と関連させて覚える。</t>
  </si>
  <si>
    <t>&lt;span class="w"&gt;&lt;b&gt;【1021.cheat：〜をだます, 不正をする】&lt;/b&gt;&lt;/span&gt;
&lt;span class="ml"&gt;ラテン語に由来する語で、以下の2つの要素から成る。
&lt;span class="spacer"&gt;&lt;/span&gt;ex（外に）
cadere（落ちる）
&lt;span class="spacer"&gt;&lt;/span&gt;このまま日本語にすると「外に落ちる」となる。これは、何かが本来の道から外れて転がりこむというイメージ。
&lt;span class="spacer"&gt;&lt;/span&gt;中世の封建社会では、土地や財産を相続する人がいない（＝相続する道が断たれた）場合、その土地や財産を国が没収した（＝国に転がりこんだ）。この没収を担当した役人たちの中には、権力を盾にして不当に財産を没収する者がいたことから、相手を「だます」や「 不正をする」という意味になった。&lt;/span&gt;</t>
  </si>
  <si>
    <t>escheoir（起こる, 誰かに降りかかる, 生じる, 法的に失効する）
&lt;span class="spacer"&gt;&lt;/span&gt;過去分詞escheat
法律用語で、相続人がいない場合に財産を国家が没収する</t>
  </si>
  <si>
    <t>fosterのfo部分は、feed（餌）やfood（食べ物）と関連する。</t>
  </si>
  <si>
    <t>&lt;span class="w"&gt;&lt;b&gt;【1022.foster：〜をはぐくむ, 〜を養育する】&lt;/b&gt;&lt;/span&gt;
&lt;span class="ml"&gt;古英語fostor（食物, 養育）にさかのぼる。&lt;span class="spacer"&gt;&lt;/span&gt;fosterはfood（食べ物）と同じ印欧祖語から生まれており、もともとは食べ物を与えて育てるという行為を表していた。そこから実の子だけではなく、血のつながっていない子を里親として「養育する」という意味へと発展した。さらに、食べ物を与えて育てることから比喩的に、心や考え、才能などを「育む」という意味にもなった。&lt;/span&gt;</t>
  </si>
  <si>
    <t>*pa-（食べる, 養う）
&lt;span class="spacer"&gt;&lt;/span&gt;&lt;span class="obsolete"&gt;この印欧祖語からはfeed（餌）やfood（食べもの）も生まれている&lt;/span&gt;</t>
  </si>
  <si>
    <t>&lt;span class="w"&gt;&lt;b&gt;【1023.obey：〜に従う】&lt;/b&gt;&lt;/span&gt;
&lt;span class="ml"&gt;ラテン語に由来する語で、以下の2つの要素から成る。
&lt;span class="spacer"&gt;&lt;/span&gt;ob（〜に向かって）
audire（聞く）
&lt;span class="spacer"&gt;&lt;/span&gt;この語の核は「対象に耳を傾ける」。相手の言うことをしっかりと聞くことから、相手の言葉を受け入れてその通りに行動することを表すようになり、「従う」という意味になった。
&lt;div class="sample_image obey"&gt;&lt;/div&gt;&lt;/span&gt;</t>
    <phoneticPr fontId="1"/>
  </si>
  <si>
    <t>ob（〜に向かって）＋audire（聞く）
oboedire（〜に耳を傾ける, 従う）</t>
  </si>
  <si>
    <t>bind（縛る）やbond（絆, 結びつけること）と関連させて覚える。</t>
  </si>
  <si>
    <t>&lt;span class="w"&gt;&lt;b&gt;【1024.bend：〜を曲げる, 曲がる, 〜を服従させる】&lt;/b&gt;&lt;/span&gt;
&lt;span class="ml"&gt;古英語bindan（縛る）の使役形bendan（弓を引く, 曲がった状態にする）にさかのぼる。
&lt;span class="spacer"&gt;&lt;/span&gt;もともとは、弓に弦を縛り付けるために弓を曲がった状態にすることを表した。そこから一般的に何かを「曲げる」や何かが「曲がる」という意味になった。さらに、相手に身を屈めさせたり、相手の行動を自分の意向通りに曲げるイメージから「服従させる」という意味にもなった。
&lt;span class="spacer"&gt;&lt;/span&gt;bendは、bind（縛る）やbond（絆, 結びつけること）と同じ印欧祖語にさかのぼる。弓を作るとき、木を曲げて（bend）弦を結ぶ（bind）。&lt;/span&gt;</t>
  </si>
  <si>
    <t>bindan（縛る）の使役形bendan（弓を引く, 曲がった状態にする）</t>
  </si>
  <si>
    <t>prive部分はprivate（個人の）やprivacy（プライバシー）と同じ。</t>
  </si>
  <si>
    <t>&lt;span class="w"&gt;&lt;b&gt;【1025.deprive：（of）AからBを奪う】&lt;/b&gt;&lt;/span&gt;
&lt;span class="ml"&gt;ラテン語に由来する語で、以下の2つの要素から成る。
&lt;span class="spacer"&gt;&lt;/span&gt;de（完全に）
privus（個人の）から派生したprivare（何かから奪う）
&lt;span class="spacer"&gt;&lt;/span&gt;この語の核は「何かから引き離されている」。prive部分はprivateやprivacyと同じ語源にさかのぼる。プライベートやプライバシーは、公から切り離して個別の状態になっていること。そこから何かを引き離す＝「奪う」という意味になった。
&lt;span class="spacer"&gt;&lt;/span&gt;deprive A of B
このofは分離を示して「BからAを奪う」という意味になる。
&lt;div class="sample_image deprive"&gt;&lt;/div&gt;&lt;/span&gt;</t>
    <phoneticPr fontId="1"/>
  </si>
  <si>
    <t>government（政府）
governance（統治）
governor（統治者）
これらと関連させて覚える。</t>
  </si>
  <si>
    <t>&lt;span class="w"&gt;&lt;b&gt;【1026.govern：〜を支配する, 〜を統治する】&lt;/b&gt;&lt;/span&gt;
&lt;span class="ml"&gt;ギリシャ語kybernan（船を操縦する, 舵を取る, 導く, 統治する）に由来する。
&lt;span class="spacer"&gt;&lt;/span&gt;もともとは船を操縦して舵を取ることを表した。そこから比喩的に、人や集団、組織、国などの舵を取って未来へ導いていく、つまり「支配する, 統治する」という意味になった。
&lt;div class="sample_image govern"&gt;&lt;/div&gt;&lt;/span&gt;</t>
    <phoneticPr fontId="1"/>
  </si>
  <si>
    <t>&lt;span class="w"&gt;&lt;b&gt;【1027.log：ログインする, 〜を記録する】&lt;/b&gt;&lt;/span&gt;
&lt;span class="ml"&gt;近代英語のlog-book（船の速度や進行などの日々の記録）にさかのぼる。
&lt;span class="spacer"&gt;&lt;/span&gt;16世紀頃の大航海時代、船乗りたちは海上で自船の速度を測るため、等間隔に結び目を作った長いロープの先端に木の塊を結びつけ、それを船尾から海へ投げ込んだ。木の塊は海面を漂い、船が進むにつれてロープが引っ張られていく。一定時間の間にロープの結び目がいくつ海へ引き出されたかを数えることで、船の速度を計算し、その結果を専用の帳簿（log-book）に記録した。そこから一般的に何かを「記録する」という意味になった。
&lt;span class="spacer"&gt;&lt;/span&gt;さらにコンピュータの登場により、システムの稼働状況や、いつ誰がどこから接続したかなどの通信履歴の記録をログと呼ぶようになる。システムに入る（in）ことで、その人の通信がログ（log）に記録されることから「ログインする」という意味になった。&lt;/span&gt;</t>
  </si>
  <si>
    <t>14世紀初頭
木の塊</t>
  </si>
  <si>
    <t>&lt;span class="w"&gt;&lt;b&gt;【1028.transmit：〜を伝える, （電波や信号など）を送る】&lt;/b&gt;&lt;/span&gt;
&lt;span class="ml"&gt;ラテン語に由来する語で、以下の2つの要素から成る。
&lt;span class="spacer"&gt;&lt;/span&gt;trans（越えて, 向こうへ）
mittere（送る, 放つ）
&lt;span class="spacer"&gt;&lt;/span&gt;このまま日本語にすると「越えて送る」となる。もともとは、何かを隔てた向こう側へ送るという物理的な移動を表した。そこからエネルギーや情報など、空間を越えて「伝える, 送る」という意味になった。
&lt;div class="sample_image transmit"&gt;&lt;/div&gt;&lt;/span&gt;</t>
    <phoneticPr fontId="1"/>
  </si>
  <si>
    <t>&lt;span class="w"&gt;&lt;b&gt;【1029.bully：〜をいじめる, 〜を脅す】&lt;/b&gt;&lt;/span&gt;
&lt;span class="ml"&gt;近代英語にさかのぼり、良い意味から悪い意味へと変化していった語。
&lt;span class="spacer"&gt;&lt;/span&gt;もともとは恋人などの親しい人を表したが、そこから親しい仲間内で威勢がよく頼りになる人という意味まで広がった。しかし威勢がいい人は周囲に威圧的態度をとることから、弱者をいじめる人へと発展して「脅す, いじめる」という意味になった。&lt;/span&gt;</t>
  </si>
  <si>
    <t>1530年代
恋人
&lt;span class="spacer"&gt;&lt;/span&gt;17世紀
立派な仲間
威勢のいい人
&lt;span class="spacer"&gt;&lt;/span&gt;1680年代 
弱者をいじめる人
&lt;span class="spacer"&gt;&lt;/span&gt;1710年、動詞になって
威圧的な態度で脅す
いじめる</t>
  </si>
  <si>
    <t>&lt;span class="w"&gt;&lt;b&gt;【1030.leap：跳ぶ, さっと動く】&lt;/b&gt;&lt;/span&gt;
&lt;span class="ml"&gt;古英語hleapan（跳ぶ, 走る, 勢いよく地面を離れる）にさかのぼる。
&lt;span class="spacer"&gt;&lt;/span&gt;もともとは走ると跳ぶの両方の意味を持ち、両足が地面から離れて勢いよく前へ進むような、エネルギーに満ちた力強い移動動作を表した。そこから勢いよく「跳ぶ, さっと動く」という意味になった。&lt;/span&gt;</t>
  </si>
  <si>
    <t>hleapan（跳ぶ, 走る, 勢いよく地面を離れる）</t>
  </si>
  <si>
    <t>&lt;span class="w"&gt;&lt;b&gt;【1031.astonish：〜を驚かす】&lt;/b&gt;&lt;/span&gt;
&lt;span class="ml"&gt;ラテン語に由来する語で、以下の2つの要素から成る。
&lt;span class="spacer"&gt;&lt;/span&gt;ex（外へ）
tonare（雷が鳴る）
&lt;span class="spacer"&gt;&lt;/span&gt;この語の核は「雷に打たれたように意識を外へ飛ばす」。そこから言葉も出なくなるような凄まじい衝撃をともなって「驚かす」という意味になった。
&lt;div class="sample_image astonish"&gt;&lt;/div&gt;
&lt;span class="spacer"&gt;&lt;/span&gt;astonishは、スタンガンstun gunの動詞stun（気絶させる, 呆然とさせる）と兄弟語。&lt;/span&gt;</t>
    <phoneticPr fontId="1"/>
  </si>
  <si>
    <t>日本語のスリルと同じ。</t>
  </si>
  <si>
    <t>&lt;span class="w"&gt;&lt;b&gt;【1032.thrill：〜をぞくぞくさせる】&lt;/b&gt;&lt;/span&gt;
&lt;span class="ml"&gt;古英語þurh（通って：throughの語源）にさかのぼる。
&lt;span class="spacer"&gt;&lt;/span&gt;この語の核は「through＝通過」。もともとは物理的に穴を開けることを表したが、そこから感覚が全身を突き抜けるというぞくぞく感へと発展して「ぞくぞくさせる」という意味になった。&lt;/span&gt;</t>
  </si>
  <si>
    <t>&lt;span class="w"&gt;&lt;b&gt;【1033.nod：うなずく, 会釈する, うとうとする】&lt;/b&gt;&lt;/span&gt;
&lt;span class="ml"&gt;語源不明。この語の核は「頭を軽く動かす」。頭をコクリと動かすことから「うなずく, 会釈する」や「うとうとする」という意味になった。&lt;/span&gt;</t>
  </si>
  <si>
    <t>&lt;span class="w"&gt;&lt;b&gt;【1034.bow：おじぎする, 屈服する】&lt;/b&gt;&lt;/span&gt;
&lt;span class="ml"&gt;古英語bugan（曲げる, 曲がる, お辞儀する, 屈服する）にさかのぼる。
&lt;span class="spacer"&gt;&lt;/span&gt;もともとは物理的に物を曲げることを表したが、そこから体を曲げて「おじぎする」や身を屈めることから「屈服する」という意味になった。
&lt;span class="spacer"&gt;&lt;/span&gt;発音は異なるがrainbow（虹）やbow（弓）とbow（おじぎする）は同じ印欧祖語から生まれている。どちらも「曲げる」ことなので関連させて覚える。&lt;/span&gt;</t>
  </si>
  <si>
    <t>日本語のブレンドすると同じ。</t>
  </si>
  <si>
    <t>&lt;span class="w"&gt;&lt;b&gt;【1035.blend：〜を混ぜる】&lt;/b&gt;&lt;/span&gt;
&lt;span class="ml"&gt;古英語blandan（混ぜる）にさかのぼる。古英語から意味の変化はほとんどない。&lt;/span&gt;</t>
  </si>
  <si>
    <t>&lt;span class="w"&gt;&lt;b&gt;【1036.complicate：複雑にする】&lt;/b&gt;&lt;/span&gt;
&lt;span class="ml"&gt;ラテン語に由来する語で、以下の2つの要素から成る。
&lt;span class="spacer"&gt;&lt;/span&gt;com（共に）
plicare（折る）
&lt;span class="spacer"&gt;&lt;/span&gt;このまま日本語にすると「共に折る」となる。様々なものを一緒にして折り込むことで単純ではなく「複雑にする」という意味になる。&lt;/span&gt;</t>
  </si>
  <si>
    <t>pitchは「上から下へ振る動き」というイメージ。</t>
  </si>
  <si>
    <t>&lt;span class="w"&gt;&lt;b&gt;【1037.pitch：〜を投げる, 倒れる, 縦揺れする】&lt;/b&gt;&lt;/span&gt;
&lt;span class="ml"&gt;中英語にさかのぼり、もともとは杭を打ち込むことを表した。現在でも杭を打ってテントを立てることからpitch a tent（テントを張る）という形で使われる。
&lt;span class="spacer"&gt;&lt;/span&gt;この語の核は、杭を打つときに繰り返す「上下の動き」や「腕を振り下ろして力を加える動き」。そこから「縦揺れする」という上下の動きや、「倒れる」という上から下への動き、何かを「投げる」という上から下への腕の動きへと発展した。&lt;/span&gt;</t>
  </si>
  <si>
    <t>これはship（船）と関わりのある語。もともとの意味は船の装備。</t>
  </si>
  <si>
    <t>&lt;span class="w"&gt;&lt;b&gt;【288.moral：道徳の, 倫理的な】&lt;/b&gt;&lt;/span&gt;
&lt;span class="ml"&gt;ラテン語に由来する語で、以下の2つの要素から成る。
&lt;span class="spacer"&gt;&lt;/span&gt;mos（人の気質, 習慣）
alis（形容詞化）
&lt;span class="spacer"&gt;&lt;/span&gt;このラテン語は、ギリシャ語ethikos（道徳の, 倫理の）を翻訳するために造られたことから「道徳の, 倫理的な」という意味になる。
&lt;span class="spacer"&gt;&lt;/span&gt;moralは、一人ひとりが社会の中で善い人間であろうとするときに、内面に持っている善悪の判断基準を表す。
これに対してethicsは社会や集団が作った体系的・理論的な規範を表す。&lt;/span&gt;</t>
  </si>
  <si>
    <t>mos（人の気質）/ 複数形で慣習
&lt;span class="spacer"&gt;&lt;/span&gt;形容詞を作る-alisが付いて
moralis（マナーに関する, 社会における適切な行動に関する）
&lt;span class="spacer"&gt;&lt;/span&gt;ギリシャ語ethikos（倫理：ethicsの語源）を翻訳するために造られた語</t>
  </si>
  <si>
    <t>&lt;span class="w"&gt;&lt;b&gt;【1042.input：入力（情報）, 投入】&lt;/b&gt;&lt;/span&gt;
&lt;span class="ml"&gt;近代英語にさかのぼり、以下の2つの要素から成る。
&lt;span class="spacer"&gt;&lt;/span&gt;in（中に）
put（置く）
&lt;span class="spacer"&gt;&lt;/span&gt;このまま日本語にすると「中に置く」となる。そこから中に置くこと、つまり「投入, 入力」という意味になった。&lt;/span&gt;</t>
  </si>
  <si>
    <t>&lt;span class="w"&gt;&lt;b&gt;【1043.merit：利点, 功績, 価値】&lt;/b&gt;&lt;/span&gt;
&lt;span class="ml"&gt;ラテン語mereri（値する, 稼ぐ, 得る）に由来する。
&lt;span class="spacer"&gt;&lt;/span&gt;もともとは稼ぎ出したものや何かの報い、価値などを表した。そこから宗教的な意味で神からの報いを表すようになり、さらに徐々に宗教的なニュアンスが薄れ、そのものに本来的に備わっている「利点, 功績, 価値」といった意味になった。&lt;/span&gt;</t>
  </si>
  <si>
    <t>sym（syn）はsynchronize（シンクロする, 同時である）のsyn（シン）と同じ。
pathyはpassion（情熱）と関連する。</t>
  </si>
  <si>
    <t>&lt;span class="w"&gt;&lt;b&gt;【1044.sympathy：同情, 共感】&lt;/b&gt;&lt;/span&gt;
&lt;span class="ml"&gt;ギリシャ語に由来する語で、以下の2つの要素から成る。
&lt;span class="spacer"&gt;&lt;/span&gt;syn（共に）
pathos（感情）
&lt;span class="spacer"&gt;&lt;/span&gt;この語の核は「他者の感情と共になる」。他者と同じような感情を抱くことから「共感, 同情」という意味になる。&lt;/span&gt;</t>
  </si>
  <si>
    <t>pli</t>
  </si>
  <si>
    <t>complement（補足）と全く同じ語から生まれた。意味の分化にともなってスペルがcomplimentになった。</t>
  </si>
  <si>
    <t>&lt;span class="w"&gt;&lt;b&gt;【1046.infrastructure：インフラ, 基本的施設, 基盤】&lt;/b&gt;&lt;/span&gt;
&lt;span class="ml"&gt;フランス語に由来する語で、以下の2つの要素から成る。
&lt;span class="spacer"&gt;&lt;/span&gt;infra（下の）
structure（構造）
&lt;span class="spacer"&gt;&lt;/span&gt;このまま日本語にすると「下にある構造」となる。そこから物事の支えとなる「基盤」や、社会や経済に必要な「基本的施設」という意味になった。これらを「インフラ」と呼ぶ。&lt;/span&gt;</t>
  </si>
  <si>
    <t>&lt;span class="w"&gt;&lt;b&gt;【1047.ray：光線】&lt;/b&gt;&lt;/span&gt;
&lt;span class="ml"&gt;ラテン語radius（中心から放射状に伸びる直線状のもの, 棒, 光線, 円の半径）に由来する。
&lt;span class="spacer"&gt;&lt;/span&gt;この語の核は「中心から放射状に伸びる直線」。そこから円の半径（radius）や太陽などの光源から放たれる光の筋を表すようになり、何かの「光線」という意味になった。&lt;/span&gt;</t>
  </si>
  <si>
    <t>&lt;span class="w"&gt;&lt;b&gt;【1048.distress：苦悩, 苦痛】&lt;/b&gt;&lt;/span&gt;
&lt;span class="ml"&gt;ラテン語に由来する語で、以下の2つの要素から成る。
&lt;span class="spacer"&gt;&lt;/span&gt;dis（離れて）
stringere（引き締める, 強く引く）
&lt;span class="spacer"&gt;&lt;/span&gt;もともとは何かを引き離すことから、対象を引き離して拘束するということを表した。この物理的な身体の締め付けから、比喩的に心理的・社会的に追い詰められた状態へと発展して「苦痛, 苦悩, 困窮」という意味になった。&lt;/span&gt;</t>
  </si>
  <si>
    <t>&lt;span class="w"&gt;&lt;b&gt;【1049.joint：関節, 接合部】&lt;/b&gt;&lt;/span&gt;
&lt;span class="ml"&gt;ラテン語iungere（結合する：joinの語源）に由来する。
&lt;span class="spacer"&gt;&lt;/span&gt;これは結合している部分を指すことから「関節, 接合部」という意味になる。&lt;/span&gt;</t>
  </si>
  <si>
    <t>pedit</t>
  </si>
  <si>
    <t>expeditionのped部分は、pedal（ペダル）と同じで「足」を意味する。</t>
  </si>
  <si>
    <t>pes（足）から派生した*pedis（足の鎖, 足かせ）
&lt;span class="spacer"&gt;&lt;/span&gt;ex（外に）＋*pedis（足の鎖, 足かせ）
expedire（足かせを解いて自由にする, 準備する, 用意する）
&lt;span class="spacer"&gt;&lt;/span&gt;名詞を作る-ioが付いて
expeditio（軍事行動, 遠征）</t>
  </si>
  <si>
    <t>ad（〜へ）＋alescere（成長する）
adolescere（〜へ成長する）
&lt;span class="spacer"&gt;&lt;/span&gt;現在分詞になって
adolescens（成長している, 成熟に近い, 若々しい, 若者, 青年）</t>
  </si>
  <si>
    <t>&lt;span class="w"&gt;&lt;b&gt;【1052.shade：（日）陰, 色合い, 日よけ, 微妙な相違】&lt;/b&gt;&lt;/span&gt;
&lt;span class="ml"&gt;古英語sceadu（陰, 日陰の場所, まぶしさからの保護）にさかのぼる。
&lt;span class="spacer"&gt;&lt;/span&gt;古英語から変わらず「（日）陰」を意味する。そしてそこから発展して、色の暗さで変わる「色合い」、色合いのような「微妙な違い」、日をよける「日よけ, サンシェード」などの意味になった。&lt;/span&gt;</t>
  </si>
  <si>
    <t>&lt;span class="w"&gt;&lt;b&gt;【1053.jury：陪審（員団）, 審査員団】&lt;/b&gt;&lt;/span&gt;
&lt;span class="ml"&gt;ラテン語ius（法, 法的誓約）から派生したiurare（宣誓する）に由来する。
&lt;span class="spacer"&gt;&lt;/span&gt;この語の核は「法のもとで宣誓する」。そこから、法律に従って選ばれ、事件や告発に対して公正な判断を下すことを宣誓した人たち、つまり「陪審員団」を意味するようになった。さらに法的な文脈を離れ、何かを判断する集団＝「審査員団」という意味にもなった。&lt;/span&gt;</t>
  </si>
  <si>
    <t>&lt;span class="w"&gt;&lt;b&gt;【1054.ethic：倫理, （ethics）倫理規範, 倫理学】&lt;/b&gt;&lt;/span&gt;
&lt;span class="ml"&gt;ギリシャ語に由来する語で、以下の2つの要素から成る。
&lt;span class="spacer"&gt;&lt;/span&gt;ēthos（習慣, 道徳的人格）
ikos（形容詞化）
&lt;span class="spacer"&gt;&lt;/span&gt;習慣という人々の行動の積み重ねによって形成され、共有される集団の中の規範＝「倫理」を意味する。ethicsは集団的な規範・ルールで、moralは善悪の判断を表す。
&lt;span class="spacer"&gt;&lt;/span&gt;たとえば、弁護士が犯罪者だと分かっていても弁護するのは、弁護士集団（職業）のルールethicsに従っている。その弁護士が犯罪者を弁護したくないと思うのは、善悪の判断moralの問題。&lt;/span&gt;</t>
  </si>
  <si>
    <t>pen</t>
  </si>
  <si>
    <t>&lt;span class="w"&gt;&lt;b&gt;【1055.penalty：罰, 罰金, ペナルティ】&lt;/b&gt;&lt;/span&gt;
&lt;span class="ml"&gt;ギリシャ語poinē（罰, 罰金）に由来する。
&lt;span class="spacer"&gt;&lt;/span&gt;もともとは「罰, 刑罰」を意味したが、法に限定されず、義務違反やスポーツのルール違反などの「罰, ペナルティ」という意味にもなった。&lt;/span&gt;</t>
  </si>
  <si>
    <t>&lt;span class="w"&gt;&lt;b&gt;【1057.scheme：計画, 体系】&lt;/b&gt;&lt;/span&gt;
&lt;span class="ml"&gt;ギリシャ語skhēma（ある状態に保たれている形, 外観）に由来する。
&lt;span class="spacer"&gt;&lt;/span&gt;「ある状態に保たれている形」から、もともとは何かの図解や、占星術における星の配置図などを指した。この語で重要なのは、抽象的でバラバラに存在する考えや要素を、それぞれ関係づけ、体系的に配置して一つの「形」にすること。
&lt;span class="spacer"&gt;&lt;/span&gt;頭の中にバラバラに浮かぶ考えを具体的に組み立てて形にしたものは、ある目的への「計画」という意味になる。また、ある秩序に基づいて各要素を組み合わせ、全体として形にしたものは「体系」という意味になる。&lt;/span&gt;
&lt;div class="animation scheme"&gt;&lt;/div&gt;</t>
  </si>
  <si>
    <t>nutrit</t>
  </si>
  <si>
    <t>&lt;span class="w"&gt;&lt;b&gt;【1058.nutrition：栄養（の摂取）】&lt;/b&gt;&lt;/span&gt;
&lt;span class="ml"&gt;ラテン語に由来する語で、以下の2つの要素から成る。
&lt;span class="spacer"&gt;&lt;/span&gt;nutrire（養う, 乳を与える, 食べさせる）
io（名詞化）
&lt;span class="spacer"&gt;&lt;/span&gt;もともとは「栄養を与えること」を表したが、そこから与えられた栄養を取り入れること＝「栄養の摂取」や、与えられる「栄養」そのものを意味するようになった。
&lt;span class="spacer"&gt;&lt;/span&gt;nutritionのnutri部分は、nurse（看護師, 乳母）やnurture（育てる）と同じ語源にさかのぼる。&lt;/span&gt;</t>
  </si>
  <si>
    <t>&lt;span class="w"&gt;&lt;b&gt;【1059.particle：（微）粒子, ほんのわずか】&lt;/b&gt;&lt;/span&gt;
&lt;span class="ml"&gt;ラテン語に由来する語で、以下の2つの要素から成る。
&lt;span class="spacer"&gt;&lt;/span&gt;pars（部分）
cula（小さいことを表す）
&lt;span class="spacer"&gt;&lt;/span&gt;このまま日本語にすると「小さい部分」となり、そこから「（微）粒子, ほんのわずか」という意味になった。&lt;/span&gt;</t>
  </si>
  <si>
    <t>&lt;span class="w"&gt;&lt;b&gt;【1061.nationality：国籍, 国民性】&lt;/b&gt;&lt;/span&gt;
&lt;span class="ml"&gt;近代英語にさかのぼり、以下の3つの要素から成る。
&lt;span class="spacer"&gt;&lt;/span&gt;nation（国家）
al（形容詞化）
ity（名詞化）
&lt;span class="spacer"&gt;&lt;/span&gt;このまま日本語にすると「国家に属していること」となる。そこから「国籍」や、その国家に属する人々に共通する「国民性」という意味になる。&lt;/span&gt;</t>
  </si>
  <si>
    <t>&lt;span class="w"&gt;&lt;b&gt;【1063.clinic：診療所, クリニック】&lt;/b&gt;&lt;/span&gt;
&lt;span class="ml"&gt;ギリシャ語に由来する語で、以下の2つの要素から成る。
&lt;span class="spacer"&gt;&lt;/span&gt;kline（ベッド, 人が横たわるもの）
ikos（形容詞化）
&lt;span class="spacer"&gt;&lt;/span&gt;もともとはベッドを表し、techniqueの語源であるtechneと結びついて、病床で行われる治療術（klinike techne）という表現になった。本来は医師が医療行為を行うために赴く病床を表したが、後に診療の場が施設へと集約され、患者が行く「診療所, クリニック」という意味になった。&lt;/span&gt;</t>
    <rPh sb="153" eb="157">
      <t>ケイヨウシカ</t>
    </rPh>
    <rPh sb="196" eb="197">
      <t>アラワ</t>
    </rPh>
    <rPh sb="209" eb="211">
      <t>ゴゲン</t>
    </rPh>
    <rPh sb="221" eb="222">
      <t>ムス</t>
    </rPh>
    <rPh sb="230" eb="231">
      <t>オコナ</t>
    </rPh>
    <rPh sb="234" eb="237">
      <t>チリョウジュツ</t>
    </rPh>
    <rPh sb="256" eb="258">
      <t>ヒョウゲン</t>
    </rPh>
    <rPh sb="263" eb="265">
      <t>ホンライ</t>
    </rPh>
    <rPh sb="274" eb="275">
      <t>オコナ</t>
    </rPh>
    <rPh sb="279" eb="280">
      <t>オモム</t>
    </rPh>
    <rPh sb="281" eb="283">
      <t>ビョウショウ</t>
    </rPh>
    <rPh sb="284" eb="285">
      <t>アラワ</t>
    </rPh>
    <rPh sb="308" eb="309">
      <t>イ</t>
    </rPh>
    <rPh sb="311" eb="314">
      <t>シンリョウジョ</t>
    </rPh>
    <rPh sb="325" eb="327">
      <t>イミ</t>
    </rPh>
    <phoneticPr fontId="1"/>
  </si>
  <si>
    <t>kline（ベッド, 人が横たわるもの）
&lt;span class="spacer"&gt;&lt;/span&gt;形容詞を作る-ikosが付いて
klinikos（ベッドの, 寝たままの）
&lt;span class="spacer"&gt;&lt;/span&gt;
klinike techne（病床での実践）</t>
    <rPh sb="80" eb="81">
      <t>ネ</t>
    </rPh>
    <phoneticPr fontId="1"/>
  </si>
  <si>
    <t>&lt;span class="w"&gt;&lt;b&gt;【1041.premise：前提, 敷地, （premises）建物を含めた構内】&lt;/b&gt;&lt;/span&gt;
&lt;span class="ml"&gt;ラテン語に由来する語で、以下の2つの要素から成る。
&lt;span class="spacer"&gt;&lt;/span&gt;prae（あらかじめ）
mittere（送る）
&lt;span class="spacer"&gt;&lt;/span&gt;このまま日本語にすると「あらかじめ送る」となる。もともとは論理学において、あらかじめ置かれる命題を表し、そこから一般的に、議論の土台となる「前提」という意味になった。
&lt;span class="spacer"&gt;&lt;/span&gt;さらに法的文書（土地の譲渡証書など）において、文書の冒頭に（前に）対象となる土地や建物の詳細を記述し、以降の文章でそれらの土地や建物を前述の財産the premisesと呼んだ。そこから「敷地」や建物を含めた「構内」を意味するようになった。
&lt;div class="sample_image premise"&gt;&lt;/div&gt;&lt;/span&gt;</t>
  </si>
  <si>
    <t>&lt;span class="w"&gt;&lt;b&gt;【1045.compliment：賛辞, お世辞, 表敬】&lt;/b&gt;&lt;/span&gt;
&lt;span class="ml"&gt;ラテン語に由来する語で、以下の3つの要素から成る。
&lt;span class="spacer"&gt;&lt;/span&gt;com（強意）
plere（満たす）
mentum（名詞化）
&lt;span class="spacer"&gt;&lt;/span&gt;このまま日本語にすると「完全に満たすこと」となる。これがヨーロッパの宮廷文化において、礼儀上の作法や社交上の要求を完全に満たすことを指すようになり、そこから相手に対して敬意を表すこと＝「表敬」、純粋な敬意の表現＝「賛辞」、形だけは敬意を表すが、実際は思ってもいないことを含む＝「お世辞」といった意味になった。
&lt;div class="sample_image compliment"&gt;&lt;/div&gt;&lt;/span&gt;</t>
  </si>
  <si>
    <t>&lt;span class="w"&gt;&lt;b&gt;【1050.expedition：探検（隊）, 遠征（隊）】&lt;/b&gt;&lt;/span&gt;
&lt;span class="ml"&gt;ラテン語に由来する語で、以下の3つの要素から成る。
&lt;span class="spacer"&gt;&lt;/span&gt;ex（外に）
pes（足）から派生した*pedis（足の鎖, 足かせ）
io（名詞化）
&lt;span class="spacer"&gt;&lt;/span&gt;このまま日本語にすると「足の鎖を外すこと」となる。もともとは、足に絡まった罠や鎖などを外して自由にすることを表した。そしてそこから、障害を取り除いて準備を整えることや、身軽になって出発することへと意味が発展した。
&lt;span class="spacer"&gt;&lt;/span&gt;つまりこの語の核は「自分の足で外に出ること」。そこから「遠征」や「探検」という意味になり、さらにそれに参加している一団＝「遠征隊, 探検隊」も意味するようになった。
&lt;div class="sample_image expedition"&gt;&lt;/div&gt;&lt;/span&gt;</t>
  </si>
  <si>
    <t>&lt;span class="w"&gt;&lt;b&gt;【1060.molecule：分子】&lt;/b&gt;&lt;/span&gt;
&lt;span class="ml"&gt;ラテン語に由来する語で、以下の2つの要素から成る。
&lt;span class="spacer"&gt;&lt;/span&gt;moles（塊）
cula（小さいことを表す）
&lt;span class="spacer"&gt;&lt;/span&gt;このまま日本語にすると「小さい塊」となる。近代の化学において、物質の化学的な性質を損なうことなく物質を分割できる最小の単位、つまり「分子」という意味になった。
&lt;div class="sample_image molecule"&gt;&lt;/div&gt;
&lt;span class="spacer"&gt;&lt;/span&gt;H₂OがH₂とOになれば、水という性質を失うことから、原子ではなく分子を意味する。&lt;/span&gt;</t>
  </si>
  <si>
    <t>&lt;span class="w"&gt;&lt;b&gt;【1062.poll：世論調査, 投票（全体）】&lt;/b&gt;&lt;/span&gt;
&lt;span class="ml"&gt;中低地ドイツ語・中世オランダ語のpol（頭, 頂部）に由来する。
&lt;span class="spacer"&gt;&lt;/span&gt;この語の核は「頭の数を数えること」。動物や人の頭を数えて全体の状況を把握する行為から発展して、何かを集計したり調査したりすることを表すようになった。「世論調査」「アンケート調査」「投票結果, 投票総数」といった集計する仕組みや集計結果を意味する。
&lt;div class="sample_image poll"&gt;&lt;/div&gt;&lt;/span&gt;</t>
  </si>
  <si>
    <t>&lt;span class="w"&gt;&lt;b&gt;【1064.dementia：認知症】&lt;/b&gt;&lt;/span&gt;
&lt;span class="ml"&gt;ラテン語に由来する語で、以下の3つの要素から成る。
&lt;span class="spacer"&gt;&lt;/span&gt;de（〜から離れて）
mens（心）
ia（名詞化）
&lt;span class="spacer"&gt;&lt;/span&gt;この語の核は「心があるべきところから離れている」。もともとは正気を失っている様子を表したが、そこから医学において、精神機能が極めて低い状態や精神的な能力が欠如した状態である「認知症」という意味になった。
&lt;span class="spacer"&gt;&lt;/span&gt;1800年代の人々は、「認知症」のことを心や精神が失われた状態、精神の病だと考えていたことがわかる。
&lt;div class="sample_image dementia"&gt;&lt;/div&gt;&lt;/span&gt;</t>
    <phoneticPr fontId="1"/>
  </si>
  <si>
    <t>&lt;span class="w"&gt;&lt;b&gt;【1065.fatigue：疲労】&lt;/b&gt;&lt;/span&gt;
&lt;span class="ml"&gt;ラテン語fatigare（崩壊させる, へとへとにする, 疲れさせる）に由来する。
&lt;span class="spacer"&gt;&lt;/span&gt;この語の核は「体が崩れる」。へとへとになって崩れ落ちることから「疲労」という意味になる。&lt;/span&gt;</t>
  </si>
  <si>
    <t>&lt;span class="w"&gt;&lt;b&gt;【1066.dilemma：ジレンマ, 板ばさみ】&lt;/b&gt;&lt;/span&gt;
&lt;span class="ml"&gt;ギリシャ語に由来する語で、以下の2つの要素から成る。
&lt;span class="spacer"&gt;&lt;/span&gt;di（2つの）
lemma（前提, 命題）
&lt;span class="spacer"&gt;&lt;/span&gt;このまま日本語にすると「2つの前提」となる。もともとは、相手に2つの選択肢を提示し、どちらを選んでも相手にとって不都合な結論に至るように追い込む論法を表した。そこから、2つの望ましくない選択肢の間で選択しなければならないこと、つまり「ジレンマ, 板ばさみ」という意味になった。
&lt;div class="sample_image dilemma"&gt;&lt;/div&gt;&lt;/span&gt;</t>
    <phoneticPr fontId="1"/>
  </si>
  <si>
    <t>di（2つの）＋lemma（前提, 命題）
dilemma（2重の命題）</t>
  </si>
  <si>
    <t>&lt;span class="w"&gt;&lt;b&gt;【1067.queue：（順番を待つ）列】&lt;/b&gt;&lt;/span&gt;
&lt;span class="ml"&gt;ラテン語coda（尾）から派生したフランス語
cue, coe, queue（尾）に由来する。
&lt;span class="spacer"&gt;&lt;/span&gt;もともとは動物の尻尾を表した。そこから長く垂れ下がるものや長く連なるものを表すようになり、「列」という意味になった。
&lt;div class="sample_image queue"&gt;&lt;/div&gt;&lt;/span&gt;</t>
    <phoneticPr fontId="1"/>
  </si>
  <si>
    <t>&lt;span class="w"&gt;&lt;b&gt;【1068.curve：カーブ, 曲線】&lt;/b&gt;&lt;/span&gt;
&lt;span class="ml"&gt;ラテン語curvare（曲げる）に由来する。
&lt;span class="spacer"&gt;&lt;/span&gt;ラテン語から意味の変化はほとんどなく「カーブ, 曲線」という意味になった。&lt;/span&gt;</t>
  </si>
  <si>
    <t>narrate（物語る）やnarration（ナレーション, 語ること）と関連させて覚える。narrativeは語られるもの。</t>
  </si>
  <si>
    <t>&lt;span class="w"&gt;&lt;b&gt;【1069.narrative：物語, 話, 地の文】&lt;/b&gt;&lt;/span&gt;
&lt;span class="ml"&gt;ラテン語に由来する語で、以下の2つの要素から成る。
&lt;span class="spacer"&gt;&lt;/span&gt;gnarus（知っている）から派生したnarrare（知らしめる, 話す, 物語る）
ivus（形容詞化）
&lt;span class="spacer"&gt;&lt;/span&gt;この語の核は「知っていることを知らしめる」こと。もともとは、物事の顛末や背景に通じた者が、他の人に順序立てて詳しく知らせる行為を表した。神話や歴史的な出来事が語り部によって人々に口頭で伝えられていたように、よく知る者（ナレーター）によって筋道立てて語られるものというところから、「物語」や「話」という意味になった。
&lt;span class="spacer"&gt;&lt;/span&gt;また、口頭で物語を伝える際、ナレーターは自分自身の言葉による説明と、登場人物のセリフを織り交ぜて口にする。これが文章として書き起こされると、語り手による説明部分と登場人物のセリフに分かれる。そこから転じて、ナレーター自身の言葉にあたる「地の文」という意味にもなった。&lt;/span&gt;</t>
  </si>
  <si>
    <t>&lt;span class="w"&gt;&lt;b&gt;【1070.fingerprint：指紋】&lt;/b&gt;&lt;/span&gt;
&lt;span class="ml"&gt;近代英語にさかのぼり、以下の2つの要素から成る。
&lt;span class="spacer"&gt;&lt;/span&gt;finger（指）
print（プリント, 跡）
&lt;span class="spacer"&gt;&lt;/span&gt;指を押し付けて残る跡、つまり「指紋」という意味になった。&lt;/span&gt;</t>
  </si>
  <si>
    <t>&lt;span class="w"&gt;&lt;b&gt;【1071.file：ファイル】&lt;/b&gt;&lt;/span&gt;
&lt;span class="ml"&gt;ラテン語filum（糸, 紐）に由来する。
&lt;span class="spacer"&gt;&lt;/span&gt;もともとは文書を綴じる紐を表したが、そこから綴じられたもの自体をさして「ファイル」という意味になった。&lt;/span&gt;</t>
  </si>
  <si>
    <t>&lt;span class="w"&gt;&lt;b&gt;【1072.wilderness：荒野】&lt;/b&gt;&lt;/span&gt;
&lt;span class="ml"&gt;古英語にさかのぼり、以下の3つの要素から成る。
&lt;span class="spacer"&gt;&lt;/span&gt;wild（野生の）
deor（動物：deerの語源）
ness（名詞化）
&lt;span class="spacer"&gt;&lt;/span&gt;このまま日本語にすると「野生の動物」となる。そこから野生の動物が住むような、人がいない未開墾の地を指して「荒野」という意味になった。
&lt;span class="spacer"&gt;&lt;/span&gt;&lt;span class="obsolete"&gt;deerは今ではシカを指すが、もとは野生動物全般を意味した。&lt;/span&gt;&lt;/span&gt;</t>
  </si>
  <si>
    <t>&lt;span class="w"&gt;&lt;b&gt;【1073.pesticide：殺虫剤】&lt;/b&gt;&lt;/span&gt;
&lt;span class="ml"&gt;現代英語で、以下の2つの要素から成る。
&lt;span class="spacer"&gt;&lt;/span&gt;pest（害虫）
cide（殺すもの）
&lt;span class="spacer"&gt;&lt;/span&gt;このまま日本語にすると「害虫を殺すもの」つまり「殺虫剤」という意味になる。&lt;/span&gt;</t>
  </si>
  <si>
    <t>&lt;span class="w"&gt;&lt;b&gt;【1074.panic：パニック】&lt;/b&gt;&lt;/span&gt;
&lt;span class="ml"&gt;ギリシャ語panikon deima（パーンの恐怖）に由来する。
&lt;span class="spacer"&gt;&lt;/span&gt;ギリシャ神話において、パンは半人半獣（上半身が人で下半身がヤギ）の姿をしており、突然叫び声を上げて人間や動物を理由なき恐怖に陥れるとされていた。そこから突然集団に広がる恐怖＝「パニック」という意味になった。&lt;/span&gt;</t>
  </si>
  <si>
    <t>&lt;span class="w"&gt;&lt;b&gt;【1075.fabric：織物, 布, 構造】&lt;/b&gt;&lt;/span&gt;
&lt;span class="ml"&gt;ラテン語faber（硬い素材を扱う職人）に由来する。
&lt;span class="spacer"&gt;&lt;/span&gt;もともとは鍛冶屋や細工師などの職人を表した。そこから職人の作業場や技術、さらに職人が作り上げたもの、特に材料が緻密にまとめられた構造物へと発展していった。そのため、社会の構造や建物の骨組みなどの「構造」という意味を持つ。
&lt;span class="spacer"&gt;&lt;/span&gt;また近代英語では、糸を規則正しく組み立てて作った構造物ということから、繊維産業の発展とともに工業製品としての「織物, 布」を意味するようになった。
&lt;div class="sample_image fabric"&gt;&lt;/div&gt;&lt;/span&gt;</t>
    <rPh sb="92" eb="94">
      <t>ユライ</t>
    </rPh>
    <phoneticPr fontId="1"/>
  </si>
  <si>
    <t>&lt;span class="w"&gt;&lt;b&gt;【1076.fantasy：空想, 幻想】&lt;/b&gt;&lt;/span&gt;
&lt;span class="ml"&gt;ギリシャ語phainesthai（現れる）に由来する。
&lt;span class="spacer"&gt;&lt;/span&gt;もともとは目に見えるように現れることを表した。そこから意味が抽象化し、心の中に現れる像を指すようになり、さらに発展して現実ではない「空想, 幻想」という意味になった。&lt;/span&gt;</t>
  </si>
  <si>
    <t>&lt;span class="w"&gt;&lt;b&gt;【1077.fancy：（気まぐれな）好み, 気分】&lt;/b&gt;&lt;/span&gt;
&lt;span class="ml"&gt;中英語においてfantasyが短縮されてできた語。
&lt;span class="spacer"&gt;&lt;/span&gt;fantasy（空想, 幻想）は、想像する人自身の心に形成されるため、その人が思いついた瞬間の好みや気分、欲望を反映している。
&lt;span class="spacer"&gt;&lt;/span&gt;fantasyが心の中に出来上がった空想や幻想を意味する語として使われるようになった一方で、fancyはその空想や幻想に含まれる「（気まぐれな）好み」や「そのときの気分」という意味で使われるようになった。&lt;/span&gt;</t>
  </si>
  <si>
    <t>congratulate / congratulationと関連させて覚える。</t>
  </si>
  <si>
    <t>&lt;span class="w"&gt;&lt;b&gt;【1079.grateful：感謝している】&lt;/b&gt;&lt;/span&gt;
&lt;span class="ml"&gt;ラテン語に由来する語で、以下の2つの要素から成る。
&lt;span class="spacer"&gt;&lt;/span&gt;grate（好ましい, 喜ばしい, 感謝される）
&lt;span class="obsolete"&gt;ful（満ちた）は英語段階で付いた&lt;/span&gt;
&lt;span class="spacer"&gt;&lt;/span&gt;この語の核は「喜ばしいことで満ちている」。ありがたい出来事を受け取って喜びに満ちることから、感謝の気持ちが生まれ、何かに対して「感謝している」という意味になる。
&lt;span class="spacer"&gt;&lt;/span&gt;congratulate, congratulationにもgrateが含まれる。喜ばしいことから祝うという意味になる。&lt;/span&gt;</t>
  </si>
  <si>
    <t>&lt;span class="w"&gt;&lt;b&gt;【1080.valid：妥当な, 正当な, 有効な】&lt;/b&gt;&lt;/span&gt;
&lt;span class="ml"&gt;ラテン語に由来する語で、以下の2つの要素から成る。
&lt;span class="spacer"&gt;&lt;/span&gt;valere（強い, 力がある）
idus（形容詞化）
&lt;span class="spacer"&gt;&lt;/span&gt;この語の核は「強い状態にある」「力を持っている」。法律・ルール・条件などを満たして力を持っている状態から「有効な」という意味になる。また、意見や主張などが論理的に頑丈で崩れることのない強い状態にあることから「正当な, 妥当な」という意味になる。
&lt;div class="sample_image valid"&gt;&lt;/div&gt;&lt;/span&gt;</t>
    <phoneticPr fontId="1"/>
  </si>
  <si>
    <t>labor（労働）と関連させて覚える。</t>
    <phoneticPr fontId="1"/>
  </si>
  <si>
    <t>&lt;span class="w"&gt;&lt;b&gt;【1081.elaborate：入念な, 凝った, 手の込んだ】&lt;/b&gt;&lt;/span&gt;
&lt;span class="ml"&gt;ラテン語に由来する語で、以下の2つの要素から成る。
&lt;span class="spacer"&gt;&lt;/span&gt;ex（外に）
laborare（働く：laborの語源）
&lt;span class="spacer"&gt;&lt;/span&gt;elaborateのlabor部分は、labor（労働）と同じ。この語の核は「労力をかけて何かを作り出す」。多大な労力や注意をそそいで作り出されたものなので「入念な, 手の込んだ, 凝った」という意味になる。
&lt;div class="sample_image elaborate"&gt;&lt;/div&gt;&lt;/span&gt;</t>
    <phoneticPr fontId="1"/>
  </si>
  <si>
    <t>mod（尺度）系はまとめて覚える。</t>
  </si>
  <si>
    <t>&lt;span class="w"&gt;&lt;b&gt;【1082.moderate：適度な, 穏健な】&lt;/b&gt;&lt;/span&gt;
&lt;span class="ml"&gt;ラテン語moderari（尺度を定める, 尺度内にとどめる）に由来する。
&lt;span class="spacer"&gt;&lt;/span&gt;この語の核は「尺度内にとどめる」。そこから程度が過度ではなく「適度な」という意味になる。また人の立場や考え方が過激でなく「穏健な」という意味にもなる。&lt;/span&gt;</t>
  </si>
  <si>
    <t>&lt;span class="w"&gt;&lt;b&gt;【1083.dynamic：動的な, 精力的な, 活動的な】&lt;/b&gt;&lt;/span&gt;
&lt;span class="ml"&gt;ギリシャ語に由来する語で、以下の2つの要素から成る。
&lt;span class="spacer"&gt;&lt;/span&gt;dynamis（力）
ikos（形容詞化）
&lt;span class="spacer"&gt;&lt;/span&gt;この語の核は「物理的な力がある」。もともとは物理学や力学において、力や運動に関する事柄を指していた。そこから意味が一般化し、静止することなく常に変化し続ける「動的な」という意味や、エネルギーに満ちあふれて「精力的な, 活動的な」という意味になった。&lt;/span&gt;</t>
  </si>
  <si>
    <t>&lt;span class="w"&gt;&lt;b&gt;【1084.brave：勇敢な, 見事な】&lt;/b&gt;&lt;/span&gt;
&lt;span class="ml"&gt;イタリア語bravo（野蛮な, 荒々しい, 大胆な, 勇敢な）に由来する。
&lt;span class="spacer"&gt;&lt;/span&gt;もともとは野蛮で荒々しい様子を表した。そうした人たちは物怖じせず立ち向かうことから、恐れ知らずで大胆である、そしてその姿勢が立派であるという評価へ発展し、その結果「勇敢な」や「見事な」という意味になった。
&lt;span class="spacer"&gt;&lt;/span&gt;もとになったイタリア語は「素晴らしい, 見事だ」という感嘆を表す「ブラボー」の語源でもある。ある人の姿勢が勇敢でブラボー（見事）というイメージで覚えればよい。&lt;/span&gt;</t>
  </si>
  <si>
    <t>&lt;span class="w"&gt;&lt;b&gt;【1085.brilliant：すばらしい, 才能にあふれた, きらめく, 輝いている】&lt;/b&gt;&lt;/span&gt;
&lt;span class="ml"&gt;ギリシャ語bēryllos（ベリル, 緑柱石, 宝石）に由来する。
&lt;span class="spacer"&gt;&lt;/span&gt;ベリルは、エメラルド・アクアマリン・レッドベリルなどの宝石の総称。宝石は普通の石とは異なり、キラキラ輝くことから「きらめく, 輝いている」という意味になった。また、そこから比喩的に「才能にあふれる」や「すばらしい」という意味にもなった。
&lt;div class="sample_image brilliant"&gt;&lt;/div&gt;&lt;/span&gt;</t>
  </si>
  <si>
    <t>bēryllos（ベリル, 緑柱石, 宝石）
&lt;span class="spacer"&gt;&lt;/span&gt;ベリルは、エメラルド・アクアマリン・レッドベリルなどの宝石の総称。色の違いで異なる宝石名をもつ</t>
  </si>
  <si>
    <t>tremble（震える, 身震いする）と関連させて覚える。tremendousは「震えるくらいとてつもない」というイメージ。</t>
  </si>
  <si>
    <t>&lt;span class="w"&gt;&lt;b&gt;【1086.tremendous：途方もない, 莫大な, ものすごい】&lt;/b&gt;&lt;/span&gt;
&lt;span class="ml"&gt;ラテン語に由来する語で、以下の2つの要素から成る。
&lt;span class="spacer"&gt;&lt;/span&gt;tremere（震える）
endus（形容詞化：〜すべき）
&lt;span class="spacer"&gt;&lt;/span&gt;このまま日本語にすると「震え上がるべき」となる。もともとは、恐怖で体が震えるほど恐ろしいというニュアンスを持っていた。そこから、人が畏敬の念を抱くほどの圧倒的なスケールや、すさまじい力や量を指すようになる。
&lt;span class="spacer"&gt;&lt;/span&gt;時代が下るにつれて、本来の恐怖ニュアンスは薄れ、「途方もない, 巨大な」、あるいはポジティブな意味合いで「ものすごい」といった意味になった。&lt;/span&gt;</t>
  </si>
  <si>
    <t>&lt;span class="w"&gt;&lt;b&gt;【1087.oral：口の, 口頭の】&lt;/b&gt;&lt;/span&gt;
&lt;span class="ml"&gt;ラテン語に由来する語で、以下の2つの要素から成る。
&lt;span class="spacer"&gt;&lt;/span&gt;oris（口）
alis（形容詞化）
&lt;span class="spacer"&gt;&lt;/span&gt;このまま日本語にすると、器官としての「口の」という意味になる。またwritten（書かれた）に対して、口で言葉を発することを表して「口頭の」という意味にもなる。&lt;/span&gt;</t>
  </si>
  <si>
    <t>&lt;span class="w"&gt;&lt;b&gt;【1088.innocent：無罪の, 無邪気な】&lt;/b&gt;&lt;/span&gt;
&lt;span class="ml"&gt;ラテン語に由来する語で、以下の2つの要素から成る。
&lt;span class="spacer"&gt;&lt;/span&gt;in（否定）
nocere（害する）
&lt;span class="spacer"&gt;&lt;/span&gt;この語の核は「害のない」。他者に対して害を与えることがないことから、法や道徳に反して他者を害することをしていなくて「無罪の」、心の中に他者を害するような悪意がなくて「 無邪気な」といった意味になる。&lt;/span&gt;</t>
  </si>
  <si>
    <t>&lt;span class="w"&gt;&lt;b&gt;【1089.subsequent：その後の】&lt;/b&gt;&lt;/span&gt;
&lt;span class="ml"&gt;ラテン語に由来する語で、以下の2つの要素から成る。
&lt;span class="spacer"&gt;&lt;/span&gt;sub（下に, 後に）
sequi（従う）
&lt;span class="spacer"&gt;&lt;/span&gt;この語の核は「何かの後に従って続く」。subはサブメンバーのサブで、後に控えているイメージ。sequent部分はsequence（連続）の形容詞として覚える。何かの後に連続しているイメージから「その後の」という意味になる。&lt;/span&gt;</t>
  </si>
  <si>
    <t>sub（下に, 後に）＋sequi（従う）
subsequi（時間的に後に来る）
&lt;span class="spacer"&gt;&lt;/span&gt;現在分詞subsequens</t>
  </si>
  <si>
    <t>&lt;span class="w"&gt;&lt;b&gt;【1090.shallow：浅い】&lt;/b&gt;&lt;/span&gt;
&lt;span class="ml"&gt;中英語schalowe / shaloue（水や川などが浅い, 体が痩せた）にさかのぼる。
&lt;span class="spacer"&gt;&lt;/span&gt;もともとは水や川などが浅いことを表した。そこから水の浅さだけではなく容器の浅さや思考、感情など、さまざまな物事に関して「浅い」という意味になった。&lt;/span&gt;</t>
  </si>
  <si>
    <t>&lt;span class="w"&gt;&lt;b&gt;【1091.indifferent：無関心な, どちらでもいい】&lt;/b&gt;&lt;/span&gt;
&lt;span class="ml"&gt;ラテン語に由来する語で、以下の3つの要素から成る。
&lt;span class="spacer"&gt;&lt;/span&gt;in（否定）
dis（離れて）
ferre（運ぶ）
&lt;span class="spacer"&gt;&lt;/span&gt;different（異なる）に否定のinが付いたと考えればよい。興味を引くような違いがない、違いがあったとしても気にしないというイメージから「無関心な, どちらでもいい」という意味になる。&lt;/span&gt;</t>
  </si>
  <si>
    <t>superioの反対。
inferior / superiorは、infra（下, インフラ）とsuper（上, 超えて, スーパー）の対比。</t>
  </si>
  <si>
    <t>wardは、forwardと同じく方向を示す。forwardは、for（前）＋ward（方向）から成る。</t>
  </si>
  <si>
    <t>&lt;span class="w"&gt;&lt;b&gt;【1093.awkward：気まずい, ぎこちない】&lt;/b&gt;&lt;/span&gt;
&lt;span class="ml"&gt;中英語にさかのぼり、以下の2つの要素から成る。
&lt;span class="spacer"&gt;&lt;/span&gt;awk（逆向きの, 間違った）
weard（副詞化）
&lt;span class="spacer"&gt;&lt;/span&gt;この語の核は「正しい向きから外れていて不安定な感じ」。動作などが不安定なら「ぎこちない」、心理や状況が不安定なら「気まずい」という意味になる。&lt;/span&gt;</t>
  </si>
  <si>
    <t>obeseのes部分は、eatと同じ語源に遡る。
名詞obesity（肥満）もセットで覚えておく。</t>
  </si>
  <si>
    <t>&lt;span class="w"&gt;&lt;b&gt;【1094.obese：肥満の】&lt;/b&gt;&lt;/span&gt;
&lt;span class="ml"&gt;ラテン語に由来する語で、以下の2つの要素から成る。
&lt;span class="spacer"&gt;&lt;/span&gt;ob（周囲に）
edere（食べる）
&lt;span class="spacer"&gt;&lt;/span&gt;周囲のものを食べ尽くす
→食べて太る
→「肥満の」となる。&lt;/span&gt;</t>
  </si>
  <si>
    <t>&lt;span class="w"&gt;&lt;b&gt;【1095.pregnant：妊娠した】&lt;/b&gt;&lt;/span&gt;
&lt;span class="ml"&gt;ラテン語に由来する語で、以下の2つの要素から成る。
&lt;span class="spacer"&gt;&lt;/span&gt;prae（前に）
gnasci（生まれる）
&lt;span class="spacer"&gt;&lt;/span&gt;このまま日本語にすると「生まれる前」となる。そこから子を宿している状態＝「妊娠した」という意味になる。&lt;/span&gt;</t>
  </si>
  <si>
    <t>in（中に）
&lt;span class="spacer"&gt;&lt;/span&gt;最上級を作る-imusが付いて
intimus（最も内側の, 最も不快）</t>
  </si>
  <si>
    <t>&lt;span class="w"&gt;&lt;b&gt;【1097.medieval：中世の】&lt;/b&gt;&lt;/span&gt;
&lt;span class="ml"&gt;近代英語において、ラテン語をもとに造られた語で、以下の2つの要素から成る。
&lt;span class="spacer"&gt;&lt;/span&gt;medium（中間）
aevum（時代）
&lt;span class="spacer"&gt;&lt;/span&gt;このまま日本語にすると「中間の時代」となる。そこから原始時代と近代の間の「中世の」という意味になった。
&lt;span class="spacer"&gt;&lt;/span&gt;ラテン語aevumはageやeverと同じ語源にさかのぼる。英語で言えばmiddle＋age＝medievalだと考えればよい。&lt;/span&gt;</t>
  </si>
  <si>
    <t>sacrificeと関連させて覚える。</t>
  </si>
  <si>
    <t>&lt;span class="w"&gt;&lt;b&gt;【1098.sacred：神聖な】&lt;/b&gt;&lt;/span&gt;
&lt;span class="ml"&gt;ラテン語sacer（神聖な）
&lt;span class="spacer"&gt;&lt;/span&gt;この語の核「人や物が俗世から離れ、神と結びつく」。宗教的な儀式を通して神に属する物となることから、「神聖な」という意味になる。日本で言えば、神様へのお供え物は神聖だというイメージ。
&lt;span class="spacer"&gt;&lt;/span&gt;またそこから宗教的なニュアンスが薄れて、他者が無闇に触れてはならないほど「非常に重要な, 大切な」という意味でも使われる。&lt;/span&gt;</t>
  </si>
  <si>
    <t>&lt;span class="w"&gt;&lt;b&gt;【1099.simultaneously：同時に】&lt;/b&gt;&lt;/span&gt;
&lt;span class="ml"&gt;ラテン語に由来する語で、以下の3つの要素から成る。
&lt;span class="spacer"&gt;&lt;/span&gt;simul（同時に）
taneus
&lt;span class="obsolete"&gt;ly（副詞化）は英語段階で付いた&lt;/span&gt;
&lt;span class="spacer"&gt;&lt;/span&gt;このまま日本語にすると「同時に」という意味になる。
&lt;span class="spacer"&gt;&lt;/span&gt;ラテン語simulは、similarやsameと共通の印欧祖語にさかのぼり「同じ」を意味する。
&lt;span class="spacer"&gt;&lt;/span&gt;taneusは、おそらく他の語（spontaneousのもとになったラテン語）から取って付けられたもので、特別な意味はない。&lt;/span&gt;</t>
  </si>
  <si>
    <t>&lt;span class="w"&gt;&lt;b&gt;【1100.versus：（A versus B）A対B】&lt;/b&gt;&lt;/span&gt;
&lt;span class="ml"&gt;ラテン語vertere（回す, 向ける）の過去分詞versus（〜の方に向けられた, 〜に対して）に由来する。
&lt;span class="spacer"&gt;&lt;/span&gt;何かの方に向けられていることから「対する, A対B」という意味になる。A versus BはAがBの方に向けられているというイメージ。&lt;/span&gt;</t>
  </si>
  <si>
    <t>process（過程, 経過）やprocedure（手続き）と関連させて覚える。</t>
  </si>
  <si>
    <t>&lt;span class="w"&gt;&lt;b&gt;【1101.proceed：進む, 進行する】&lt;/b&gt;&lt;/span&gt;
&lt;span class="ml"&gt;ラテン語に由来する語で、以下の2つの要素から成る。
&lt;span class="spacer"&gt;&lt;/span&gt;pro（前へ）
cedere（行く, 進む）
&lt;span class="spacer"&gt;&lt;/span&gt;このまま日本語にすると「前へ進む」となり「進む, 進行する」という意味になる。名詞になるとprocess（過程, 経過）やprocedure（手続き）という進行途中や進行手順を表す。&lt;/span&gt;</t>
  </si>
  <si>
    <t>日本語でも使われるオリエンテーション（新しい環境や状況に慣れることができるように方向性を示すもの）や、the Orient（東洋）と関連させて覚える。</t>
  </si>
  <si>
    <t>&lt;span class="w"&gt;&lt;b&gt;【1102.orient：人を環境などに慣らす, 正しい方向に向ける】&lt;/b&gt;&lt;/span&gt;
&lt;span class="ml"&gt;ラテン語oriri（昇る：originの語源）に由来する。
&lt;span class="spacer"&gt;&lt;/span&gt;この語の核は「正しい方向に向ける」。もともとは、太陽が昇る方角である東向きに何かを配置することを表した。そのためthe Orientは東洋という意味になっている。
&lt;span class="spacer"&gt;&lt;/span&gt;中世のキリスト教では、教会は東向きに建てられ、祈りも東向きに行われることが多かった。そのため東向きに配置することは、何かを正しい方向に合わせることへと発展した。
&lt;span class="spacer"&gt;&lt;/span&gt;そしてある環境において、その中に置かれた人を正しい方向に向けることから、新しい状況や考え方に「慣れさせる」という意味になった。
&lt;div class="sample_image orient"&gt;&lt;/div&gt;&lt;/span&gt;</t>
  </si>
  <si>
    <t>&lt;span class="w"&gt;&lt;b&gt;【1103.surf：インターネットの情報を見て回る, サーフィンする】&lt;/b&gt;&lt;/span&gt;
&lt;span class="ml"&gt;近代英語にさかのぼる語。もともとは、海岸に打ち寄せる波を意味する名詞だったが、そこから発展して「波に乗る」という動詞になった。
&lt;span class="spacer"&gt;&lt;/span&gt;さらにインターネットの登場により、インターネットを海にたとえ、「ネットサーフィンする（インターネットの情報を見て回る）」という意味で使われるようになった。&lt;/span&gt;</t>
  </si>
  <si>
    <t>&lt;span class="w"&gt;&lt;b&gt;【1104.filter：〜をろ過する, 〜を取り除く】&lt;/b&gt;&lt;/span&gt;
&lt;span class="ml"&gt;ラテン語filtrum（液体から不純物を取り除くために使われたフェルト）に由来する。
&lt;span class="spacer"&gt;&lt;/span&gt;昔は、羊毛などを圧縮して固めた分厚い布（フェルト）を網のように使ってワインや水から不純物を取り除いた。そこから何かを「ろ過する, 取り除く」という意味になった。&lt;/span&gt;</t>
  </si>
  <si>
    <t>&lt;span class="w"&gt;&lt;b&gt;【1105.bind：〜を縛る】&lt;/b&gt;&lt;/span&gt;
&lt;span class="ml"&gt;古英語bindan（紐や拘束具で縛る, 捕虜にする）にさかのぼる。
&lt;span class="spacer"&gt;&lt;/span&gt;古英語から意味の変化はほとんどなく、何かを「縛る」という意味になる。bindにer（〜するもの）をつければ日本語でも使われるバインダーになる。また動詞bindは、bond（絆, ボンド）やband（髪を縛るバンド）と共通の語源にさかのぼる。&lt;/span&gt;</t>
  </si>
  <si>
    <t>&lt;span class="w"&gt;&lt;b&gt;【1106.resort：（手段に）頼る】&lt;/b&gt;&lt;/span&gt;
&lt;span class="ml"&gt;フランス語に由来する語で、以下の2つの要素から成る。
&lt;span class="spacer"&gt;&lt;/span&gt;re（再び）
sortir（外出する）
&lt;span class="spacer"&gt;&lt;/span&gt;このまま日本語にすると「再び外出する」となる。もともとは、特定の場所へ繰り返し行くことを表した。その中でも特に、困ったときに頼りになる場所へ何度も足を運んで助けを求めるという意味で使われたことから、他の方法がなくて何らかの「手段に訴える」という意味になった。
&lt;div class="sample_image resort"&gt;&lt;/div&gt;
&lt;span class="spacer"&gt;&lt;/span&gt;日本語でも使われるリゾート（行楽地）は、安心や安定のために繰り返し行く場所＝心理的な頼りからきた意味。&lt;/span&gt;</t>
  </si>
  <si>
    <t>&lt;span class="w"&gt;&lt;b&gt;【1107.reinforce：〜を強化する, 〜を補強する】&lt;/b&gt;&lt;/span&gt;
&lt;span class="ml"&gt;中英語から近代英語にさかのぼり、以下の3つの要素から成る。
&lt;span class="spacer"&gt;&lt;/span&gt;re（再び）
en（中に）
force（力）
&lt;span class="spacer"&gt;&lt;/span&gt;このまま日本語にすると「再び力を入れる」となる。そこから「強化する, 補強する」という意味になる。&lt;/span&gt;</t>
  </si>
  <si>
    <t>&lt;span class="w"&gt;&lt;b&gt;【1108.accumulate：〜を蓄積する, 集める】&lt;/b&gt;&lt;/span&gt;
&lt;span class="ml"&gt;ラテン語に由来する語で、以下の2つの要素から成る。
&lt;span class="spacer"&gt;&lt;/span&gt;ad（強意）
cumulus（山, 積み重ね）
&lt;span class="spacer"&gt;&lt;/span&gt;この語の核は「山のように積み重ねる」。そこから何かを「蓄積する, 集める」となる。
&lt;span class="spacer"&gt;&lt;/span&gt;夏の入道雲のような積雲を英語ではcumulusと呼ぶ。これもラテン語cumulus（山, 積み重ね）に由来する。&lt;/span&gt;</t>
  </si>
  <si>
    <t>&lt;span class="w"&gt;&lt;b&gt;【1109.bet：〜と確信する, 断言する, 金などを賭ける】&lt;/b&gt;&lt;/span&gt;
&lt;span class="ml"&gt;近代英語にさかのぼるが、語源は不明。
&lt;span class="spacer"&gt;&lt;/span&gt;誓約のもとで没収物（罰金・担保）を相手に差し出す、つまり何かを「賭ける」ことを意味した。さらにそこから、賭けるほど自信があるというニュアンスで、何かを「確信する, 断言する」という意味にもなった。&lt;/span&gt;</t>
  </si>
  <si>
    <t>advocateのvoc部分はvocalやvocabularyと同じで「声, 叫ぶ」に関わる。</t>
  </si>
  <si>
    <t>&lt;span class="w"&gt;&lt;b&gt;【1110.advocate：〜を主張する, 〜を擁護する】&lt;/b&gt;&lt;/span&gt;
&lt;span class="ml"&gt;ラテン語に由来する語で、以下の2つの要素から成る。
&lt;span class="spacer"&gt;&lt;/span&gt;ad（〜へ）
vocare（呼ぶ）
&lt;span class="spacer"&gt;&lt;/span&gt;このまま日本語にすると「〜へ呼ぶ」となる。もともとは人を呼び寄せることを表し、特に法廷で助言や弁護のために呼ばれる人を指した。そこから、ある人の代わりに声を上げる存在という意味になり、人や立場、考えの側に立ってそれを「支持する, 擁護する, 主張する」という意味へと発展した。&lt;/span&gt;</t>
  </si>
  <si>
    <t>&lt;span class="w"&gt;&lt;b&gt;【1111.constitute：〜を構成する】&lt;/b&gt;&lt;/span&gt;
&lt;span class="ml"&gt;ラテン語に由来する語で、以下の2つの要素から成る。
&lt;span class="spacer"&gt;&lt;/span&gt;com（強意）
statuere（立たせる）
&lt;span class="spacer"&gt;&lt;/span&gt;この語の核は「何かをしっかり立たせる」。
S constitute Aは、SがAをしっかり立たせていることを表す。つまりSがあってAが成立するので「SはAを構成する」という意味になる。&lt;/span&gt;</t>
  </si>
  <si>
    <t>&lt;span class="w"&gt;&lt;b&gt;【1112.undertake：〜を引き受ける, 〜に着手する】&lt;/b&gt;&lt;/span&gt;
&lt;span class="ml"&gt;中英語にさかのぼり、以下の2つの要素から成る。
&lt;span class="spacer"&gt;&lt;/span&gt;under（下から）
taken（取る）
&lt;span class="spacer"&gt;&lt;/span&gt;このまま日本語にすると「下から取る」となる。何かを下から支えるように取ることから、責任ごと受け取るイメージで「引き受ける」という意味になる。またそこから、引き受けたことに「着手する」という意味になった。&lt;/span&gt;</t>
  </si>
  <si>
    <t>under（下から）＋taken（取る）
&lt;span class="spacer"&gt;&lt;/span&gt;12世紀後期
罠にかける, 不意をつく
&lt;span class="spacer"&gt;&lt;/span&gt;1300年頃
〜することを試みる
&lt;span class="spacer"&gt;&lt;/span&gt;14世紀初頭
事業を引き受ける, 何かを始める
戦闘を引き受ける</t>
  </si>
  <si>
    <t>&lt;span class="w"&gt;&lt;b&gt;【1113.grip：〜を握る】&lt;/b&gt;&lt;/span&gt;
&lt;span class="ml"&gt;古英語grippan（つかむ, 握る）にさかのぼる。
&lt;span class="spacer"&gt;&lt;/span&gt;古英語から意味の変化はない。&lt;/span&gt;</t>
  </si>
  <si>
    <t>&lt;span class="w"&gt;&lt;b&gt;【1114.dismiss：（意見など）を退ける, 〜を解雇する】&lt;/b&gt;&lt;/span&gt;
&lt;span class="ml"&gt;ラテン語に由来する語で、以下の2つの要素から成る。
&lt;span class="spacer"&gt;&lt;/span&gt;dis（離れて）
mittere（送る, 放つ）
&lt;span class="spacer"&gt;&lt;/span&gt;この語の核は「離れたところへ送る」。いまある場所から離れたところへ送るイメージから、いまの職から「解雇する」、考えなどを「退ける」という意味になる。
&lt;div class="sample_image dismiss"&gt;&lt;/div&gt;&lt;/span&gt;</t>
  </si>
  <si>
    <t>&lt;span class="w"&gt;&lt;b&gt;【1115.fade：薄れる, 衰える】&lt;/b&gt;&lt;/span&gt;
&lt;span class="ml"&gt;ラテン語に由来する語で、以下の2つの語が混ざり合ってできた。
&lt;span class="spacer"&gt;&lt;/span&gt;fatuus（味のない）
vapidus（気の抜けた, 風味のない）
&lt;span class="spacer"&gt;&lt;/span&gt;この語の核は「本来持っていた味が薄れていく」。この味覚の薄れから様々な要素に広がり、光・音・力・感情・記憶などが「薄れる, 衰える」という意味になった。&lt;/span&gt;</t>
  </si>
  <si>
    <t>fatuus（味のない）＋vapidus（気の抜けた, 風味のない）</t>
  </si>
  <si>
    <t>&lt;span class="w"&gt;&lt;b&gt;【1116.conceal：〜を隠す】&lt;/b&gt;&lt;/span&gt;
&lt;span class="ml"&gt;ラテン語に由来する語で、以下の2つの要素から成る。
&lt;span class="spacer"&gt;&lt;/span&gt;con（強意）
celare（隠す, 覆い隠す）
&lt;span class="spacer"&gt;&lt;/span&gt;このまま日本語にすると「完全に隠す」となる。ラテン語から意味の変化はほとんどない。
&lt;span class="spacer"&gt;&lt;/span&gt;concealのceal部分はcell（細胞）と同じ印欧祖語に由来する。cellはもともと覆われた部屋を表した。
&lt;div class="sample_image conceal"&gt;&lt;/div&gt;&lt;/span&gt;</t>
  </si>
  <si>
    <t>&lt;span class="w"&gt;&lt;b&gt;【1117.chew：噛む】&lt;/b&gt;&lt;/span&gt;
&lt;span class="ml"&gt;古英語ceowan（噛む）にさかのぼる。
&lt;span class="spacer"&gt;&lt;/span&gt;古英語から意味の変化はほとんどない。&lt;/span&gt;</t>
  </si>
  <si>
    <t>&lt;span class="w"&gt;&lt;b&gt;【1118.swallow：飲み込む, 〜をうのみにする】&lt;/b&gt;&lt;/span&gt;
&lt;span class="ml"&gt;古英語swelgan（飲み込む）にさかのぼる。
&lt;span class="spacer"&gt;&lt;/span&gt;物理的に「飲み込む」だけではなく、比喩的に疑うことなく受け入れる＝「うのみにする」という意味にもなる。&lt;/span&gt;</t>
  </si>
  <si>
    <t>&lt;span class="w"&gt;&lt;b&gt;【1119.seal：〜を密閉する, 〜に封をする】&lt;/b&gt;&lt;/span&gt;
&lt;span class="ml"&gt;ラテン語に由来する語で、以下の2つの要素から成る。
&lt;span class="spacer"&gt;&lt;/span&gt;signum（しるし：signの語源）
illum（小さいことを表す）
&lt;span class="spacer"&gt;&lt;/span&gt;このまま日本語にすると「小さな印」となる。手紙や文書などを溶かした蝋で封じる際に、そこに小さな印を押し当てて、その手紙が本物であることを証明した。そこから「封をする」や、容器などを「密閉する」という意味になった。
&lt;div class="sample_image seal"&gt;&lt;/div&gt;&lt;/span&gt;</t>
  </si>
  <si>
    <t>&lt;span class="w"&gt;&lt;b&gt;【1120.migrate：移住する, （動物が別の生息地へ）移動する】&lt;/b&gt;&lt;/span&gt;
&lt;span class="ml"&gt;ラテン語migrare（ある場所から別の場所へ移動する）に由来する。
&lt;span class="spacer"&gt;&lt;/span&gt;人や動物がいまの生息地から別の場所へ「移動する」という意味になる。
&lt;span class="spacer"&gt;&lt;/span&gt;［immigrate］
in（中に）＋migrare（移動する）
他国から移住する（受け入れる側の視点）
&lt;span class="spacer"&gt;&lt;/span&gt;［emigrate］
ex（外へ）＋migrare（移動する）
自国から別の国へ移住する（出ていく側の視点）&lt;/span&gt;</t>
  </si>
  <si>
    <t>&lt;span class="w"&gt;&lt;b&gt;【1121.exaggerate：誇張する】&lt;/b&gt;&lt;/span&gt;
&lt;span class="ml"&gt;ラテン語に由来する語で、以下の3つの要素から成る。
&lt;span class="spacer"&gt;&lt;/span&gt;ex（完全に）
ad（〜へ）
gerere（運ぶ）
&lt;span class="spacer"&gt;&lt;/span&gt;このまま日本語にすると「〜へ徹底的に運ぶ」となる。これはどんどん一箇所へ運んで積み上げるイメージ。そこから比喩的に、話を盛る＝「誇張する」という意味になった。
&lt;div class="sample_image exaggerate"&gt;&lt;/div&gt;&lt;/span&gt;</t>
    <phoneticPr fontId="1"/>
  </si>
  <si>
    <t>vanishのvan部分は「空っぽ, 何もない」というイメージ。</t>
    <rPh sb="10" eb="12">
      <t>ブブン</t>
    </rPh>
    <rPh sb="14" eb="15">
      <t>カラ</t>
    </rPh>
    <rPh sb="19" eb="20">
      <t>ナニ</t>
    </rPh>
    <phoneticPr fontId="1"/>
  </si>
  <si>
    <t>&lt;span class="w"&gt;&lt;b&gt;【1123.vanish：消える】&lt;/b&gt;&lt;/span&gt;
&lt;span class="ml"&gt;ラテン語に由来する語で、以下の3つの要素から成る。
&lt;span class="spacer"&gt;&lt;/span&gt;ex（外へ）
vanus（空っぽの）
escere（〜になる）
&lt;span class="spacer"&gt;&lt;/span&gt;このまま日本語にすると「外へずれてその場所が空っぽになる」となる。ある空間が空っぽになるということは、そこにあったものがなくなるということ。そこから「消える」という意味になる。
&lt;div class="sample_image vanish"&gt;&lt;/div&gt;
&lt;span class="spacer"&gt;&lt;/span&gt;もともと存在したex（外に）は英語に入るまでに消えてしまっている。&lt;/span&gt;</t>
    <phoneticPr fontId="1"/>
  </si>
  <si>
    <t>&lt;span class="w"&gt;&lt;b&gt;【1124.polish：〜を磨く, 〜を洗練させる】&lt;/b&gt;&lt;/span&gt;
&lt;span class="ml"&gt;ラテン語polire（磨く, なめらかにする）に由来する。
&lt;span class="spacer"&gt;&lt;/span&gt;表面を磨いてなめらかにすることから「磨く」や、性格や言動などを磨く＝「洗練させる」という意味になった。
&lt;span class="spacer"&gt;&lt;/span&gt;polite（礼儀正しい）も、言動が磨き上げられているというイメージ。&lt;/span&gt;</t>
  </si>
  <si>
    <t>&lt;span class="w"&gt;&lt;b&gt;【1125.wipe：〜を拭く, 〜を拭き取る, 〜を消し去る】&lt;/b&gt;&lt;/span&gt;
&lt;span class="ml"&gt;古英語wipian（拭く）にさかのぼる。
&lt;span class="spacer"&gt;&lt;/span&gt;「拭く, 拭き取る」という物理的な動作だけではなく、拭き取るように何かを「消し去る」という意味にもなる。&lt;/span&gt;</t>
  </si>
  <si>
    <t>スマホ画面のスワイプ（swipe, 掃くような動作）と関連させて覚える。もともとswipeはsweepの方言の可能性がある。</t>
  </si>
  <si>
    <t>&lt;span class="w"&gt;&lt;b&gt;【1126.sweep：掃く, 〜を一掃する】&lt;/b&gt;&lt;/span&gt;
&lt;span class="ml"&gt;古英語swapan（掃く）にさかのぼる。
&lt;span class="spacer"&gt;&lt;/span&gt;「掃く」という物理的な動作だけではなく、掃いて集めるように「一掃する」という意味にもなる。&lt;/span&gt;</t>
  </si>
  <si>
    <t>&lt;span class="w"&gt;&lt;b&gt;【1127.mislead：〜を誤解させる, 〜を欺く, 人を間違った方向に導く】&lt;/b&gt;&lt;/span&gt;
&lt;span class="ml"&gt;古英語に由来する語で、以下の2つの要素から成る。
&lt;span class="spacer"&gt;&lt;/span&gt;mis（誤って）
lædan（導く：leadの語源）
&lt;span class="spacer"&gt;&lt;/span&gt;このまま日本語にすると「誤って導く」となる。そこから「誤った方向に導く, 誤解させる, 欺く」という意味になる。&lt;/span&gt;</t>
  </si>
  <si>
    <t>&lt;span class="w"&gt;&lt;b&gt;【1129.compound：〜を悪化させる, 〜を合成する, 〜を混合する】&lt;/b&gt;&lt;/span&gt;
&lt;span class="ml"&gt;ラテン語に由来する語で、以下の2つの要素から成る。
&lt;span class="spacer"&gt;&lt;/span&gt;com（共に）
ponere（置く）
&lt;span class="spacer"&gt;&lt;/span&gt;このまま日本語にすると「共に置く」となる。複数のものを一緒にすることから、何かを「合成する, 混合する, 調合する」といった意味になる。さらに、問題や困難などがどんどん一緒に置かれて積もっていくことから、状況や問題などを「悪化させる」という意味にもなる。
&lt;div class="sample_image compound"&gt;&lt;/div&gt;&lt;/span&gt;</t>
    <phoneticPr fontId="1"/>
  </si>
  <si>
    <t>&lt;span class="w"&gt;&lt;b&gt;【1130.explode：爆発する, 〜を論破する】&lt;/b&gt;&lt;/span&gt;
&lt;span class="ml"&gt;ラテン語に由来する語で、以下の2つの要素から成る。
&lt;span class="spacer"&gt;&lt;/span&gt;ex（外に）
plaudere（手を叩く, 拍手する）
&lt;span class="spacer"&gt;&lt;/span&gt;古代ローマの劇場では、演技のひどい役者に対して、観客が一斉に手を叩き鳴らし、ブーイングの代わりにその大きな音で役者を舞台から外へ（ex）追い出すという習慣があった。
&lt;span class="spacer"&gt;&lt;/span&gt;この手を叩いて追い出すという行為が、やがて大きな音を立てて内側から勢いよく破裂する、そして「爆発する」という意味へと発展した。
&lt;span class="spacer"&gt;&lt;/span&gt;もともとの追い払うという意味は、相手の理論や言葉を追い払う＝「論破する」という意味に残っている。
&lt;div class="sample_image explode"&gt;&lt;/div&gt;&lt;/span&gt;</t>
    <phoneticPr fontId="1"/>
  </si>
  <si>
    <t>&lt;span class="w"&gt;&lt;b&gt;【1131.disgust：〜をむかつかせる, 〜をうんざりさせる】&lt;/b&gt;&lt;/span&gt;
&lt;span class="ml"&gt;ラテン語に由来する語で、以下の2つの要素から成る。
&lt;span class="spacer"&gt;&lt;/span&gt;gustare（味わう）
&lt;span class="obsolete"&gt;des（否定）はフランス語段階で付いた&lt;/span&gt;
&lt;span class="spacer"&gt;&lt;/span&gt;このまま日本語にすると、味わうの否定なので「不快な味を感じる」となる。不味い、嫌な味がするという味覚的な不快感から発展し、食べ物に対してだけでなく、人や出来事に対して「吐き気がするほど嫌だ」という強い精神的な嫌悪感や反感へと広がっていった。そして「むかつかせる, うんざりさせる」という意味になった。
&lt;div class="sample_image disgust"&gt;&lt;/div&gt;&lt;/span&gt;</t>
    <phoneticPr fontId="1"/>
  </si>
  <si>
    <t>&lt;span class="w"&gt;&lt;b&gt;【1132.commute：通勤・通学する】&lt;/b&gt;&lt;/span&gt;
&lt;span class="ml"&gt;ラテン語に由来する語で、以下の2つの要素から成る。
&lt;span class="spacer"&gt;&lt;/span&gt;com（強意）
mutare（変える）
&lt;span class="spacer"&gt;&lt;/span&gt;もともとは、何かと何かを交換することを表した。19世紀のアメリカにおいて、毎日鉄道に乗る乗客のために、一定期間の運賃を一括で先払いする代わりに割引価格で乗車できるcommutation ticket（定期券：毎日の運賃支払いを一括に"交換"した切符）が発売された。
&lt;span class="spacer"&gt;&lt;/span&gt;この切符を利用する人々はcommuter（定期券通勤者）と呼ばれるようになり、やがてその移動行為自体をcommuteと呼ぶようになった。
&lt;span class="spacer"&gt;&lt;/span&gt;そうして交換するという行為から、都度支払いを一括払いに交換した定期券を経て、「通勤する, 通学する」という意味になった。
&lt;span class="spacer"&gt;&lt;/span&gt;覚えるだけなら、commuteは家と職場や学校との交換＝移動というイメージでもよい。
&lt;div class="sample_image commute"&gt;&lt;/div&gt;&lt;/span&gt;</t>
    <phoneticPr fontId="1"/>
  </si>
  <si>
    <t>1630年代
別のものに置き換える
&lt;span class="spacer"&gt;&lt;/span&gt;1640年代
負担を別のものに変える
&lt;span class="spacer"&gt;&lt;/span&gt;1795年
都度の支払いを一括に変更する
&lt;span class="spacer"&gt;&lt;/span&gt;1822年
commutation ticket（一括で支払う代わりに割安になる定期券）
commuter（通勤者）
&lt;span class="spacer"&gt;&lt;/span&gt;1889年までに
仕事のために行き来する, 通勤する</t>
  </si>
  <si>
    <t>&lt;span class="w"&gt;&lt;b&gt;【1133.decorate：〜を装飾する】&lt;/b&gt;&lt;/span&gt;
&lt;span class="ml"&gt;ラテン語decus（装飾）に由来する。
&lt;span class="spacer"&gt;&lt;/span&gt;ラテン語から意味の変化はなく「装飾する」という意味になった。&lt;/span&gt;</t>
  </si>
  <si>
    <t>日本語でも使われるポスト〜（〜以後）と関連させて覚える。</t>
  </si>
  <si>
    <t>&lt;span class="w"&gt;&lt;b&gt;【1134.postpone：〜を延期する】&lt;/b&gt;&lt;/span&gt;
&lt;span class="ml"&gt;ラテン語に由来する語で、以下の2つの要素から成る。
&lt;span class="spacer"&gt;&lt;/span&gt;post（後に）
ponere（置く）
&lt;span class="spacer"&gt;&lt;/span&gt;このまま日本語にすると「後に置く」となる。予定や物事を時間的に後に置くことから「延期する」という意味になる。&lt;/span&gt;
&lt;div class="animation postpone"&gt;&lt;/div&gt;</t>
  </si>
  <si>
    <t>&lt;span class="w"&gt;&lt;b&gt;【1135.cease：〜をやめる】&lt;/b&gt;&lt;/span&gt;
&lt;span class="ml"&gt;ラテン語cedere（行く, 退く）から派生した反復形cessare（やめる）に由来する。
&lt;span class="spacer"&gt;&lt;/span&gt;もともとはその場から立ち去る、身を引くという物理的な動作を表した。そこから、今まで行っていた活動や状態から身を引く＝「やめる」という意味になった。&lt;/span&gt;</t>
  </si>
  <si>
    <t>promise（約束する）と関連させて覚える。</t>
  </si>
  <si>
    <t>&lt;span class="w"&gt;&lt;b&gt;【1136.compromise：妥協する, 〜を危うくする】&lt;/b&gt;&lt;/span&gt;
&lt;span class="ml"&gt;ラテン語に由来する語で、以下の2つの要素から成る。
&lt;span class="spacer"&gt;&lt;/span&gt;com（共に）
pro（前へ）
mittere（送る）
&lt;span class="spacer"&gt;&lt;/span&gt;この語の核は「共に約束する（前もって言葉を送る）」。もともとはAとBが争っているときに、2人とも第三者の仲裁者Cの決定に従おうと約束することを表した。AとBはお互いが納得いくところで争いに決着をつけることから「妥協する」という意味になった。
&lt;span class="spacer"&gt;&lt;/span&gt;また、第三者の決定に従うということは、結果がその仲裁者次第となってしまう。そうすると自身に不利な結果になる可能性があり、リスクを背負うことになるので「危うくする」という意味にもなった。&lt;/span&gt;</t>
  </si>
  <si>
    <t>&lt;span class="w"&gt;&lt;b&gt;【1137.elect：〜を選出する】&lt;/b&gt;&lt;/span&gt;
&lt;span class="ml"&gt;ラテン語に由来する語で、以下の2つの要素から成る。
&lt;span class="spacer"&gt;&lt;/span&gt;ex（外に）
legere（選ぶ）
&lt;span class="spacer"&gt;&lt;/span&gt;このまま日本語にすると「選んで外に」となる。複数の選択肢から選び出すことから、「（ある役職や地位などに）選出する」という意味になる。&lt;/span&gt;</t>
  </si>
  <si>
    <t>日本語でも使われるエキス（抽出されたもの）と関連させて覚える。</t>
  </si>
  <si>
    <t>&lt;span class="w"&gt;&lt;b&gt;【1138.extract：〜を取り出す, 〜を抽出する】&lt;/b&gt;&lt;/span&gt;
&lt;span class="ml"&gt;ラテン語に由来する語で、以下の2つの要素から成る。
&lt;span class="spacer"&gt;&lt;/span&gt;ex（外に）
trahere（引く）
&lt;span class="spacer"&gt;&lt;/span&gt;このまま日本語にすると「外に引く」となり、何かを「取り出す, 抽出する」という意味になる。&lt;/span&gt;</t>
  </si>
  <si>
    <t>世界遺産（World Heritage）のheritageと関連させて覚える。inheritとheritageのherit部分は「相続する」。</t>
  </si>
  <si>
    <t>&lt;span class="w"&gt;&lt;b&gt;【1139.inherit：〜を受け継ぐ, 〜を相続する】&lt;/b&gt;&lt;/span&gt;
&lt;span class="ml"&gt;ラテン語に由来する語で、以下の2つの要素から成る。
&lt;span class="spacer"&gt;&lt;/span&gt;in（中に）
heres（相続人）
&lt;span class="spacer"&gt;&lt;/span&gt;もともとは何かを与える側の視点で、相手を相続人の中に入れることを表した。そこから受け取る側の視点に変化して、財産や能力など様々なものを「受け継ぐ, 相続する」という意味になった。&lt;/span&gt;</t>
  </si>
  <si>
    <t>&lt;span class="w"&gt;&lt;b&gt;【1140.rear：人・動物・植物を育てる】&lt;/b&gt;&lt;/span&gt;
&lt;span class="ml"&gt;古英語ræran（何かを上げる, 持ち上げる, 上昇させる）にさかのぼる。
&lt;span class="spacer"&gt;&lt;/span&gt;古英語では下から上への移動や上昇を表したこの語は、比喩的に、何かを「育てる」という意味になった。
&lt;span class="spacer"&gt;&lt;/span&gt;古英語よりさらにさかのぼると、rearはriseと同じ語に行き着く。つまりrear（育てる）とrise（上がる）は、どちらも「上昇」という共通のイメージを持っている。&lt;/span&gt;</t>
  </si>
  <si>
    <t>&lt;span class="w"&gt;&lt;b&gt;【1128.spoil：〜を台無しにする, 〜を甘やかす】&lt;/b&gt;&lt;/span&gt;
&lt;span class="ml"&gt;ラテン語spolium（戦利品, 敵から奪ったもの）に由来する。
&lt;span class="spacer"&gt;&lt;/span&gt;もともとは敵から剥ぎ取った武器や鎧などの戦利品を表した。装備を奪われた戦士は、戦士としての価値を失うことから、何かの本質や価値を奪って「台無しにする」という意味になった。また、子どもから規律や厳しさを奪ってダメにすることから「甘やかす」という意味にもなった。
&lt;div class="sample_image spoil"&gt;&lt;/div&gt;&lt;/span&gt;</t>
    <phoneticPr fontId="1"/>
  </si>
  <si>
    <t>telepathy
tele（遠く）＋pathy（感情）
テレパシー, 離れたところから感情や思考を受け取ること
&lt;span class="spacer"&gt;&lt;/span&gt;sympathy
sym（同じ）＋pathy（感情）
同情</t>
  </si>
  <si>
    <t>&lt;span class="w"&gt;&lt;b&gt;【1141.empathy：感情移入, 共感】&lt;/b&gt;&lt;/span&gt;
&lt;span class="ml"&gt;ギリシャ語をもとに造られた語で、以下の2つの要素から成る。
&lt;span class="spacer"&gt;&lt;/span&gt;en（中に）
pathos（感情）
&lt;span class="spacer"&gt;&lt;/span&gt;この語の核は「対象の中に感情を入れる」。ここから「感情移入, 共感」という意味になる。telepathy（テレパシー）やsympathy（シンパシー）と同じ。&lt;/span&gt;</t>
  </si>
  <si>
    <t>1858年
Einfühlung
ein（中に）＋Fühlung（感情）</t>
  </si>
  <si>
    <t>1908年
ギリシャ語empatheiaをもとに造られたempathy
芸術鑑賞において、鑑賞者が自己の感情や人格を鑑賞対象に投影すること</t>
  </si>
  <si>
    <t>日本語でも使われる「3・2・1・キュー」という開始の合図。</t>
  </si>
  <si>
    <t>&lt;span class="w"&gt;&lt;b&gt;【1142.cue：合図, 手がかり, 舞台での次の演技の合図】&lt;/b&gt;&lt;/span&gt;
&lt;span class="ml"&gt;語源不明。一説によると、ラテン語のquando（いつ）の頭文字Qとされ、16〜17世紀の舞台演劇において俳優の登場合図として使われた。「演劇での合図」から他の分野でも「合図, 手がかり」として使われるようになった。&lt;/span&gt;</t>
  </si>
  <si>
    <t>&lt;span class="w"&gt;&lt;b&gt;【1143.enterprise：企業, 事業】&lt;/b&gt;&lt;/span&gt;
&lt;span class="ml"&gt;フランス語に由来する語で、以下の2つの要素から成る。
&lt;span class="spacer"&gt;&lt;/span&gt;entre（間に）
prendre（取る）
&lt;span class="spacer"&gt;&lt;/span&gt;この語の核は「対象の中に踏み込んで手を出してつかむ」＝「何かに取りかかる・何かを引き受ける」。つかんだ物事に対して行動することから、何かに着手することや企てという意味が生じ、さらに規模が大きく計画的・継続的な企てへと発展した。そして「事業」や「企業」という意味になった。&lt;/span&gt;</t>
  </si>
  <si>
    <t>&lt;span class="w"&gt;&lt;b&gt;【1144.output：生産（量）, 排出（量）, 出力】&lt;/b&gt;&lt;/span&gt;
&lt;span class="ml"&gt;近代英語にさかのぼり、以下の2つの要素から成る。
&lt;span class="spacer"&gt;&lt;/span&gt;out（外へ）
put（置く, 出す）
&lt;span class="spacer"&gt;&lt;/span&gt;このまま日本語にすると「外に出すこと」となる。そこから「生産（量）, 排出（量）, 出力」などの意味になった。日本語訳は文脈に合わせればよい。&lt;/span&gt;</t>
    <phoneticPr fontId="1"/>
  </si>
  <si>
    <t>progress（進歩, 前身）
pro（前に）＋guess（歩く）
&lt;span class="spacer"&gt;&lt;/span&gt;aggressive（攻撃的な）
ad（〜へ）＋gress（歩く）
相手に対して近づく（威圧や攻撃）</t>
  </si>
  <si>
    <t>&lt;span class="w"&gt;&lt;b&gt;【1145.congress：米国議会, 会議】&lt;/b&gt;&lt;/span&gt;
&lt;span class="ml"&gt;ラテン語に由来する語で、以下の2つの要素から成る。
&lt;span class="spacer"&gt;&lt;/span&gt;com（共に）
gradus（一歩）から派生したgradi（歩く）
&lt;span class="spacer"&gt;&lt;/span&gt;この語の核は「共に歩み寄ること」。もともとは、歩いてきて人が同じ場所に集まることから「会合」や「会議」という意味になった。その後、アメリカ合衆国において、連邦議会の名称としてCongressが採用されて「米国議会」という意味になった。
&lt;div class="sample_image congress"&gt;&lt;/div&gt;&lt;/span&gt;</t>
    <phoneticPr fontId="1"/>
  </si>
  <si>
    <t>&lt;span class="w"&gt;&lt;b&gt;【1146.millennium：千年間】&lt;/b&gt;&lt;/span&gt;
&lt;span class="ml"&gt;ラテン語に由来する語で、以下の2つの要素から成る。
&lt;span class="spacer"&gt;&lt;/span&gt;mille（千）
annus（年）
&lt;span class="spacer"&gt;&lt;/span&gt;このまま日本語にすれば「1000年間」という意味になる。&lt;/span&gt;</t>
  </si>
  <si>
    <t>manは「男」という意味で覚えるが、もともとは性別に関わらず人間を意味する語だった。</t>
  </si>
  <si>
    <t>&lt;span class="w"&gt;&lt;b&gt;【1147.mankind：人類】&lt;/b&gt;&lt;/span&gt;
&lt;span class="ml"&gt;中英語にさかのぼり、以下の2つの要素から成る。
&lt;span class="spacer"&gt;&lt;/span&gt;man（人）
kende（種類, 種族）
&lt;span class="spacer"&gt;&lt;/span&gt;このまま日本語にすると「人という種類」となり、そこから「人類」という意味になった。&lt;/span&gt;</t>
    <phoneticPr fontId="1"/>
  </si>
  <si>
    <t>&lt;span class="w"&gt;&lt;b&gt;【1148.Muslim：イスラム教徒】&lt;/b&gt;&lt;/span&gt;
&lt;span class="ml"&gt;アラビア語muslim（信仰に従う者）に由来する。
&lt;span class="spacer"&gt;&lt;/span&gt;（イスラム教の）信仰に従う者を指し、「イスラム教徒」という意味になった。&lt;/span&gt;</t>
    <phoneticPr fontId="1"/>
  </si>
  <si>
    <t>st(a)を見たら、まず印欧祖語*sta-（立つ）を考える。</t>
  </si>
  <si>
    <t>&lt;span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t>
  </si>
  <si>
    <t>mineはゲームのマインクラフトのmine（鉱山, 掘る）と同じ。地面を掘って爆発物を設置したことから、mine＝爆発物という意味を持つようになった。</t>
  </si>
  <si>
    <t>&lt;span class="w"&gt;&lt;b&gt;【1150.landmine：地雷】&lt;/b&gt;&lt;/span&gt;
&lt;span class="ml"&gt;近代英語にさかのぼり、以下の2つの要素から成る。
&lt;span class="spacer"&gt;&lt;/span&gt;land（土地, 地面）
mine（爆発物）
&lt;span class="spacer"&gt;&lt;/span&gt;もともとmineは「鉱山, 坑道」や「掘る」を意味した。中世の戦争では、強固な城壁を崩すための戦術として、壁の下まで地下トンネル（坑道）を掘り、支柱を燃やして地盤沈下を起こさせ、城壁を陥没させるという方法がとられた。
&lt;span class="spacer"&gt;&lt;/span&gt;その後、火薬が軍事利用されるようになり、掘った坑道の中に火薬を仕掛けて一気に爆破する戦術へと進化したことから、爆発物自体をmineと呼ぶようになった。
&lt;span class="spacer"&gt;&lt;/span&gt;そこからlandmineは、地面に設置された爆弾＝「地雷」という意味になる。&lt;/span&gt;</t>
  </si>
  <si>
    <t>1620年代
敵の要塞の下にトンネルを掘って、下で爆弾を爆発させて城壁を崩すという戦術から、爆発物を設置するという動詞になる
&lt;span class="spacer"&gt;&lt;/span&gt;1866年までに
爆発物
&lt;span class="spacer"&gt;&lt;/span&gt;1890年までに
地雷</t>
  </si>
  <si>
    <t>caut</t>
  </si>
  <si>
    <t>&lt;span class="w"&gt;&lt;b&gt;【1151.caution：用心, 警告】&lt;/b&gt;&lt;/span&gt;
&lt;span class="ml"&gt;ラテン語に由来する語で、以下の2つの要素から成る。
&lt;span class="spacer"&gt;&lt;/span&gt;cavere（警戒する）
io（名詞化）
&lt;span class="spacer"&gt;&lt;/span&gt;このまま日本語にすると「警戒すること」となる。もともとは法的な文脈で使われる言葉だったが、そこから一般的に危険に対する「警告, 用心」という意味になった。&lt;/span&gt;</t>
  </si>
  <si>
    <t>cavere（警戒する）
&lt;span class="spacer"&gt;&lt;/span&gt;名詞を作るioが付いて
cautio（用心, 注意）</t>
  </si>
  <si>
    <t>&lt;span class="w"&gt;&lt;b&gt;【1152.controversy：論争】&lt;/b&gt;&lt;/span&gt;
&lt;span class="ml"&gt;ラテン語に由来する語で、以下の3つの要素から成る。
&lt;span class="spacer"&gt;&lt;/span&gt;contra（反対に）
versus（〜の方に向けられた)
ia（名詞化）
&lt;span class="spacer"&gt;&lt;/span&gt;この語の核は「相手と同じ方向ではなく反対に向いていること、向き合っていること」。つまり考えや立場が対立して争っていることを表し、そこから 「論争」という意味になる。
&lt;div class="sample_image controversy"&gt;&lt;/div&gt;&lt;/span&gt;</t>
    <phoneticPr fontId="1"/>
  </si>
  <si>
    <t>&lt;span class="w"&gt;&lt;b&gt;【1153.consensus：総意, 意見の一致】&lt;/b&gt;&lt;/span&gt;
&lt;span class="ml"&gt;ラテン語に由来する語で、以下の2つの要素から成る。
&lt;span class="spacer"&gt;&lt;/span&gt;con（共に）
sentire（感じる）
&lt;span class="spacer"&gt;&lt;/span&gt;このまま日本語にすると「共に感じる」となる。もともとは、生理学において、身体の異なる器官が連動して反応すること（交感・共鳴）を表した。その異なるもの同士の連動というニュアンスが、人間社会の集団に対して使われるようになり、集団における人々の考えの連動＝「総意, 意見の一致」という意味になった。
&lt;div class="sample_image consensus"&gt;&lt;/div&gt;&lt;/span&gt;</t>
    <phoneticPr fontId="1"/>
  </si>
  <si>
    <t>detail（詳細）
de（完全に）＋tail（切る）
物事を完全に細かく切る＝詳細</t>
  </si>
  <si>
    <t>&lt;span class="w"&gt;&lt;b&gt;【1154.retail：小売り】&lt;/b&gt;&lt;/span&gt;
&lt;span class="ml"&gt;古フランス語に由来する語で、以下の2つの要素から成る。
&lt;span class="spacer"&gt;&lt;/span&gt;re（再び）
taillier（切る, 整える）
&lt;span class="spacer"&gt;&lt;/span&gt;このまま日本語にすると「再び切る」となる。大きなものを繰り返し切って細かくすることから、まとまった商品を切り分けて売る「小売り」という意味になった。
&lt;div class="sample_image retail"&gt;&lt;/div&gt;&lt;/span&gt;</t>
    <phoneticPr fontId="1"/>
  </si>
  <si>
    <t>re（再び）＋taillier（切る, 整える）
retaillier（切り戻す, 切り落とす）
&lt;span class="spacer"&gt;&lt;/span&gt;名詞になって
retail（切り取られた破片, 断片）</t>
  </si>
  <si>
    <t>&lt;span class="w"&gt;&lt;b&gt;【1155.fiber：繊維】&lt;/b&gt;&lt;/span&gt;
&lt;span class="ml"&gt;ラテン語fibra（繊維, 細糸, 内臓）に由来する。
&lt;span class="spacer"&gt;&lt;/span&gt;もともとは人体や動植物の体を構成する糸状の組織（例：筋繊維, 神経）を表した。そこから、絹や綿、麻など布を織るための繊維や食物繊維、光ファイバー、カーボンファイバーなど様々な「繊維」という意味になった。&lt;/span&gt;
&lt;div class="animation fiber"&gt;&lt;/div&gt;</t>
  </si>
  <si>
    <t>&lt;span class="w"&gt;&lt;b&gt;【1156.scent：香り】&lt;/b&gt;&lt;/span&gt;
&lt;span class="ml"&gt;ラテン語sentire（感じる）に由来する。
&lt;span class="spacer"&gt;&lt;/span&gt;感覚の中でも嗅覚に関して使われ、もともとは狩猟において、猟犬が嗅ぎ取る獣のにおいを表した。そこから、空気中にただよう様々な印象的なにおいを表すようになり、一般的な「香り」という意味になった。
&lt;span class="spacer"&gt;&lt;/span&gt;scentのスペルには、本来cは存在しなかった。しかし後にscienceのような他のscというスペルに影響され、cが挿入された。つまり、本当はsense（感覚）に似たsentというスペルだった。&lt;/span&gt;</t>
    <rPh sb="250" eb="252">
      <t>ホンライ</t>
    </rPh>
    <rPh sb="254" eb="256">
      <t>ソンザイ</t>
    </rPh>
    <rPh sb="265" eb="266">
      <t>ノチ</t>
    </rPh>
    <rPh sb="278" eb="279">
      <t>ホカ</t>
    </rPh>
    <rPh sb="289" eb="291">
      <t>エイキョウ</t>
    </rPh>
    <rPh sb="296" eb="298">
      <t>ソウニュウ</t>
    </rPh>
    <rPh sb="306" eb="308">
      <t>ホントウ</t>
    </rPh>
    <rPh sb="315" eb="317">
      <t>カンカク</t>
    </rPh>
    <rPh sb="319" eb="320">
      <t>ニ</t>
    </rPh>
    <phoneticPr fontId="1"/>
  </si>
  <si>
    <t>17世紀
もともとなかったスペル-c-が挿入された
science, ascentなどからの類推</t>
  </si>
  <si>
    <t>&lt;span class="w"&gt;&lt;b&gt;【1157.beverage：（水以外の）飲み物, 飲料】&lt;/b&gt;&lt;/span&gt;
&lt;span class="ml"&gt;古フランス語に由来する語で、以下の2つの要素から成る。
&lt;span class="spacer"&gt;&lt;/span&gt;boivre（飲む）
age（名詞化）
&lt;span class="spacer"&gt;&lt;/span&gt;このまま日本語にすると「飲むもの」となる。もともとは水や酒などのあらゆる飲み物を指した。しかしそこから、日常語のdrinkに対して格式ばったニュアンスのbeverageは、水以外の何らかの手が加わった「飲み物, 飲料」という意味になった。&lt;/span&gt;</t>
  </si>
  <si>
    <t>&lt;span class="w"&gt;&lt;b&gt;【1158.supplement：サプリメント, 栄養補助剤, 補足】&lt;/b&gt;&lt;/span&gt;
&lt;span class="ml"&gt;ラテン語に由来する語で、以下の3つの要素から成る。
&lt;span class="spacer"&gt;&lt;/span&gt;sub（下から上へ）
plere（満たす）
mentum（名詞化）
&lt;span class="spacer"&gt;&lt;/span&gt;このまま日本語にすると「満たすもの」となる。そこから足りない部分を満たす「サプリメント, 補足」という意味になった。&lt;/span&gt;</t>
  </si>
  <si>
    <t>tes</t>
  </si>
  <si>
    <t>&lt;span class="w"&gt;&lt;b&gt;【1159.diabetes：糖尿病】&lt;/b&gt;&lt;/span&gt;
&lt;span class="ml"&gt;ギリシャ語に由来する語で、以下の3つの要素から成る。
&lt;span class="spacer"&gt;&lt;/span&gt;dia（通って）
bainein（行く）
tes（〜するもの）
&lt;span class="spacer"&gt;&lt;/span&gt;このまま日本語にすると「通って行くもの」となる。もともとは、古代ギリシャの医学において、ある病気の患者が大量の水を飲み、それがそのまま尿として排出される症状に付けられた病名だった（diabetes：水がそのまま通って体外へ行く）。
&lt;span class="spacer"&gt;&lt;/span&gt;近代になると、ある医師が、この病気の患者の尿が蜂蜜のように甘いことに気づく。そしてラテン語mellitus（蜂蜜のように甘い）という語を付け加え、現代の正式な医学的病名diabetes mellitus（真性糖尿病）が誕生した。diabetes mellitusは正式な医学用語で、日常ではdiabetesで「糖尿病」を指す。&lt;/span&gt;</t>
  </si>
  <si>
    <t>&lt;span class="w"&gt;&lt;b&gt;【1160.province：州, 省, （provinces）地方, 分野】&lt;/b&gt;&lt;/span&gt;
&lt;span class="ml"&gt;ラテン語provincia（ローマ帝国の支配下にあるイタリア国外の領土, 公職, 公務）に由来する。
&lt;span class="spacer"&gt;&lt;/span&gt;vince部分は、victory（勝利）やconvince（納得させる, 確信させる）の語源であるvincere（征服する）に由来すると考えられている。
&lt;span class="spacer"&gt;&lt;/span&gt;もともとは、ローマ帝国の支配下にあるイタリア国外の領土＝征服地を表した。イタリア半島以外の征服された広大な領土はprovinciaと呼ばれ、ローマ本国から派遣された役人によって統治・管轄されていたことから、現在の国の一つの区画である「〜州, 〜省」という意味になった。さらに管轄する区域から比喩的に、担当や専門などの「分野」という意味になった。
&lt;span class="spacer"&gt;&lt;/span&gt;さらに、もともとがイタリア半島というメインとなる場所の外にある征服地だったことから、首都や大都市に対する「地方」という意味になった。
&lt;div class="sample_image province"&gt;&lt;/div&gt;&lt;/span&gt;</t>
    <phoneticPr fontId="1"/>
  </si>
  <si>
    <t>1620年代
特定のビジネスや専門分野</t>
  </si>
  <si>
    <t>オーストラリアの世界遺産のGreat Barrier Reef（グレートバリアリーフ）と関連させて覚える。&lt;div class="sample_image reef"&gt;&lt;/div&gt;</t>
    <phoneticPr fontId="1"/>
  </si>
  <si>
    <t>&lt;span class="w"&gt;&lt;b&gt;【1161.reef：礁】&lt;/b&gt;&lt;/span&gt;
&lt;span class="ml"&gt;古ノルド語rif（あばら骨, 海中の尾根）に由来する。
&lt;span class="spacer"&gt;&lt;/span&gt;海底のあばら骨のように盛り上がった岩の背、つまり「礁」という意味になる。&lt;/span&gt;</t>
    <rPh sb="83" eb="85">
      <t>ユライ</t>
    </rPh>
    <rPh sb="147" eb="149">
      <t>イミ</t>
    </rPh>
    <phoneticPr fontId="1"/>
  </si>
  <si>
    <t>rif（あばら骨, 海中の尾根）</t>
    <phoneticPr fontId="1"/>
  </si>
  <si>
    <t>&lt;span class="w"&gt;&lt;b&gt;【1162.microbe：微生物, 細菌】&lt;/b&gt;&lt;/span&gt;
&lt;span class="ml"&gt;ギリシャ語をもとに造られた語で、以下の2つの要素から成る。
&lt;span class="spacer"&gt;&lt;/span&gt;mikros（小さい）
bios（生命）
&lt;span class="spacer"&gt;&lt;/span&gt;このまま日本語にすると「小さい生命」すなわち「微生物, 細菌」という意味になる。microは日本語でも使われるマイクロ（ミクロ）で、be部分はbiology（生物学）のバイオ（bio）のこと。&lt;/span&gt;</t>
    <rPh sb="79" eb="80">
      <t>ツク</t>
    </rPh>
    <rPh sb="181" eb="184">
      <t>ニホンゴ</t>
    </rPh>
    <rPh sb="211" eb="213">
      <t>イミ</t>
    </rPh>
    <rPh sb="223" eb="226">
      <t>ニホンゴ</t>
    </rPh>
    <rPh sb="228" eb="229">
      <t>ツカ</t>
    </rPh>
    <rPh sb="245" eb="247">
      <t>ブブン</t>
    </rPh>
    <rPh sb="256" eb="258">
      <t>セイブツ</t>
    </rPh>
    <rPh sb="258" eb="259">
      <t>ガク</t>
    </rPh>
    <phoneticPr fontId="1"/>
  </si>
  <si>
    <t>1878年
セディヨによってギリシャ語をもとに造語された
microbe（極微小な生物）</t>
    <phoneticPr fontId="1"/>
  </si>
  <si>
    <t>exceed（超過する）の名詞として覚える。</t>
    <rPh sb="7" eb="9">
      <t>チョウカ</t>
    </rPh>
    <rPh sb="13" eb="15">
      <t>メイシ</t>
    </rPh>
    <rPh sb="18" eb="19">
      <t>オボ</t>
    </rPh>
    <phoneticPr fontId="1"/>
  </si>
  <si>
    <t>&lt;span class="w"&gt;&lt;b&gt;【1163.excess：過剰, 超過】&lt;/b&gt;&lt;/span&gt;
&lt;span class="ml"&gt;ラテン語に由来する語で、以下の3つの要素から成る。
&lt;span class="spacer"&gt;&lt;/span&gt;ex（外に）
cedere（行く）
us（名詞化）
&lt;span class="spacer"&gt;&lt;/span&gt;このまま日本語にすると「外に行くこと」となる。もともとは、物理的に何かの範囲や領域、境界から外へ出ることを表した。そこから意味が抽象化し、基準や度合を超えること、つまり「超過, 過剰」という意味になった。&lt;/span&gt;</t>
    <rPh sb="143" eb="146">
      <t>メイシカ</t>
    </rPh>
    <rPh sb="180" eb="183">
      <t>ニホンゴ</t>
    </rPh>
    <rPh sb="205" eb="208">
      <t>ブツリテキ</t>
    </rPh>
    <rPh sb="209" eb="210">
      <t>ナニ</t>
    </rPh>
    <rPh sb="212" eb="214">
      <t>ハンイ</t>
    </rPh>
    <rPh sb="215" eb="217">
      <t>リョウイキ</t>
    </rPh>
    <rPh sb="218" eb="220">
      <t>キョウカイ</t>
    </rPh>
    <rPh sb="222" eb="223">
      <t>ソト</t>
    </rPh>
    <rPh sb="224" eb="225">
      <t>デ</t>
    </rPh>
    <rPh sb="229" eb="230">
      <t>アラワ</t>
    </rPh>
    <rPh sb="237" eb="239">
      <t>イミ</t>
    </rPh>
    <rPh sb="240" eb="243">
      <t>チュウショウカ</t>
    </rPh>
    <rPh sb="245" eb="247">
      <t>キジュン</t>
    </rPh>
    <rPh sb="248" eb="250">
      <t>ドアイ</t>
    </rPh>
    <rPh sb="251" eb="252">
      <t>コ</t>
    </rPh>
    <rPh sb="271" eb="273">
      <t>イミ</t>
    </rPh>
    <phoneticPr fontId="1"/>
  </si>
  <si>
    <t>日本語でも使われるギャラリー（観客）やアートギャラリー（画廊）と関係させて覚える。</t>
    <phoneticPr fontId="1"/>
  </si>
  <si>
    <t>&lt;span class="w"&gt;&lt;b&gt;【1164.gallery：美術館, 画廊, ギャラリー, 観客】&lt;/b&gt;&lt;/span&gt;
&lt;span class="ml"&gt;ラテン語galeria（細長い回廊, 柱廊）に由来する。
&lt;span class="spacer"&gt;&lt;/span&gt;もともとは、屋根付きの細長い歩廊や柱廊を表した。近代になると、王族や貴族が宮廷や邸宅の細長い回廊に美術品を展示し、そこを通る人に見せたことから、回廊そのものではなく美術を展示して鑑賞する場所＝「美術館, 画廊, ギャラリー」という意味になった。
&lt;span class="spacer"&gt;&lt;/span&gt;またそうした展示品のところに人が集まり、並んで鑑賞したことから、劇場などの「観客」という意味になった。
&lt;div class="sample_image gallery"&gt;&lt;/div&gt;&lt;/span&gt;</t>
    <rPh sb="104" eb="106">
      <t>ユライ</t>
    </rPh>
    <rPh sb="144" eb="147">
      <t>ヤネツ</t>
    </rPh>
    <rPh sb="149" eb="151">
      <t>ホソナガ</t>
    </rPh>
    <rPh sb="152" eb="154">
      <t>ホロウ</t>
    </rPh>
    <rPh sb="155" eb="157">
      <t>チュウロウ</t>
    </rPh>
    <rPh sb="158" eb="159">
      <t>アラワ</t>
    </rPh>
    <rPh sb="162" eb="164">
      <t>キンダイ</t>
    </rPh>
    <rPh sb="169" eb="171">
      <t>オウゾク</t>
    </rPh>
    <rPh sb="172" eb="174">
      <t>キゾク</t>
    </rPh>
    <rPh sb="175" eb="177">
      <t>キュウテイ</t>
    </rPh>
    <rPh sb="178" eb="180">
      <t>テイタク</t>
    </rPh>
    <rPh sb="191" eb="193">
      <t>テンジ</t>
    </rPh>
    <rPh sb="210" eb="212">
      <t>カイロウ</t>
    </rPh>
    <rPh sb="220" eb="222">
      <t>ビジュツ</t>
    </rPh>
    <rPh sb="223" eb="225">
      <t>テンジ</t>
    </rPh>
    <rPh sb="227" eb="229">
      <t>カンショウ</t>
    </rPh>
    <rPh sb="231" eb="233">
      <t>バショ</t>
    </rPh>
    <rPh sb="253" eb="255">
      <t>イミ</t>
    </rPh>
    <rPh sb="295" eb="298">
      <t>テンジヒン</t>
    </rPh>
    <rPh sb="303" eb="304">
      <t>ヒト</t>
    </rPh>
    <rPh sb="305" eb="306">
      <t>アツ</t>
    </rPh>
    <rPh sb="309" eb="310">
      <t>ナラ</t>
    </rPh>
    <rPh sb="312" eb="314">
      <t>カンショウ</t>
    </rPh>
    <rPh sb="321" eb="323">
      <t>ゲキジョウ</t>
    </rPh>
    <rPh sb="333" eb="335">
      <t>イミ</t>
    </rPh>
    <phoneticPr fontId="1"/>
  </si>
  <si>
    <t>&lt;span class="w"&gt;&lt;b&gt;【1165.fame：名声】&lt;/b&gt;&lt;/span&gt;
&lt;span class="ml"&gt;ラテン語fama（話, 噂, 評判, 名声, 不名誉）に由来する。
&lt;span class="spacer"&gt;&lt;/span&gt;この語の核は「広く知られていること」。そこから「名声」という意味になるが、よくないことで知られるという使い方もあるため、核である「広く知られていること」という意味で覚えておけばよい。&lt;/span&gt;</t>
    <rPh sb="90" eb="92">
      <t>ユライ</t>
    </rPh>
    <rPh sb="126" eb="127">
      <t>ゴ</t>
    </rPh>
    <rPh sb="128" eb="129">
      <t>カク</t>
    </rPh>
    <rPh sb="131" eb="132">
      <t>ヒロ</t>
    </rPh>
    <rPh sb="133" eb="134">
      <t>シ</t>
    </rPh>
    <rPh sb="154" eb="156">
      <t>イミ</t>
    </rPh>
    <rPh sb="168" eb="169">
      <t>シ</t>
    </rPh>
    <rPh sb="175" eb="176">
      <t>ツカ</t>
    </rPh>
    <rPh sb="177" eb="178">
      <t>カタ</t>
    </rPh>
    <rPh sb="184" eb="185">
      <t>カク</t>
    </rPh>
    <rPh sb="189" eb="190">
      <t>ヒロ</t>
    </rPh>
    <rPh sb="191" eb="192">
      <t>シ</t>
    </rPh>
    <rPh sb="203" eb="205">
      <t>イミ</t>
    </rPh>
    <rPh sb="206" eb="207">
      <t>オボ</t>
    </rPh>
    <phoneticPr fontId="1"/>
  </si>
  <si>
    <t>&lt;span class="w"&gt;&lt;b&gt;【1166.deadline：締め切り】&lt;/b&gt;&lt;/span&gt;
&lt;span class="ml"&gt;近代英語にさかのぼり、以下の2つの要素から成る。
&lt;span class="spacer"&gt;&lt;/span&gt;dead（死）
line（線）
&lt;span class="spacer"&gt;&lt;/span&gt;このまま日本語にすると「死線」となる。もともとは、刑務所内の越えてはならない線を表した。そこから超えてはならないタイムリミット＝「締め切り」という意味になった。&lt;/span&gt;</t>
    <rPh sb="169" eb="172">
      <t>ニホンゴ</t>
    </rPh>
    <rPh sb="190" eb="193">
      <t>ケイムショ</t>
    </rPh>
    <rPh sb="193" eb="194">
      <t>ナイ</t>
    </rPh>
    <rPh sb="205" eb="206">
      <t>アラワ</t>
    </rPh>
    <rPh sb="213" eb="214">
      <t>コ</t>
    </rPh>
    <rPh sb="238" eb="240">
      <t>イミ</t>
    </rPh>
    <phoneticPr fontId="1"/>
  </si>
  <si>
    <t>&lt;span class="w"&gt;&lt;b&gt;【1167.undergraduate：学部生】&lt;/b&gt;&lt;/span&gt;
&lt;span class="ml"&gt;近代英語にさかのぼり、以下の2つの要素から成る。
&lt;span class="spacer"&gt;&lt;/span&gt;under（下に）
graduate（卒業生, 学位取得者）
&lt;span class="spacer"&gt;&lt;/span&gt;大学卒業生＝最初の学位（学士号）を取得した人の下の段階を表すことから、「学部生（大学生）」という意味になる。&lt;/span&gt;</t>
    <rPh sb="149" eb="151">
      <t>ガクイ</t>
    </rPh>
    <rPh sb="151" eb="154">
      <t>シュトクシャ</t>
    </rPh>
    <rPh sb="184" eb="189">
      <t>ダイガクソツギョウセイ</t>
    </rPh>
    <rPh sb="190" eb="192">
      <t>サイショ</t>
    </rPh>
    <rPh sb="193" eb="195">
      <t>ガクイ</t>
    </rPh>
    <rPh sb="196" eb="198">
      <t>ガクシ</t>
    </rPh>
    <rPh sb="198" eb="199">
      <t>ゴウ</t>
    </rPh>
    <rPh sb="201" eb="203">
      <t>シュトク</t>
    </rPh>
    <rPh sb="205" eb="206">
      <t>ヒト</t>
    </rPh>
    <rPh sb="212" eb="213">
      <t>アラワ</t>
    </rPh>
    <rPh sb="232" eb="234">
      <t>イミ</t>
    </rPh>
    <phoneticPr fontId="1"/>
  </si>
  <si>
    <t>&lt;span class="w"&gt;&lt;b&gt;【1168.slavery：奴隷制度】&lt;/b&gt;&lt;/span&gt;
&lt;span class="ml"&gt;近代英語近代英語にさかのぼり、以下の2つの要素から成る。
&lt;span class="spacer"&gt;&lt;/span&gt;slave（奴隷にする）
ery（名詞化）
&lt;span class="spacer"&gt;&lt;/span&gt;このまま日本語にすると「奴隷にすること」となる。奴隷状態にする社会的制度＝「奴隷制度」や、比喩的に「何かに支配されていること」という意味になる。&lt;/span&gt;</t>
    <rPh sb="178" eb="181">
      <t>ニホンゴ</t>
    </rPh>
    <rPh sb="205" eb="208">
      <t>シャカイテキ</t>
    </rPh>
    <rPh sb="208" eb="210">
      <t>セイド</t>
    </rPh>
    <rPh sb="219" eb="222">
      <t>ヒユテキ</t>
    </rPh>
    <rPh sb="224" eb="225">
      <t>ナニ</t>
    </rPh>
    <rPh sb="227" eb="229">
      <t>シハイ</t>
    </rPh>
    <rPh sb="240" eb="242">
      <t>イミ</t>
    </rPh>
    <phoneticPr fontId="1"/>
  </si>
  <si>
    <t>&lt;span class="w"&gt;&lt;b&gt;【1169.prey：獲物, 犠牲者】&lt;/b&gt;&lt;/span&gt;
&lt;span class="ml"&gt;ラテン語に由来する語で、以下の2つの要素から成る。
&lt;span class="spacer"&gt;&lt;/span&gt;prae（前に）
heda（捕まえる）
&lt;span class="spacer"&gt;&lt;/span&gt;このまま日本語にすると「前にあるものを捕まえる」となる。もともとは、人間が奪い取る物理的な財産を表したが、そこから動物が捕らえる「獲物」という意味になった。
&lt;span class="spacer"&gt;&lt;/span&gt;また詐欺などの犯罪、あるいは恐怖や絶望といった目に見えない感情や状況に捕らわれることを指して、それらの「犠牲者」という意味にもなった。&lt;/span&gt;</t>
    <rPh sb="173" eb="176">
      <t>ニホンゴ</t>
    </rPh>
    <rPh sb="181" eb="182">
      <t>マエ</t>
    </rPh>
    <rPh sb="188" eb="189">
      <t>ツカ</t>
    </rPh>
    <rPh sb="217" eb="218">
      <t>アラワ</t>
    </rPh>
    <rPh sb="234" eb="236">
      <t>エモノ</t>
    </rPh>
    <rPh sb="240" eb="242">
      <t>イミ</t>
    </rPh>
    <rPh sb="319" eb="320">
      <t>サ</t>
    </rPh>
    <rPh sb="328" eb="331">
      <t>ギセイシャ</t>
    </rPh>
    <rPh sb="335" eb="337">
      <t>イミ</t>
    </rPh>
    <phoneticPr fontId="1"/>
  </si>
  <si>
    <t>mittereの過去分詞missus（置かれたもの, 食卓に出される皿）</t>
    <phoneticPr fontId="1"/>
  </si>
  <si>
    <t>&lt;span class="w"&gt;&lt;b&gt;【1171.recession：不況, 後退】&lt;/b&gt;&lt;/span&gt;
&lt;span class="ml"&gt;ラテン語に由来する語で、以下の3つの要素から成る。
&lt;span class="spacer"&gt;&lt;/span&gt;re（後ろへ）
cedere（行く, 進む）
io（名詞化）
&lt;span class="spacer"&gt;&lt;/span&gt;このまま日本語にすると「後ろへ行くこと」つまり「後退」という意味になる。世界恐慌時にdepression（大不況）よりも程度が軽く、一時的な経済の後退を表す言葉として使われたことから「不況」という意味になった。
&lt;div class="sample_image recession"&gt;&lt;/div&gt;&lt;/span&gt;</t>
    <rPh sb="151" eb="154">
      <t>メイシカ</t>
    </rPh>
    <rPh sb="188" eb="191">
      <t>ニホンゴ</t>
    </rPh>
    <rPh sb="214" eb="216">
      <t>イミ</t>
    </rPh>
    <rPh sb="237" eb="238">
      <t>ダイ</t>
    </rPh>
    <rPh sb="238" eb="240">
      <t>フキョウ</t>
    </rPh>
    <rPh sb="244" eb="246">
      <t>テイド</t>
    </rPh>
    <rPh sb="247" eb="248">
      <t>カル</t>
    </rPh>
    <rPh sb="250" eb="253">
      <t>イチジテキ</t>
    </rPh>
    <rPh sb="260" eb="261">
      <t>アラワ</t>
    </rPh>
    <rPh sb="262" eb="264">
      <t>コトバ</t>
    </rPh>
    <rPh sb="282" eb="284">
      <t>イミ</t>
    </rPh>
    <phoneticPr fontId="1"/>
  </si>
  <si>
    <t>&lt;span class="w"&gt;&lt;b&gt;【1172.retreat：後退, 退却, 撤回】&lt;/b&gt;&lt;/span&gt;
&lt;span class="ml"&gt;ラテン語に由来する語で、以下の2つの要素から成る。
&lt;span class="spacer"&gt;&lt;/span&gt;re（後ろへ）
trahere（引く）
&lt;span class="spacer"&gt;&lt;/span&gt;この語の核は「後ろへ引くこと」。物理的に引っ込めることから「後退, 撤退, 撤回」といった意味になった。また引っ込んで隠れることから「隠れ家, 避難所」という意味にもなる。
&lt;div class="sample_image retreat"&gt;&lt;/div&gt;&lt;/span&gt;</t>
    <rPh sb="177" eb="178">
      <t>ゴ</t>
    </rPh>
    <rPh sb="179" eb="180">
      <t>カク</t>
    </rPh>
    <rPh sb="191" eb="194">
      <t>ブツリテキ</t>
    </rPh>
    <rPh sb="220" eb="222">
      <t>イミ</t>
    </rPh>
    <rPh sb="229" eb="230">
      <t>ヒ</t>
    </rPh>
    <rPh sb="231" eb="232">
      <t>コ</t>
    </rPh>
    <rPh sb="234" eb="235">
      <t>カク</t>
    </rPh>
    <rPh sb="242" eb="243">
      <t>カク</t>
    </rPh>
    <rPh sb="244" eb="245">
      <t>ガ</t>
    </rPh>
    <rPh sb="247" eb="250">
      <t>ヒナンジョ</t>
    </rPh>
    <rPh sb="254" eb="256">
      <t>イミ</t>
    </rPh>
    <phoneticPr fontId="1"/>
  </si>
  <si>
    <t>re（後ろへ）＋trahere（引く）
trahere（引き戻す, 撤退させる）</t>
    <phoneticPr fontId="1"/>
  </si>
  <si>
    <t>&lt;span class="w"&gt;&lt;b&gt;【1173.grave：墓】&lt;/b&gt;&lt;/span&gt;
&lt;span class="ml"&gt;古英語græf（墓, 溝）にさかのぼる。
&lt;span class="spacer"&gt;&lt;/span&gt;古英語より前にさかのぼると、もともとは穴を掘ることを表す語だった。そこから掘られた穴や溝を指すようになり、そして死者を埋葬する「墓」という意味になった。
&lt;div class="sample_image grave"&gt;&lt;/span&gt;</t>
    <rPh sb="111" eb="114">
      <t>コエイゴ</t>
    </rPh>
    <rPh sb="116" eb="117">
      <t>マエ</t>
    </rPh>
    <rPh sb="130" eb="131">
      <t>アナ</t>
    </rPh>
    <rPh sb="132" eb="133">
      <t>ホ</t>
    </rPh>
    <rPh sb="137" eb="138">
      <t>アラワ</t>
    </rPh>
    <rPh sb="139" eb="140">
      <t>ゴ</t>
    </rPh>
    <rPh sb="148" eb="149">
      <t>ホ</t>
    </rPh>
    <rPh sb="152" eb="153">
      <t>アナ</t>
    </rPh>
    <rPh sb="154" eb="155">
      <t>ミゾ</t>
    </rPh>
    <rPh sb="156" eb="157">
      <t>サ</t>
    </rPh>
    <rPh sb="167" eb="169">
      <t>シシャ</t>
    </rPh>
    <rPh sb="170" eb="172">
      <t>マイソウ</t>
    </rPh>
    <rPh sb="175" eb="176">
      <t>ハカ</t>
    </rPh>
    <rPh sb="180" eb="182">
      <t>イミ</t>
    </rPh>
    <phoneticPr fontId="1"/>
  </si>
  <si>
    <t>&lt;span class="w"&gt;&lt;b&gt;【1174.column：コラム, 新聞などの欄, 円柱, 縦列】&lt;/b&gt;&lt;/span&gt;
&lt;span class="ml"&gt;ラテン語columna（柱）に由来する。
&lt;span class="spacer"&gt;&lt;/span&gt;この語は、柱という縦に伸びる細長い形状をもとに様々な意味に発展した。
①屋根を支えるために縦に伸びる「円柱」
②新聞や本のページに縦長に割り付けられた文字のブロック＝「欄」
③縦向きの「列」
④特定の欄に書かれる「コラム」
などの意味になった。
&lt;div class="sample_image column"&gt;&lt;/div&gt;&lt;/span&gt;</t>
    <rPh sb="96" eb="98">
      <t>ユライ</t>
    </rPh>
    <rPh sb="132" eb="133">
      <t>ゴ</t>
    </rPh>
    <rPh sb="135" eb="136">
      <t>ハシラ</t>
    </rPh>
    <rPh sb="139" eb="140">
      <t>タテ</t>
    </rPh>
    <rPh sb="141" eb="142">
      <t>ノ</t>
    </rPh>
    <rPh sb="144" eb="146">
      <t>ホソナガ</t>
    </rPh>
    <rPh sb="147" eb="149">
      <t>ケイジョウ</t>
    </rPh>
    <rPh sb="153" eb="155">
      <t>サマザマ</t>
    </rPh>
    <rPh sb="156" eb="158">
      <t>イミ</t>
    </rPh>
    <rPh sb="159" eb="161">
      <t>ハッテン</t>
    </rPh>
    <rPh sb="166" eb="168">
      <t>ヤネ</t>
    </rPh>
    <rPh sb="169" eb="170">
      <t>ササ</t>
    </rPh>
    <rPh sb="214" eb="215">
      <t>ラン</t>
    </rPh>
    <rPh sb="227" eb="229">
      <t>トクテイ</t>
    </rPh>
    <rPh sb="230" eb="231">
      <t>ラン</t>
    </rPh>
    <rPh sb="232" eb="233">
      <t>カ</t>
    </rPh>
    <rPh sb="245" eb="247">
      <t>イミ</t>
    </rPh>
    <phoneticPr fontId="1"/>
  </si>
  <si>
    <t>&lt;span class="w"&gt;&lt;b&gt;【1175.scenery：（集合的・全体的な）景色（不可算）】&lt;/b&gt;&lt;/span&gt;
&lt;span class="ml"&gt;近代英語にさかのぼり、以下の2つの要素から成る。
&lt;span class="spacer"&gt;&lt;/span&gt;scene（舞台の一つひとつの場面）
ery（集合化）
&lt;span class="spacer"&gt;&lt;/span&gt;sceneは古代ギリシャ語skēnē（テント, 小屋）に由来する。古代ギリシャの演劇では、俳優が着替えや休憩をするためのテントや小屋が舞台の後ろに建てられており、それを舞台のシーンを表す背景として使うようになった。
&lt;span class="spacer"&gt;&lt;/span&gt;そして舞台の場面を表す背景から発展して、現実において、まるで舞台背景のような、その場所全体の外観＝「景色」という意味になった。&lt;/span&gt;</t>
    <rPh sb="46" eb="47">
      <t>フ</t>
    </rPh>
    <rPh sb="47" eb="49">
      <t>カサン</t>
    </rPh>
    <rPh sb="195" eb="197">
      <t>コダイ</t>
    </rPh>
    <rPh sb="201" eb="202">
      <t>ゴ</t>
    </rPh>
    <rPh sb="217" eb="219">
      <t>ユライ</t>
    </rPh>
    <rPh sb="241" eb="243">
      <t>キュウケイ</t>
    </rPh>
    <rPh sb="280" eb="281">
      <t>アラワ</t>
    </rPh>
    <rPh sb="287" eb="288">
      <t>ツカ</t>
    </rPh>
    <rPh sb="340" eb="342">
      <t>ハッテン</t>
    </rPh>
    <rPh sb="345" eb="347">
      <t>ゲンジツ</t>
    </rPh>
    <rPh sb="381" eb="383">
      <t>イミ</t>
    </rPh>
    <phoneticPr fontId="1"/>
  </si>
  <si>
    <t>skēnē（テント, 小屋）</t>
    <rPh sb="11" eb="13">
      <t>コヤ</t>
    </rPh>
    <phoneticPr fontId="1"/>
  </si>
  <si>
    <t>&lt;span class="w"&gt;&lt;b&gt;【1176.plot：物語や小説の筋】&lt;/b&gt;&lt;/span&gt;
&lt;span class="ml"&gt;古英語plot（明確な形に区切られた小さな土地）にさかのぼる。
&lt;span class="spacer"&gt;&lt;/span&gt;この語の核は「物事を配置して組み立てる」。もともとは、明確な形に区切られた小さな土地を表した。そこから実際の土地そのものだけではなく、紙の上に描かれた土地の見取り図や平面図を表すようになる。
&lt;span class="spacer"&gt;&lt;/span&gt;平面に線を引いて綿密に要素を組み立てて図を作るという行為から、ひそかに計画を練る「陰謀」や、物語や劇などのために練り上げられた「話の筋書き」という意味になった。&lt;/span&gt;</t>
    <rPh sb="129" eb="130">
      <t>ゴ</t>
    </rPh>
    <rPh sb="131" eb="132">
      <t>カク</t>
    </rPh>
    <rPh sb="134" eb="136">
      <t>モノゴト</t>
    </rPh>
    <rPh sb="137" eb="139">
      <t>ハイチ</t>
    </rPh>
    <rPh sb="141" eb="142">
      <t>ク</t>
    </rPh>
    <rPh sb="143" eb="144">
      <t>タ</t>
    </rPh>
    <rPh sb="170" eb="171">
      <t>アラワ</t>
    </rPh>
    <rPh sb="178" eb="180">
      <t>ジッサイ</t>
    </rPh>
    <rPh sb="181" eb="183">
      <t>トチ</t>
    </rPh>
    <rPh sb="194" eb="195">
      <t>カミ</t>
    </rPh>
    <rPh sb="196" eb="197">
      <t>ウエ</t>
    </rPh>
    <rPh sb="198" eb="199">
      <t>エガ</t>
    </rPh>
    <rPh sb="202" eb="204">
      <t>トチ</t>
    </rPh>
    <rPh sb="205" eb="207">
      <t>ミト</t>
    </rPh>
    <rPh sb="208" eb="209">
      <t>ズ</t>
    </rPh>
    <rPh sb="210" eb="213">
      <t>ヘイメンズ</t>
    </rPh>
    <rPh sb="214" eb="215">
      <t>アラワ</t>
    </rPh>
    <rPh sb="254" eb="255">
      <t>セン</t>
    </rPh>
    <rPh sb="256" eb="257">
      <t>ヒ</t>
    </rPh>
    <rPh sb="259" eb="261">
      <t>メンミツ</t>
    </rPh>
    <rPh sb="262" eb="264">
      <t>ヨウソ</t>
    </rPh>
    <rPh sb="265" eb="266">
      <t>ク</t>
    </rPh>
    <rPh sb="267" eb="268">
      <t>タ</t>
    </rPh>
    <rPh sb="270" eb="271">
      <t>ズ</t>
    </rPh>
    <rPh sb="272" eb="273">
      <t>ツク</t>
    </rPh>
    <rPh sb="277" eb="279">
      <t>コウイ</t>
    </rPh>
    <rPh sb="286" eb="288">
      <t>ケイカク</t>
    </rPh>
    <rPh sb="289" eb="290">
      <t>ネ</t>
    </rPh>
    <rPh sb="307" eb="308">
      <t>ネ</t>
    </rPh>
    <rPh sb="309" eb="310">
      <t>ア</t>
    </rPh>
    <rPh sb="315" eb="316">
      <t>ハナシ</t>
    </rPh>
    <rPh sb="324" eb="326">
      <t>イミ</t>
    </rPh>
    <phoneticPr fontId="1"/>
  </si>
  <si>
    <t>後期古英語</t>
    <phoneticPr fontId="1"/>
  </si>
  <si>
    <t>&lt;span class="w"&gt;&lt;b&gt;【1177.sculpture：彫刻（作品）】&lt;/b&gt;&lt;/span&gt;
&lt;span class="ml"&gt;ラテン語に由来する語で、以下の2つの要素から成る。
&lt;span class="spacer"&gt;&lt;/span&gt;sculpere（彫る, 刻む）
ura（名詞化）
&lt;span class="spacer"&gt;&lt;/span&gt;このまま日本語にすると「彫ること」となる。そこから芸術ジャンルとしての「彫刻」や、それによって作られた「彫刻作品」という意味になる。&lt;/span&gt;</t>
    <rPh sb="146" eb="149">
      <t>メイシカ</t>
    </rPh>
    <rPh sb="183" eb="186">
      <t>ニホンゴ</t>
    </rPh>
    <rPh sb="204" eb="206">
      <t>ゲイジュツ</t>
    </rPh>
    <rPh sb="226" eb="227">
      <t>ツク</t>
    </rPh>
    <rPh sb="239" eb="241">
      <t>イミ</t>
    </rPh>
    <phoneticPr fontId="1"/>
  </si>
  <si>
    <t>日本語でも使われるタブレットや、table（テーブル）から形状をイメージする。</t>
    <phoneticPr fontId="1"/>
  </si>
  <si>
    <t>&lt;span class="w"&gt;&lt;b&gt;【1178.tablet：タブレット端末, 錠剤】&lt;/b&gt;&lt;/span&gt;
&lt;span class="ml"&gt;ラテン語に由来する語で、以下の2つの要素から成る。
&lt;span class="spacer"&gt;&lt;/span&gt;tabula（平板：tableの語源）
eta（小さいことを表す）
&lt;span class="spacer"&gt;&lt;/span&gt;このまま日本語にすると「小さな板」となる。もともとは、主に文字を書き留めるための小さな板（ろう引きの書字板など）を表した。そしてその平たくて薄い形状から発展して、小さな板の形状をした薬＝「錠剤」や、小さな板の形状をした「タブレット端末」という意味になった。
&lt;div class="sample_image tablet"&gt;&lt;/div&gt;&lt;/span&gt;</t>
    <rPh sb="151" eb="152">
      <t>チイ</t>
    </rPh>
    <rPh sb="157" eb="158">
      <t>アラワ</t>
    </rPh>
    <rPh sb="193" eb="196">
      <t>ニホンゴ</t>
    </rPh>
    <rPh sb="246" eb="247">
      <t>アラワ</t>
    </rPh>
    <rPh sb="255" eb="256">
      <t>ヒラ</t>
    </rPh>
    <rPh sb="259" eb="260">
      <t>ウス</t>
    </rPh>
    <rPh sb="261" eb="263">
      <t>ケイジョウ</t>
    </rPh>
    <rPh sb="265" eb="267">
      <t>ハッテン</t>
    </rPh>
    <rPh sb="310" eb="312">
      <t>イミ</t>
    </rPh>
    <phoneticPr fontId="1"/>
  </si>
  <si>
    <t>日本語でも使われるパラレルワールド（並行世界）と関連させて覚える。</t>
    <rPh sb="0" eb="3">
      <t>ニホンゴ</t>
    </rPh>
    <rPh sb="5" eb="6">
      <t>ツカ</t>
    </rPh>
    <rPh sb="18" eb="22">
      <t>ヘイコウセカイ</t>
    </rPh>
    <rPh sb="24" eb="26">
      <t>カンレン</t>
    </rPh>
    <rPh sb="29" eb="30">
      <t>オボ</t>
    </rPh>
    <phoneticPr fontId="1"/>
  </si>
  <si>
    <t>日本語でも使われるテンション（tension, 緊張）と関連させて覚える。</t>
    <phoneticPr fontId="1"/>
  </si>
  <si>
    <t>sense（感覚）の形容詞として覚える。</t>
    <rPh sb="10" eb="13">
      <t>ケイヨウシ</t>
    </rPh>
    <phoneticPr fontId="1"/>
  </si>
  <si>
    <t>&lt;span class="w"&gt;&lt;b&gt;【1179.dense：密集した, 密度の高い, （霧などが）濃い】&lt;/b&gt;&lt;/span&gt;
&lt;span class="ml"&gt;ラテン語densus（密集した, 混み合った）に由来する。
&lt;span class="spacer"&gt;&lt;/span&gt;ラテン語からの意味の変化はほとんどない。この語の核は「ぎゅっと詰まっている」。&lt;/span&gt;</t>
  </si>
  <si>
    <t>&lt;span class="w"&gt;&lt;b&gt;【1180.exotic：外来の, 異国風の】&lt;/b&gt;&lt;/span&gt;
&lt;span class="ml"&gt;ギリシャ語に由来する語で、以下の2つの要素から成る。
&lt;span class="spacer"&gt;&lt;/span&gt;exo（外に）
ikos（形容詞化）
&lt;span class="spacer"&gt;&lt;/span&gt;この語の核は「外の世界から来た」。そこから「外来の」や「異国風の」という意味になる。&lt;/span&gt;</t>
  </si>
  <si>
    <t>&lt;span class="w"&gt;&lt;b&gt;【1181.acid：酸性の, 酸っぱい】&lt;/b&gt;&lt;/span&gt;
&lt;span class="ml"&gt;ラテン語acidus（酸っぱい, 鋭い）に由来する。
&lt;span class="spacer"&gt;&lt;/span&gt;ラテン語から意味の変化はほとんどない。これより前の印欧祖語にさかのぼると、*ak-（鋭い, 尖った）に由来する。口の中でチクチクする尖ったような感覚（ak-）から、「酸性の, 酸っぱい」という意味になった。
&lt;span class="spacer"&gt;&lt;/span&gt;この印欧祖語からはacute（急性の, 痛みが鋭く激しい, 鋭い）も生まれている。acid, acuteのac部分は「鋭い」というイメージを持っておくとよい。&lt;/span&gt;</t>
  </si>
  <si>
    <t>ak-（鋭い, 尖った）</t>
  </si>
  <si>
    <t>日本語でも使われるビターチョコ（苦い）と関連させて覚える。</t>
  </si>
  <si>
    <t>&lt;span class="w"&gt;&lt;b&gt;【1182.bitter：苦い, つらい, 辛辣な】&lt;/b&gt;&lt;/span&gt;
&lt;span class="ml"&gt;印欧祖語*bheid-（裂く, 割る）にさかのぼる。
&lt;span class="spacer"&gt;&lt;/span&gt;この語の核は「舌を切り裂くような鋭い感覚」。そこから口の中に広がる苦味につながり「苦い」という意味になった。また苦味という味覚から発展して、日本語でも「苦い経験」という言葉があるように、物理的・環境的・心理的に「つらい, 辛辣な」という意味にもなった。
&lt;span class="spacer"&gt;&lt;/span&gt;印欧祖語*bheid-（裂く, 割る）からは、bite（噛む）やbit（少し）も生まれている。biteは噛んで切り裂くという行為、bitは噛みちぎったひとかけら＝少量という意味になっている。&lt;/span&gt;</t>
  </si>
  <si>
    <t>&lt;span class="w"&gt;&lt;b&gt;【1183.sensible：賢明な, 実用的な】&lt;/b&gt;&lt;/span&gt;
&lt;span class="ml"&gt;ラテン語に由来する語で、以下の2つの要素から成る。
&lt;span class="spacer"&gt;&lt;/span&gt;sentire（感じる）から派生したsensus（感覚）
bilis（できる）
&lt;span class="spacer"&gt;&lt;/span&gt;もともとは、感覚によって把握できるという物理的な知覚を表していた。そこから、精神（理性）で把握する能力があるという知的な意味へと変化して「賢明な」という意味になった。
&lt;span class="spacer"&gt;&lt;/span&gt;また、この賢明であるということから衣服や靴などについて、しっかり考えて作られており、機能的で理にかなっている＝「実用的な」という意味になった。
&lt;div class="sample_image sensible"&gt;&lt;/div&gt;&lt;/span&gt;</t>
  </si>
  <si>
    <t>14世紀後期
感覚や感情を持つ能力がある
感知できる
比喩的に、精神で知覚して簡単に理解できる
&lt;span class="spacer"&gt;&lt;/span&gt;1400年頃
知的な知覚能力がある
洞察力のある, 賢い
&lt;span class="spacer"&gt;&lt;/span&gt;15世紀初頭までに
何かを意識して認識している</t>
  </si>
  <si>
    <t>1650年代
衣類や靴などに関して、流行に流されず実用的な</t>
  </si>
  <si>
    <t>&lt;span class="w"&gt;&lt;b&gt;【1184.noble：高貴な, 高潔な, 気高い】&lt;/b&gt;&lt;/span&gt;
&lt;span class="ml"&gt;ラテン語に由来する語で、以下の2つの要素から成る。
&lt;span class="spacer"&gt;&lt;/span&gt;gnoscere（知る）
bilis（できる）
&lt;span class="spacer"&gt;&lt;/span&gt;この語の核は「皆によく知られている＝知名度が高い」。当時の社会で、世間によく知られているということは身分が高い家、つまり貴族ということになる。そこから「高貴な」という意味になった。
&lt;span class="spacer"&gt;&lt;/span&gt;また高貴な人々にふさわしいとされる道徳心や立派な振る舞いから「高潔な, 気高い」という意味にもなった。
&lt;div class="sample_image noble"&gt;&lt;/div&gt;&lt;/span&gt;</t>
  </si>
  <si>
    <t>&lt;span class="w"&gt;&lt;b&gt;【1185.vague：曖昧な, 漠然とした】&lt;/b&gt;&lt;/span&gt;
&lt;span class="ml"&gt;ラテン語vagus（ぶらつく, 放浪する）に由来する。
&lt;span class="spacer"&gt;&lt;/span&gt;行き先が定まっておらず、ふらふらしている様子から比喩的に、言葉の意味や考え、感情などがはっきりしていなくて「曖昧な, 漠然とした」という意味になった。
&lt;div class="sample_image vague"&gt;&lt;/div&gt;&lt;/span&gt;</t>
  </si>
  <si>
    <t>&lt;span class="w"&gt;&lt;b&gt;【1186.parallel：平行の, 並行の】&lt;/b&gt;&lt;/span&gt;
&lt;span class="ml"&gt;ギリシャ語に由来する語で、以下の2つの要素から成る。
&lt;span class="spacer"&gt;&lt;/span&gt;para（傍らに）
allēlois（お互いに）
&lt;span class="spacer"&gt;&lt;/span&gt;このまま日本語にすると「お互いが傍にある」となる。そこから幾何学において、お互いが傍にあって交わらない＝「平行な」や、お互いが傍に並んで進んで行く＝「並行な」という意味になった。
&lt;div class="sample_image parallel"&gt;&lt;/div&gt;&lt;/span&gt;</t>
  </si>
  <si>
    <t>&lt;span class="w"&gt;&lt;b&gt;【1187.tense：緊張した, 張り詰めた】&lt;/b&gt;&lt;/span&gt;
&lt;span class="ml"&gt;ラテン語tendere（伸ばす, 張る）に由来する。
&lt;span class="spacer"&gt;&lt;/span&gt;この語の核は「糸やロープが両端から引っ張られている状態」。この物理的な緊張から、心理的な緊張状態や状況の緊張状態にも広がって「張り詰めた, 緊張した」という意味になった。&lt;/span&gt;
&lt;div class="animation tense"&gt;&lt;/div&gt;</t>
  </si>
  <si>
    <t>&lt;span class="w"&gt;&lt;b&gt;【1188.vertical：垂直の】&lt;/b&gt;&lt;/span&gt;
&lt;span class="ml"&gt;ラテン語に由来する語で、以下の2つの要素から成る。
&lt;span class="spacer"&gt;&lt;/span&gt;vertere（回す）から派生したvertex（回転, 渦, 頂点）
alis（形容詞化）
&lt;span class="spacer"&gt;&lt;/span&gt;この語の核は「回転」。物体の回転や天体の回転、水の渦、髪の渦（つむじ）など、あらゆる回転には中心を通る上下に伸びる軸がある。たとえば天体の回転も、観察者の真上に中心があり、そこを軸として空全体が回転しているように見える。
&lt;span class="spacer"&gt;&lt;/span&gt;そこから、天頂から地平線に対してまっすぐ下ろした線、つまり真上にある頂点から真下へと直角に交わる線へと繋がって「垂直な」という意味になった。
&lt;div class="sample_image vertical"&gt;&lt;/div&gt;&lt;/span&gt;</t>
  </si>
  <si>
    <t>vertere（回す, 向ける）
&lt;span class="spacer"&gt;&lt;/span&gt;名詞になって
vertex（回転, 渦, 頂点, 最高点）</t>
  </si>
  <si>
    <t>&lt;span class="w"&gt;&lt;b&gt;【1189.indigenous：原産の, 先住の】&lt;/b&gt;&lt;/span&gt;
&lt;span class="ml"&gt;ラテン語に由来する語で、以下の3つの要素から成る。
&lt;span class="spacer"&gt;&lt;/span&gt;indu（中に）
gignere（生む）
us（形容詞化）
&lt;span class="spacer"&gt;&lt;/span&gt;この語の核は「ある環境の中で生まれた」。ある土地に初めから根付いている動植物や人を表して「土着の, 先住の」という意味になった。
&lt;div class="sample_image indigenous"&gt;&lt;/div&gt;&lt;/span&gt;</t>
  </si>
  <si>
    <t>&lt;span class="w"&gt;&lt;b&gt;【1190.aboriginal：（大文字Aで）アボリジニの, 先住の, 原生の】&lt;/b&gt;&lt;/span&gt;
&lt;span class="ml"&gt;ラテン語に由来する語で、以下の2つの要素から成る。
&lt;span class="spacer"&gt;&lt;/span&gt;ab（〜から）
origo（始まり, 源泉：originの語源）
&lt;span class="spacer"&gt;&lt;/span&gt;このまま日本語にすると「オリジン（始まり）から」となる。最初からその土地にいる人・動物・植物を指して「先住の, 原生の」という意味になった。
&lt;span class="spacer"&gt;&lt;/span&gt;また近代において、イギリス人がオーストラリアに入って住み着いた後、最初からオーストラリアに住んでいた人々を指して「アボリジニの（Aboriginal）」という意味になった。&lt;/span&gt;</t>
  </si>
  <si>
    <t>&lt;span class="w"&gt;&lt;b&gt;【1191.seasonal：季節の】&lt;/b&gt;&lt;/span&gt;
&lt;span class="ml"&gt;近代英語に由来する語で、以下の2つの要素から成る。
&lt;span class="spacer"&gt;&lt;/span&gt;season（季節）
al（形容詞化）
&lt;span class="spacer"&gt;&lt;/span&gt;このまま日本語にすれば「季節の」という意味になる。&lt;/span&gt;</t>
  </si>
  <si>
    <t>&lt;span class="w"&gt;&lt;b&gt;【1192.abundant：豊富な】&lt;/b&gt;&lt;/span&gt;
&lt;span class="ml"&gt;ラテン語に由来する語で、以下の2つの要素から成る。
&lt;span class="spacer"&gt;&lt;/span&gt;ab（〜から）
undare（波打つ）
&lt;span class="spacer"&gt;&lt;/span&gt;このまま日本語にすると「〜から波打つ」となる。波が打ち寄せて水が溢れるように、物や富、機会などが溢れるほどあり余ることを表して「豊富な」という意味になる。
&lt;div class="sample_image abundant"&gt;&lt;/div&gt;&lt;/span&gt;</t>
  </si>
  <si>
    <t>&lt;span class="w"&gt;&lt;b&gt;【1193.hybrid：ハイブリッドの, 雑種の, 混成の】&lt;/b&gt;&lt;/span&gt;
&lt;span class="ml"&gt;ラテン語ibrida（雑種）に由来する。
&lt;span class="spacer"&gt;&lt;/span&gt;ラテン語から意味の変化はほとんどない。日本語のハイブリッドと同じで、2つのものを混ぜたものを指して「雑種の, 混成の, ハイブリッドの」という意味になる。&lt;/span&gt;</t>
  </si>
  <si>
    <t>&lt;span class="w"&gt;&lt;b&gt;【1194.irrelevant：無関係の】&lt;/b&gt;&lt;/span&gt;
&lt;span class="ml"&gt;近代英語にさかのぼり、以下の2つの要素から成る。
&lt;span class="spacer"&gt;&lt;/span&gt;in（否定）
relevant（関連のある）
&lt;span class="spacer"&gt;&lt;/span&gt;このまま日本語にすれば関連がない＝「無関係の」という意味になる。relevantの語源は関連語を参照。&lt;/span&gt;</t>
  </si>
  <si>
    <t>&lt;span class="w"&gt;&lt;b&gt;【1195.ridiculous：ばかげた】&lt;/b&gt;&lt;/span&gt;
&lt;span class="ml"&gt;ラテン語に由来する語で、以下の2つの要素から成る。
&lt;span class="spacer"&gt;&lt;/span&gt;ridere（笑う）
ulus（形容詞化）
&lt;span class="spacer"&gt;&lt;/span&gt;もともとは笑ってしまう、おかしいということを表したが、時代が下るにつれて嘲笑や呆れというネガティブな意味へ変化して「ばかげた」という意味になった。&lt;/span&gt;</t>
  </si>
  <si>
    <t>&lt;span class="w"&gt;&lt;b&gt;【1196.fairy：妖精の】&lt;/b&gt;&lt;/span&gt;
&lt;span class="ml"&gt;古フランス語に由来する語で、以下の2つの要素から成る。
&lt;span class="spacer"&gt;&lt;/span&gt;fee（妖精）
erie（名詞化：〜の場所）
&lt;span class="spacer"&gt;&lt;/span&gt;もともとは妖精の国を指したが、そこからそこに住んでいる妖精に焦点が当たって「妖精の」という意味になった。&lt;/span&gt;</t>
  </si>
  <si>
    <t>&lt;span class="w"&gt;&lt;b&gt;【1197.sensory：感覚の】&lt;/b&gt;&lt;/span&gt;
&lt;span class="ml"&gt;ラテン語に由来する語で、以下の2つの要素から成る。
&lt;span class="spacer"&gt;&lt;/span&gt;sentire（感じる）から派生したsensus（感覚）
orius（形容詞化）
&lt;span class="spacer"&gt;&lt;/span&gt;このまま日本語にすれば「感覚の」という意味になる。sense（感覚）の形容詞として覚えればよい。&lt;/span&gt;</t>
  </si>
  <si>
    <t>ギリシャ神話にはクロノスという時間の神が登場する。chrono-系は時間に関わる語。</t>
  </si>
  <si>
    <t>&lt;span class="w"&gt;&lt;b&gt;【1198.chronic：慢性の, 長引く】&lt;/b&gt;&lt;/span&gt;
&lt;span class="ml"&gt;ギリシャ語に由来する語で、以下の2つの要素から成る。
&lt;span class="spacer"&gt;&lt;/span&gt;khronos（時間）
ikos（形容詞化）
&lt;span class="spacer"&gt;&lt;/span&gt;もともとは、時間に関わるということを表したが、医学用語でacute（急性の）に対して、病気や痛みが長い時間続くことを表すようにになった。そうして病気が「慢性の」や、問題や悪癖などが「長引く」といった意味になった。
&lt;span class="spacer"&gt;&lt;/span&gt;日本語でも使うシンクロする（同時に起こる, synchronize）や、クロニクル（年代記, chronicle）のchro部分も同じギリシャ語に由来して「時間」を表す。&lt;/span&gt;</t>
  </si>
  <si>
    <t>&lt;span class="w"&gt;&lt;b&gt;【1199.voluntary：自発的な】&lt;/b&gt;&lt;/span&gt;
&lt;span class="ml"&gt;ラテン語に由来する語で、以下の2つの要素から成る。
&lt;span class="spacer"&gt;&lt;/span&gt;voluntas（意志）
arius（形容詞化）
&lt;span class="spacer"&gt;&lt;/span&gt;この語の核は「誰かに強制されたり命令されたりするのではなく、自分自身の内なる意志から進んで行動を起こすこと」。そこから「自発的な」という意味になる。
&lt;span class="spacer"&gt;&lt;/span&gt;ボラティアは同じ語源から派生した名詞で、自発的に行動する者を表す。&lt;/span&gt;</t>
  </si>
  <si>
    <t>&lt;span class="w"&gt;&lt;b&gt;【1200.inclined：傾向がある】&lt;/b&gt;&lt;/span&gt;
&lt;span class="ml"&gt;ラテン語に由来する語で、以下の2つの要素から成る。
&lt;span class="spacer"&gt;&lt;/span&gt;in（中に）
clinare（傾く）
&lt;span class="spacer"&gt;&lt;/span&gt;このまま日本語にすると「中に傾く」となる。物理的に何かがある方へ傾くことから、心や性質が対象へ傾くことも表すようになった。
&lt;span class="spacer"&gt;&lt;/span&gt;be inclined to doで「〜すること」に対して心や性質が傾いている、つまり「〜する傾向がある」「〜したい気がする（考えた結果そちらに心が傾いている）」といった意味になる。
&lt;div class="sample_image inclined"&gt;&lt;/div&gt;&lt;/span&gt;</t>
  </si>
  <si>
    <t>&lt;span class="w"&gt;&lt;b&gt;【1201.infer：〜を推論する, 推測する】&lt;/b&gt;&lt;/span&gt;
&lt;span class="ml"&gt;ラテン語に由来する語で、以下の2つの要素から成る。
&lt;span class="spacer"&gt;&lt;/span&gt;in（中に）
ferre（運ぶ）
&lt;span class="spacer"&gt;&lt;/span&gt;このまま日本語にすると「中に運ぶ」となる。既にある事柄を思考の中に持ち込んで結論を出すことから、既知の情報をもとに「推論する, 推測する」という意味になる。
&lt;div class="sample_image infer"&gt;&lt;/div&gt;&lt;/span&gt;</t>
  </si>
  <si>
    <t>estimate（見積もる）と関連させて覚える。</t>
  </si>
  <si>
    <t>&lt;span class="w"&gt;&lt;b&gt;【1202.esteem：〜を尊敬する】&lt;/b&gt;&lt;/span&gt;
&lt;span class="ml"&gt;ラテン語aestimare（価値を定める, 評価する, 査定する）に由来する。
&lt;span class="spacer"&gt;&lt;/span&gt;当初はestimate（見積もる）と同じ意味だったが、そこから対象を高く評価することに特化して「尊敬する」という意味になった。&lt;/span&gt;</t>
  </si>
  <si>
    <t>&lt;span class="w"&gt;&lt;b&gt;【1203.tackle：〜に取り組む】&lt;/b&gt;&lt;/span&gt;
&lt;span class="ml"&gt;中英語takel（船の索具）にさかのぼる。
&lt;span class="spacer"&gt;&lt;/span&gt;もともとは、船の帆を操作するためのロープや滑車などの道具一式（索具）を表した。ロープを絡ませたり巻き付けたりして、帆の上げ下げや向きの調整、重いものの引き上げなどを行うことから、ロープをしっかりつかむ、船をしっかり操作するという動詞になった。
&lt;span class="spacer"&gt;&lt;/span&gt;そこから船に限らず、何らかの対象をしっかりつかむ、対象につかみかかるという意味へと発展し、さらに、困難な問題や仕事などに真正面から「取り組む」という意味になった。
&lt;span class="spacer"&gt;&lt;/span&gt;この意味の発展の先に、スポーツの「タックルする」もある。そのため反対に、ラグビーやアメフトの真正面からぶつかるイメージから、問題に対してまっすぐ「取り組む」というイメージを持っておけばよい。
&lt;div class="sample_image tackle"&gt;&lt;/div&gt;&lt;/span&gt;</t>
    <phoneticPr fontId="1"/>
  </si>
  <si>
    <t>&lt;span class="w"&gt;&lt;b&gt;【1204.venture：危険を冒して進む】&lt;/b&gt;&lt;/span&gt;
&lt;span class="ml"&gt;古ラテン語に由来する語で、以下の2つの要素から成る。
&lt;span class="spacer"&gt;&lt;/span&gt;ad（〜へ）
venire（来る）
&lt;span class="spacer"&gt;&lt;/span&gt;このまま日本語にすると「〜へ来る」となる。もともとは、どこかから何かが自分の元へやって来ることを表した。そこから、将来的に起こることという意味を経て、将来的に結果がどうなるかわからない出来事、そして結果がわからない危険な試みへと発展し、動詞で「危険を冒して進む」という意味になった。&lt;/span&gt;</t>
  </si>
  <si>
    <t>aventure
&lt;span class="spacer"&gt;&lt;/span&gt;1200年頃
偶然に起こること, 運
&lt;span class="spacer"&gt;&lt;/span&gt;1300年頃
自分の運を試すこと, リスク, 危険
&lt;span class="spacer"&gt;&lt;/span&gt;14世紀後期
危険な試み</t>
  </si>
  <si>
    <t>車のアクセルを踏む（加速させる）と関連させて覚える。</t>
  </si>
  <si>
    <t>&lt;span class="w"&gt;&lt;b&gt;【1205.accelerate：〜を加速させる, 〜を促進させる, 加速する】&lt;/b&gt;&lt;/span&gt;
&lt;span class="ml"&gt;ラテン語に由来する語で、以下の2つの要素から成る。
&lt;span class="spacer"&gt;&lt;/span&gt;ad（〜へ）
celerare（速める）
&lt;span class="spacer"&gt;&lt;/span&gt;このまま日本語にすると「〜へ速める」となる。物理的に速度を速めるだけではなく、物事の進行や成長に対しても「加速させる, 加速する」という意味になった。&lt;/span&gt;</t>
  </si>
  <si>
    <t>&lt;span class="w"&gt;&lt;b&gt;【1206.accustom：〜を慣れさせる】&lt;/b&gt;&lt;/span&gt;
&lt;span class="ml"&gt;古フランス語に由来する語で、以下の2つの要素から成る。
&lt;span class="spacer"&gt;&lt;/span&gt;à（〜へ）
costume（習慣）
&lt;span class="spacer"&gt;&lt;/span&gt;この語の核は「習慣へ向かわせる」。ある物事を習慣として定着させることから、何かに「慣れさせる」という意味になる。
&lt;span class="spacer"&gt;&lt;/span&gt;be accustomed to 名詞（〜に慣れている）
このtoは前置詞なので、後には名詞・動名詞が続く。&lt;/span&gt;</t>
  </si>
  <si>
    <t>アミューズメントパーク（遊園地, 楽しませる場所）のamusementの動詞として覚える。</t>
  </si>
  <si>
    <t>&lt;span class="w"&gt;&lt;b&gt;【1207.amuse：〜を楽しませる】&lt;/b&gt;&lt;/span&gt;
&lt;span class="ml"&gt;古フランス語に由来する語で、以下の2つの要素から成る。
&lt;span class="spacer"&gt;&lt;/span&gt;a（使役）
muser（物思いにふける, じっと見つめる）
&lt;span class="spacer"&gt;&lt;/span&gt;もともとは、相手を物思いにふけるようにさせることを表した。これは、相手の注意や思考を操り、ある一つのことに縛りつけるイメージ。そこから、相手の注意を日常の真面目なことからそらして「楽しませる」という意味になった。&lt;/span&gt;</t>
  </si>
  <si>
    <t>&lt;span class="w"&gt;&lt;b&gt;【1208.flourish：繁栄する】&lt;/b&gt;&lt;/span&gt;
&lt;span class="ml"&gt;ラテン語flos（花）に由来する。
&lt;span class="spacer"&gt;&lt;/span&gt;草木が豊かに花を咲かせ、力強く成長する様子から、比喩的に、花が咲き誇るように人や社会、芸術、文化などが「繁栄する」という意味になった。
&lt;div class="sample_image flourish"&gt;&lt;/div&gt;&lt;/span&gt;</t>
    <phoneticPr fontId="1"/>
  </si>
  <si>
    <t>&lt;span class="w"&gt;&lt;b&gt;【1211.click：クリックする, カチッと鳴らす】&lt;/b&gt;&lt;/span&gt;
&lt;span class="ml"&gt;近代英語にさかのぼり、おそらく擬音語で弱く鋭い音を立てることを表した。そこから「カチッと鳴らす」やマウスで「クリックする」という意味になった。&lt;/span&gt;</t>
  </si>
  <si>
    <t>&lt;span class="w"&gt;&lt;b&gt;【1212.spin：回転する, 〜を回転させる】&lt;/b&gt;&lt;/span&gt;
&lt;span class="ml"&gt;古英語spinnan（繊維を引き出し、より合わせて糸にする, ねじる）にさかのぼる。
&lt;span class="spacer"&gt;&lt;/span&gt;もともとは、羊毛や綿の塊から繊維を引き出しながら、それをねじって1本の糸にすることを表した。そこから何かを「回転させる, 回転する」という意味になった。&lt;/span&gt;</t>
  </si>
  <si>
    <t>&lt;span class="w"&gt;&lt;b&gt;【1213.clip：〜を切り抜く】&lt;/b&gt;&lt;/span&gt;
&lt;span class="ml"&gt;中英語にさかのぼる。おそらく日本語で言えば「チョキ, カチッ」といった擬音語で、鋭い道具で切ることを表した。そこから何かを「切り抜く」という意味になった。&lt;/span&gt;</t>
  </si>
  <si>
    <t>draw（引く, 線を引く）と兄弟語。</t>
  </si>
  <si>
    <t>&lt;span class="w"&gt;&lt;b&gt;【1214.drag：〜を引きずる】&lt;/b&gt;&lt;/span&gt;
&lt;span class="ml"&gt;古英語dragan（引く）にさかのぼる。もともとは鉤縄や足、尻尾などを地面に擦り付けながら引っ張ることを表し、そこから何かを「引きずる」という意味になった。
&lt;span class="spacer"&gt;&lt;/span&gt;dragは、draw（引く, 線を引く）と同じ語源から生まれた語。drawがスッと引くイメージなのに対し、dragはズルズル引くイメージ。&lt;/span&gt;</t>
  </si>
  <si>
    <t>&lt;span class="w"&gt;&lt;b&gt;【1215.cast：〜を投じる, 〜に役を当てる】&lt;/b&gt;&lt;/span&gt;
&lt;span class="ml"&gt;古ノルド語kasta（投げる）に由来する。
&lt;span class="spacer"&gt;&lt;/span&gt;もともとは何かを投げるという物理的な動作を表した。日常的な言葉遣いでは、物を投げる行為はthrowが使われ、castは影、視線、疑いの目、票などを「投じる」という意味になった（物を投げるという意味もある）。
&lt;span class="spacer"&gt;&lt;/span&gt;また俳優に対して役を投げるイメージから「役を当てる」という意味にもなった。&lt;/span&gt;</t>
  </si>
  <si>
    <t>flower（花）が鮮やかに咲き誇るように繁栄したり、花開くというイメージ。</t>
    <rPh sb="21" eb="23">
      <t>ハンエイ</t>
    </rPh>
    <rPh sb="27" eb="29">
      <t>ハナヒラ</t>
    </rPh>
    <phoneticPr fontId="1"/>
  </si>
  <si>
    <t>何かをしっかりと自分のものにして、安定して成長して繁栄するというイメージ。</t>
    <rPh sb="0" eb="1">
      <t>ナニ</t>
    </rPh>
    <rPh sb="8" eb="10">
      <t>ジブン</t>
    </rPh>
    <rPh sb="17" eb="19">
      <t>アンテイ</t>
    </rPh>
    <rPh sb="21" eb="23">
      <t>セイチョウ</t>
    </rPh>
    <rPh sb="25" eb="27">
      <t>ハンエイ</t>
    </rPh>
    <phoneticPr fontId="1"/>
  </si>
  <si>
    <t>&lt;span class="w"&gt;&lt;b&gt;【1209.thrive：繁栄する, 成長する】&lt;/b&gt;&lt;/span&gt;
&lt;span class="ml"&gt;古ノルド語þrifask（自分のものにする, うまくやる, 繁栄する）に由来する。
&lt;span class="spacer"&gt;&lt;/span&gt;もともとは、自分のために何かをつかんで、それを自分のものにするという物理的な動作を表した。その動作から、自分が生きるための糧や富、財産などをしっかりとつかみ取るというイメージになり、富を得る、豊かになるというニュアンスへと発展した。
&lt;span class="spacer"&gt;&lt;/span&gt;そこからさらに意味が広がり、社会や人間、動植物などが力強く「成長する, 繁栄する」という意味になった。
&lt;div class="sample_image thrive"&gt;&lt;/div&gt;&lt;/span&gt;</t>
    <rPh sb="38" eb="40">
      <t>セイチョウ</t>
    </rPh>
    <rPh sb="154" eb="155">
      <t>ナニ</t>
    </rPh>
    <rPh sb="189" eb="191">
      <t>ドウサ</t>
    </rPh>
    <phoneticPr fontId="1"/>
  </si>
  <si>
    <t>&lt;span class="w"&gt;&lt;b&gt;【1210.nurture：〜をはぐくむ, 〜を養成する】&lt;/b&gt;&lt;/span&gt;
&lt;span class="ml"&gt;ラテン語nutrire（育てる, 授乳する）に由来する。
&lt;span class="spacer"&gt;&lt;/span&gt;この語の核は「母親が乳飲み子に母乳（栄養）を与える」。もともとは物理的に栄養を与えることを表したが、そこから子どもの育成に限らず能力や計画など、様々なものに愛情や注意を注いで「はぐくむ, 養成する」という意味になった。&lt;/span&gt;</t>
    <phoneticPr fontId="1"/>
  </si>
  <si>
    <t>日本語でも使われるドラマや映画のキャスト（投げられた役）と関連させて覚える。</t>
  </si>
  <si>
    <t>&lt;span class="w"&gt;&lt;b&gt;【1216.scatter：〜を撒き散らす, 分散する】&lt;/b&gt;&lt;/span&gt;
&lt;span class="ml"&gt;中英語scateren（浪費する）にさかのぼる。
&lt;span class="spacer"&gt;&lt;/span&gt;もともとは浪費することを表したが、物やお金をばらまくことから発展して、何かを「撒き散らす」や何かが「分散する」という意味になった。&lt;/span&gt;
&lt;div class="animation scatter"&gt;&lt;/div&gt;</t>
  </si>
  <si>
    <t>attemptとセットで覚える。</t>
  </si>
  <si>
    <t>&lt;span class="w"&gt;&lt;b&gt;【1217.tempt：誘惑する, 〜を･･･する気にさせる】&lt;/b&gt;&lt;/span&gt;
&lt;span class="ml"&gt;ラテン語temptare（触れる, 試す）に由来する。
&lt;span class="spacer"&gt;&lt;/span&gt;もともとは、物理的に触れてみて試すことを表した。これは、暗闇の中で手探りで壁を触って確認したり、物の硬さを指で押して確かめたりするようなイメージ。
&lt;span class="spacer"&gt;&lt;/span&gt;やがてキリスト教の概念と結びつき、宗教的な文脈において、神や悪魔が人の信仰心を試すという意味へと発展する。
&lt;span class="spacer"&gt;&lt;/span&gt;そこから、人が罪や悪へ屈するかを試すために悪へと誘うことへと変化し、さらに一般的に、対象を何かの方へ「誘惑する」や「対象を…する気にさせる」という意味になった。
&lt;span class="spacer"&gt;&lt;/span&gt;tempt 人 to do（人を〜する気にさせる）
S be tempted to do（〜したくなる）
&lt;div class="sample_image tempt"&gt;&lt;/div&gt;&lt;/span&gt;</t>
  </si>
  <si>
    <t>&lt;span class="w"&gt;&lt;b&gt;【1218.withdraw：〜を引き出す, 撤退する, 撤回する】&lt;/b&gt;&lt;/span&gt;
&lt;span class="ml"&gt;古英語にさかのぼり、以下の2つの要素から成る。
&lt;span class="spacer"&gt;&lt;/span&gt;with（離れて）
drawan（引く）
&lt;span class="spacer"&gt;&lt;/span&gt;この語は、いまでは使われなくなったwithの古い意味「離れて」を保持している。この語の核は「引いて離す」。そこから、口座からお金を「引き出す」や、言葉や申請などを「撤回する」、軍隊などが「撤退する」といった意味になる。&lt;/span&gt;</t>
  </si>
  <si>
    <t>&lt;span class="w"&gt;&lt;b&gt;【1219.yawn：あくびをする】&lt;/b&gt;&lt;/span&gt;
&lt;span class="ml"&gt;中英語yenen / yonen（口を大きく開ける）にさかのぼる。
&lt;span class="spacer"&gt;&lt;/span&gt;この語の核は「ぽっかり開いた空間」。そこから口を大きく開ける、特に「あくびをする」という意味になった。&lt;/span&gt;</t>
  </si>
  <si>
    <t>&lt;span class="w"&gt;&lt;b&gt;【1220.blink：まばたきをする, 点滅する】&lt;/b&gt;&lt;/span&gt;
&lt;span class="ml"&gt;古英語blican（輝く）に関連する可能性がある。
&lt;span class="spacer"&gt;&lt;/span&gt;この語の核は「一瞬だけ光ること」。そこから「点滅する」という意味になる。また、まぶたを素早くパチパチさせると視界の光が点滅しているようになることから「まばたきする」という意味にもなる。&lt;/span&gt;</t>
  </si>
  <si>
    <t>&lt;span class="w"&gt;&lt;b&gt;【1222.spill：〜をこぼす, こぼれる, 秘密を漏らす】&lt;/b&gt;&lt;/span&gt;
&lt;span class="ml"&gt;古英語spillan（破壊する, 命を奪う）にさかのぼる。
&lt;span class="spacer"&gt;&lt;/span&gt;もともとは命を奪う、つまり対象を殺すということを表した。その際に血が流れ出ることから、広く一般的に、液体を「こぼす」や液体が「こぼれる」という意味になった。&lt;/span&gt;</t>
  </si>
  <si>
    <t>&lt;span class="w"&gt;&lt;b&gt;【1223.irritate：〜をいらいらさせる, 〜をヒリヒリさせる】&lt;/b&gt;&lt;/span&gt;
&lt;span class="ml"&gt;ラテン語irritare（刺激する）に由来する。
&lt;span class="spacer"&gt;&lt;/span&gt;この語の核は「静かだったものをかき回して動き出させる」。もともとは物理的に刺激して反応を起こさせることを表した。そこから、肌や目などを刺激して「ヒリヒリさせる」という意味になった。
&lt;span class="spacer"&gt;&lt;/span&gt;また心理面において、相手を何度も刺激することで不快にさせたり、心を逆撫でしたりすることから、相手を「いらいらさせる」という意味になった。
&lt;div class="sample_image irritate"&gt;&lt;/div&gt;&lt;/span&gt;</t>
  </si>
  <si>
    <t>irritare（刺激する, かき立てる）
&lt;span class="spacer"&gt;&lt;/span&gt;過去分詞irritatus</t>
  </si>
  <si>
    <t>&lt;span class="w"&gt;&lt;b&gt;【1224.insult：〜を侮辱する】&lt;/b&gt;&lt;/span&gt;
&lt;span class="ml"&gt;ラテン語に由来する語で、以下の2つの要素から成る。
&lt;span class="spacer"&gt;&lt;/span&gt;in（上に）
salire（跳ぶ）
&lt;span class="spacer"&gt;&lt;/span&gt;もともとは、相手の上に飛びかかって踏みつけるという暴力的な行為を表した。そこから比喩的に、相手の尊厳を踏みつけることへと変化して「侮辱する」という意味になった。
&lt;div class="sample_image insult"&gt;&lt;/div&gt;&lt;/span&gt;</t>
  </si>
  <si>
    <t>&lt;span class="w"&gt;&lt;b&gt;【1225.enforce：〜を実施（施行）する, 〜を強制する】&lt;/b&gt;&lt;/span&gt;
&lt;span class="ml"&gt;中英語にさかのぼり、以下の2つの要素から成る。
&lt;span class="spacer"&gt;&lt;/span&gt;en（〜にする, 中に）
force（力）
&lt;span class="spacer"&gt;&lt;/span&gt;このまま日本語にすると「中に力を入れる」となる。対象に力を入れ、力を持った状態にすることから、法や規則、義務などに力を持たせてそれを人々に守らせる＝何かを「実施する, 施行する, 強制する」という意味になった。&lt;/span&gt;</t>
  </si>
  <si>
    <t>&lt;span class="w"&gt;&lt;b&gt;【1226.rob：〜から奪う】&lt;/b&gt;&lt;/span&gt;
&lt;span class="ml"&gt;古フランス語rober（盗む, 強奪する, 略奪する）に由来する。
&lt;span class="spacer"&gt;&lt;/span&gt;古フランス語から意味の変化はほとんどない。この語はバスローブや裁判官・魔法使いが着ているようなローブ（robe, 丈が長いコート）と関連している。ローブはもともと、敵から奪った高価な服を意味していたと考えられる。これに対してrobは奪う行為を表す。
&lt;span class="spacer"&gt;&lt;/span&gt;rob A of B（AからBを奪う）
このof Bは、Bからの分離を表す。
&lt;div class="sample_image rob_robe"&gt;&lt;/div&gt;&lt;/span&gt;</t>
  </si>
  <si>
    <t>&lt;span class="w"&gt;&lt;b&gt;【1227.drain：（液体）を流出させる, （液体が）流れ出る】&lt;/b&gt;&lt;/span&gt;
&lt;span class="ml"&gt;ゲルマン祖語*dreug-（乾く, 乾かす）にさかのぼる。
&lt;span class="spacer"&gt;&lt;/span&gt;drainのdr部分は「乾く」という意味。これはdry（乾いた）やdrought（干ばつ）と同じ。乾くということは、水分が抜けるということなので、drainは液体を「流出させる, 流出する」という意味になる。&lt;/span&gt;</t>
  </si>
  <si>
    <t>&lt;span class="w"&gt;&lt;b&gt;【1228.suspend：〜を一時的に停止する】&lt;/b&gt;&lt;/span&gt;
&lt;span class="ml"&gt;ラテン語に由来する語で、以下の2つの要素から成る。
&lt;span class="spacer"&gt;&lt;/span&gt;sub（下から）
pendere（吊るす）
&lt;span class="spacer"&gt;&lt;/span&gt;このまま日本語にすると「下から吊るす」となる。下から何かを吊ってぶら下げることから「一時的に停止する」という意味になる。
&lt;div class="sample_image suspend"&gt;&lt;/div&gt;&lt;/span&gt;</t>
  </si>
  <si>
    <t>sub（下から）＋pendere（吊るす）
suspendere（吊るす, 止める, 中断する）</t>
  </si>
  <si>
    <t>driftは雨や雪が風に吹き寄せられたり、家畜をある方向に追い立てたりするように、ある方向に流されていくイメージ。</t>
  </si>
  <si>
    <t>&lt;span class="w"&gt;&lt;b&gt;【1229.drift：漂う, 押し流す】&lt;/b&gt;&lt;/span&gt;
&lt;span class="ml"&gt;古ノルド語drift（吹き寄せられる雪）や中世オランダ語drift（追い立てられる家畜の群れ）からの借用とする説や、英語drive（駆り立てる）から派生したとする説がある。
&lt;span class="spacer"&gt;&lt;/span&gt;drive（駆り立てる）に名詞を作るt / thが付くことで、駆り立てられたものを表す。
&lt;span class="obsolete"&gt;名詞を作るt / thは以下にも見られる。
heal / health
dry / drought
wide / width&lt;/span&gt;
&lt;span class="spacer"&gt;&lt;/span&gt;もともとは、雨風や雪、外部からの力によってまとまってある方向に移動させられたもの（駆り立てられたもの）を指した。そこから動詞になって、対象をある方向に「押し流す」や、その流れに乗って「漂う」という意味になった。&lt;/span&gt;</t>
  </si>
  <si>
    <t>&lt;span class="w"&gt;&lt;b&gt;【1230.forgive：〜を許す】&lt;/b&gt;&lt;/span&gt;
&lt;span class="ml"&gt;古英語にさかのぼり、以下の2つの要素から成る。
&lt;span class="spacer"&gt;&lt;/span&gt;for（完全に）
giefan（与える）
&lt;span class="spacer"&gt;&lt;/span&gt;このまま日本語にすると「完全に与える」となる。自分の何かを完全に放棄して相手に与えることから、罰を与える権利や気持ちを放棄して相手を「許す」という意味になった。&lt;/span&gt;</t>
  </si>
  <si>
    <t>&lt;span class="w"&gt;&lt;b&gt;【1231.revise：〜を修正する, 〜を改訂する】&lt;/b&gt;&lt;/span&gt;
&lt;span class="ml"&gt;ラテン語に由来する語で、以下の2つの要素から成る。
&lt;span class="spacer"&gt;&lt;/span&gt;re（再び）
videre（見る）
&lt;span class="spacer"&gt;&lt;/span&gt;このまま日本語にすると「再び見る」となる。一度出来上がったものを見直し、間違いを直したりアップデートしたりすることから「改訂する, 修正する」という意味になる。
&lt;div class="sample_image revise"&gt;&lt;/div&gt;&lt;/span&gt;</t>
  </si>
  <si>
    <t>cruit部分はcrew（乗組員, 仲間）と同じ語なので、繰り返し仲間を集めるというイメージ。</t>
  </si>
  <si>
    <t>&lt;span class="w"&gt;&lt;b&gt;【1232.recruit：〜を募集する】&lt;/b&gt;&lt;/span&gt;
&lt;span class="ml"&gt;古フランス語に由来する語で、以下の2つの要素から成る。
&lt;span class="spacer"&gt;&lt;/span&gt;re（再び）
creistre（成長する）
&lt;span class="spacer"&gt;&lt;/span&gt;このまま日本語にすると「再び成長する」となる。もともとは軍事において、負傷したり亡くなったりして人員が減ってしまった部隊を再び成長させるために、新しい兵士を募集することを表した。そこから軍事に限らず一般的に、目的のために必要な人材を「募集する」という意味になった。&lt;/span&gt;</t>
  </si>
  <si>
    <t>twi部分はtwoやtwinと同じで「2」を意味する。</t>
  </si>
  <si>
    <t>&lt;span class="w"&gt;&lt;b&gt;【1233.twist：〜をねじる, ひねる】&lt;/b&gt;&lt;/span&gt;
&lt;span class="ml"&gt;印欧祖語*dwo-（2）にさかのぼる。
&lt;span class="spacer"&gt;&lt;/span&gt;この語の核は「2つのものをより合わせる」。2本の糸をクルクルより合わせて1本のロープにするように、物理的に何かを「ねじる, ひねる」という意味になった。またこれは、言葉をねじ曲げる、話の展開を予想とは違う方向にひねるといった意味でも使われる。
&lt;div class="sample_image twist"&gt;&lt;/div&gt;&lt;/span&gt;</t>
  </si>
  <si>
    <t>&lt;span class="w"&gt;&lt;b&gt;【1234.crush：〜を押しつぶす, 〜を弾圧する】&lt;/b&gt;&lt;/span&gt;
&lt;span class="ml"&gt;古フランス語cruissir（歯をぎしぎし鳴らす, 粉砕する）に由来する。
&lt;span class="spacer"&gt;&lt;/span&gt;歯をぎしぎし鳴らしたり、噛み砕くように、物理的に強い力を加えて何かを「押しつぶす」という意味になる。
&lt;span class="spacer"&gt;&lt;/span&gt;またそこから比喩的に、相手を押しつぶすように「弾圧する, 打ち負かす」や、相手の夢や希望を「打ち砕く」という意味にもなる。これらは物理的な意味からの派生なので、文脈で理解すればよい。&lt;/span&gt;</t>
  </si>
  <si>
    <t>&lt;span class="w"&gt;&lt;b&gt;【1235.pin：〜をピンで止める, 〜を突き刺す】&lt;/b&gt;&lt;/span&gt;
&lt;span class="ml"&gt;古英語pinn（留め具のピン）にさかのぼる。
&lt;span class="spacer"&gt;&lt;/span&gt;ピンで一箇所に固定するイメージからピンを「突き刺す」やピンで「留める」という意味になる。&lt;/span&gt;</t>
  </si>
  <si>
    <t>&lt;span class="w"&gt;&lt;b&gt;【1236.uncover：〜を暴く】&lt;/b&gt;&lt;/span&gt;
&lt;span class="ml"&gt;中英語に由来する語で、以下の2つの要素から成る。
&lt;span class="spacer"&gt;&lt;/span&gt;un（〜の逆）
cover（覆う）
&lt;span class="spacer"&gt;&lt;/span&gt;覆うの逆なので、覆いを取り去る＝隠れているものを「暴く」という意味になる。&lt;/span&gt;</t>
  </si>
  <si>
    <t>&lt;span class="w"&gt;&lt;b&gt;【1237.exploit：〜を活用する, 〜を搾取する, 〜を開発する】&lt;/b&gt;&lt;/span&gt;
&lt;span class="ml"&gt;ラテン語に由来する語で、以下の2つの要素から成る。
&lt;span class="spacer"&gt;&lt;/span&gt;ex（外に）
plicare（折る）
&lt;span class="spacer"&gt;&lt;/span&gt;もともとは、折りたたまれているものを外へ開くことを表した。そこから、まだ手がつけられていない土地や、眠っている天然資源（鉱山など）を広げて展開し、目に見える形にして役立てる＝「開発する, 活用する」という意味になった。
&lt;span class="spacer"&gt;&lt;/span&gt;さらに、利益のために土地を開発して資源を活用するという言葉が、人間に対して使われるようになり、利益のために人々を使う＝「搾取する」というネガティブな意味にもなった。
&lt;div class="sample_image exploit"&gt;&lt;/div&gt;&lt;/span&gt;</t>
  </si>
  <si>
    <t>&lt;span class="w"&gt;&lt;b&gt;【1238.implement：〜を実行する, 〜を実施する】&lt;/b&gt;&lt;/span&gt;
&lt;span class="ml"&gt;ラテン語に由来する語で、以下の2つの要素から成る。
&lt;span class="spacer"&gt;&lt;/span&gt;in（中に）
plere（満たす）
&lt;span class="spacer"&gt;&lt;/span&gt;このまま日本語にすると「中に満たす」となる。目的の達成や作業の完了のために必要なことを満たす、というイメージから、何かを行うための「道具, 手段」という名詞になった。
&lt;span class="spacer"&gt;&lt;/span&gt;そこから動詞になって、ある目的のための手段を「実行する, 実施する」という意味になった。
&lt;div class="sample_image implement"&gt;&lt;/div&gt;&lt;/span&gt;</t>
  </si>
  <si>
    <t>&lt;span class="w"&gt;&lt;b&gt;【1239.integrate：〜を統合する, 〜を融合する】&lt;/b&gt;&lt;/span&gt;
&lt;span class="ml"&gt;ラテン語に由来する語で、以下の2つの要素から成る。
&lt;span class="spacer"&gt;&lt;/span&gt;in（否定）
tangere（触れる）
&lt;span class="spacer"&gt;&lt;/span&gt;このまま日本語にすると「触れられていない」となる。触れられていないということは、欠けている部分が全くなく、汚れてもいない完全な状態を表す。そこから、何かを完全な状態にすることへと発展し、バラバラな要素をひとつにまとめて完全にする＝「統合する, 融合する」という意味になった。
&lt;div class="sample_image integrate"&gt;&lt;/div&gt;
&lt;span class="spacer"&gt;&lt;/span&gt;全く同じ語源からはinteger（整数）も生まれている。小数や分数のように端数や分割のない完全な数字＝整数を意味する。&lt;/span&gt;</t>
  </si>
  <si>
    <t>&lt;span class="w"&gt;&lt;b&gt;【1240.incorporate：〜取り入れる, 〜を法人にする】&lt;/b&gt;&lt;/span&gt;
&lt;span class="ml"&gt;ラテン語に由来する語で、以下の2つの要素から成る。
&lt;span class="spacer"&gt;&lt;/span&gt;in（中に）
corpus（身体）
&lt;span class="spacer"&gt;&lt;/span&gt;この語の核は「ひとつの身体の中に入れて一体化する」。物理的に一体化することから比喩的に、アイデアや要素などをを別のものの中に「取り入れる」という意味になった。
&lt;span class="spacer"&gt;&lt;/span&gt;またビジネスにおいて、事業や社員などをまとめ、ひとつの身体を持つ人間のように扱う＝「法人にする」という意味にもなった。&lt;/span&gt;</t>
  </si>
  <si>
    <t>&lt;span class="w"&gt;&lt;b&gt;【320.consume：〜を消費する, ～を飲食する】&lt;/b&gt;&lt;/span&gt;
&lt;span class="ml"&gt;ラテン語に由来する語で、以下の3つの要素から成る。
&lt;span class="spacer"&gt;&lt;/span&gt;com（強意）
sub（下から）
emere（取る）
&lt;span class="spacer"&gt;&lt;/span&gt;subとemereからなるsume部分は「取る」という意味。したがってこの語の核は「完全に取りつくす」というイメージ。食べられる部分を取りつくす、使える部分を取りつくすことから「消費する, 飲食する」という意味になる。
&lt;div class="sample_image consume"&gt;&lt;/div&gt;&lt;/span&gt;</t>
    <phoneticPr fontId="1"/>
  </si>
  <si>
    <t>&lt;span class="w"&gt;&lt;b&gt;【897.profound：重大な, 深い】&lt;/b&gt;&lt;/span&gt;
&lt;span class="ml"&gt;ラテン語に由来する語で、以下の2つの要素から成る。
&lt;span class="spacer"&gt;&lt;/span&gt;pro（前へ）
fundus（底）
&lt;span class="spacer"&gt;&lt;/span&gt;この語の核は「底に向かってどんどん前へ（下へ）進んでいく」。物理的に奥底深くへ達するイメージから、知識や心理、また影響や変化の度合いが表面にとどまらず奥深いことを表すようになり、「深い, 重大な」という意味になった。
&lt;div class="sample_image profound"&gt;&lt;/div&gt;&lt;/span&gt;</t>
    <phoneticPr fontId="1"/>
  </si>
  <si>
    <t>&lt;span class="w"&gt;&lt;b&gt;【1051.adolescent：青年】&lt;/b&gt;&lt;/span&gt;
&lt;span class="ml"&gt;ラテン語に由来する語で、以下の2つの要素から成る。
&lt;span class="spacer"&gt;&lt;/span&gt;ad（〜へ）
alescere（成長する）
&lt;span class="spacer"&gt;&lt;/span&gt;この語の核は「成熟へ向かって成長する」。つまり、いま成長している途中にある者のことを指して「青年」という意味になった。
&lt;div class="sample_image adolescent"&gt;&lt;/div&gt;
&lt;span class="spacer"&gt;&lt;/span&gt;adolescent（青年）とadult（大人）は全く同じラテン語adolescere（〜へ成長する）にさかのぼる。adolescentはそのラテン語の現在分詞、adultは過去分詞から生まれた。現在分詞だと現在も成長中なので「青年」、過去分詞だと既に成長を終えているニュアンスになり「大人」となる。&lt;/span&gt;</t>
    <phoneticPr fontId="1"/>
  </si>
  <si>
    <t>&lt;span class="w"&gt;&lt;b&gt;【1056.faculty：能力, 機能, 学部, 教授・スタッフ陣】&lt;/b&gt;&lt;/span&gt;
&lt;span class="ml"&gt;ラテン語に由来する語で、以下の3つの要素から成る。
&lt;span class="spacer"&gt;&lt;/span&gt;facere（行う, 作る）
ilis（〜できる, 〜しやすい）
tas（名詞化）
&lt;span class="spacer"&gt;&lt;/span&gt;この語の核は「何かを行えること」。そこから物事を実際に行う力、つまり「能力, 機能」という意味になった。
&lt;span class="spacer"&gt;&lt;/span&gt;その後、中世の大学において、特定の専門分野を教える能力や権限を持ち、教育を可能にする人々の集団を指すようになり、「学部」や「教授・スタッフ陣」を意味するようになった。
&lt;div class="sample_image faculty"&gt;&lt;/div&gt;&lt;/span&gt;</t>
    <phoneticPr fontId="1"/>
  </si>
  <si>
    <t>日本語のプロフィールのこと。</t>
  </si>
  <si>
    <t>&lt;span class="w"&gt;&lt;b&gt;【1241.profile：人物の紹介, 横顔, 輪郭】&lt;/b&gt;&lt;/span&gt;
&lt;span class="ml"&gt;イタリア語に由来する語で、以下の2つの要素から成る。
&lt;span class="spacer"&gt;&lt;/span&gt;pro（前へ）
filare（線を引く）
&lt;span class="spacer"&gt;&lt;/span&gt;このまま日本語にすると「前へ線を引く」となる。これは芸術用語として使われ、対象物の外側を線を引いて描くことから「輪郭」や、輪郭がはっきりとわかる「横顔」を指した（正面から見た顔は鼻や口などの輪郭がわからない）。
&lt;span class="spacer"&gt;&lt;/span&gt;人の横顔を描くことは、その人だけの特徴をとらえることから、比喩的に「人物紹介」という意味になった。&lt;/span&gt;</t>
  </si>
  <si>
    <t>pro（前へ）＋filare（紡ぐ, 引き出す）
profilare（輪郭を描く）
&lt;span class="spacer"&gt;&lt;/span&gt;名詞になって
profilo（輪郭を描いたもの）</t>
  </si>
  <si>
    <t>&lt;span class="w"&gt;&lt;b&gt;【1243.impulse：衝動】&lt;/b&gt;&lt;/span&gt;
&lt;span class="ml"&gt;ラテン語に由来する語で、以下の2つの要素から成る。
&lt;span class="spacer"&gt;&lt;/span&gt;in（中に）
pellere（押す）
&lt;span class="spacer"&gt;&lt;/span&gt;このまま日本語にすると「中に押し込む」となる。もともとは物理的な押し込む力を表したが、そこから心理面において心を突き動かす力、すなわち「衝動」という意味になった。&lt;/span&gt;</t>
  </si>
  <si>
    <t>script / scribe系は「書く」に関連する。</t>
  </si>
  <si>
    <t>&lt;span class="w"&gt;&lt;b&gt;【1244.script：台本, 筆跡】&lt;/b&gt;&lt;/span&gt;
&lt;span class="ml"&gt;ラテン語scribere（書く）の過去分詞scriptum（書かれたもの）に由来する。
&lt;span class="spacer"&gt;&lt;/span&gt;この語の核は「書かれたもの」。そこから手書きの「筆跡」や演劇の「台本」といった意味になる。&lt;/span&gt;</t>
  </si>
  <si>
    <t>日本語でも使われるアニバーサリー（周年）と同じ。</t>
  </si>
  <si>
    <t>&lt;span class="w"&gt;&lt;b&gt;【1245.anniversary：〜周年の記念日】&lt;/b&gt;&lt;/span&gt;
&lt;span class="ml"&gt;ラテン語に由来する語で、以下の4つの要素から成る。
&lt;span class="spacer"&gt;&lt;/span&gt;annus（年）
vertere（回す）の過去分詞versus（回された）
arius（形容詞化）
um（名詞化）
&lt;span class="spacer"&gt;&lt;/span&gt;この語の核は「毎年回ってくる日」。
そこから「周年の記念日」という意味になる。&lt;/span&gt;</t>
  </si>
  <si>
    <t>&lt;span class="w"&gt;&lt;b&gt;【1246.pension：年金】&lt;/b&gt;&lt;/span&gt;
&lt;span class="ml"&gt;ラテン語に由来する語で、以下の2つの要素から成る。
&lt;span class="spacer"&gt;&lt;/span&gt;pendere（吊るす, 量る, 支払う）
io（名詞化）
&lt;span class="spacer"&gt;&lt;/span&gt;このまま日本語にすると「吊るすこと」となる。古代ローマでは、現代のようにお金に書かれた金額を信じるのではなく、金貨や銀貨などを天秤に吊るし、その重さで価値を決めて支払っていた。そこから吊るすという行為が、支払うという行為につながった。
&lt;span class="spacer"&gt;&lt;/span&gt;当初は報酬や手当といった定期的な支払いを表したが、時代が下り、過去の勤務や奉仕に対する定期的な支払い、すなわち「年金」という意味になった。
&lt;div class="sample_image pension"&gt;&lt;/div&gt;&lt;/span&gt;</t>
  </si>
  <si>
    <t>&lt;span class="w"&gt;&lt;b&gt;【1247.temper：気質, 気性, 機嫌, かんしゃく】&lt;/b&gt;&lt;/span&gt;
&lt;span class="ml"&gt;ラテン語temperare（適度にする, 適切な割合で混ぜる）に由来する。
&lt;span class="spacer"&gt;&lt;/span&gt;古代の医学では、四体液説という考えが信じられていた。これは、人の健康や心の状態は、人体の4つの体液＝血液・粘液・黄胆汁・黒胆汁のバランスで決まるとするもの。これら4つの体液が適切に混ざり合った健康な心身の状態をtemperと呼んだ。
&lt;span class="spacer"&gt;&lt;/span&gt;そこから個人の「気質, 気性」や、一時的な「機嫌」、バランスが崩れた状態の「かんしゃく」といった人間の精神状態を意味するようになった。&lt;/span&gt;</t>
  </si>
  <si>
    <t>&lt;span class="w"&gt;&lt;b&gt;【1248.cortex：皮質, 樹皮】&lt;/b&gt;&lt;/span&gt;
&lt;span class="ml"&gt;ラテン語cortex（木の皮, 樹皮）に由来する。
&lt;span class="spacer"&gt;&lt;/span&gt;このラテン語がそのまま英語で「樹皮」として使われるようになった。また、樹皮が木の幹の外側を覆っていることから比喩的に、解剖学において、臓器の外側を覆っている「皮質」を指すようになった。特にその中でも脳の「大脳皮質cerebral cortex」として使われることが多い。
&lt;div class="sample_image cortex"&gt;&lt;/div&gt;&lt;/span&gt;</t>
  </si>
  <si>
    <t>日本語でも使われるメタボリックシンドロームなどの症候群と関連させて覚える。</t>
  </si>
  <si>
    <t>&lt;span class="w"&gt;&lt;b&gt;【1249.syndrome：症候群（様々な症状の群れ）】&lt;/b&gt;&lt;/span&gt;
&lt;span class="ml"&gt;ギリシャ語に由来する語で、以下の2つの要素から成る。
&lt;span class="spacer"&gt;&lt;/span&gt;syn（共に）
dromos（走ること, コース）
&lt;span class="spacer"&gt;&lt;/span&gt;このまま日本語にすると「共に走ること」となる。まるで複数の人が一緒に走るように様々な症状が同時に現れることから、特定の症状の集まり、つまり「症候群」という意味になった。&lt;/span&gt;</t>
  </si>
  <si>
    <t>cameraと同じ語源から生まれた語。カメラはもともと暗い「部屋」を指す語だった。</t>
  </si>
  <si>
    <t>&lt;span class="w"&gt;&lt;b&gt;【1250.chamber：（特定の目的の）部屋, 議場, 議院】&lt;/b&gt;&lt;/span&gt;
&lt;span class="ml"&gt;ギリシャ語kamara（アーチ型の天井の部屋, 丸天井の部屋）に由来する。
&lt;span class="spacer"&gt;&lt;/span&gt;もともとは、丸い天井の部屋を表したが、そこから閉ざされた部屋やプライベートな部屋を表すようになった。
&lt;span class="spacer"&gt;&lt;/span&gt;閉ざされたプライベートな部屋は、開かれていて誰でも見聞きできる空間とは異なり、重要な人が集まって話し合いなどに使用されることから「議場」や「議院」という意味になった。
&lt;span class="obsolete"&gt;the upper / lower chamber（上院・下院）&lt;/span&gt;。
&lt;span class="spacer"&gt;&lt;/span&gt;また閉ざされた部屋という意味からは、心臓の心室や、銃の発射される弾がある薬室、ガス室、加圧室などの「特定の目的のための部屋」として使われるようになった。
&lt;span class="spacer"&gt;&lt;/span&gt;chamberとcamera（カメラ）は同じ語源から生まれた兄弟語。カメラは、もともと小さな穴から光を取り入れて壁に景色を映し出す「暗い部屋（camera obscura）」のことだった。そこから「暗い（obscura）」部分が省略され、部屋自体から写真機そのものを「カメラ」と呼ぶようになった。&lt;/span&gt;</t>
  </si>
  <si>
    <t>kamara（アーチ型の天井の部屋）</t>
  </si>
  <si>
    <t>&lt;span class="w"&gt;&lt;b&gt;【1251.utility：公共事業, 公共料金, 実用性】&lt;/b&gt;&lt;/span&gt;
&lt;span class="ml"&gt;ラテン語に由来する語で、以下の3つの要素から成る。
&lt;span class="spacer"&gt;&lt;/span&gt;uti（利用する：useの語源）
ilis（形容詞化）
tas（名詞化）
&lt;span class="spacer"&gt;&lt;/span&gt;この語は、動詞「使う」から形容詞「使える状態の」となり、さらに名詞「使えること, 役立つこと」へと発展した。実際に使えて役立つことから「実用性」という意味になる。
&lt;span class="spacer"&gt;&lt;/span&gt;またpublic utilityで「公共の役立つこと＝公共事業」という意味で使われていたが、次第にutilityの1語で「公共事業」や「公共料金」を意味するようになった。&lt;/span&gt;</t>
  </si>
  <si>
    <t>&lt;span class="w"&gt;&lt;b&gt;【1252.cattle：（集合的に）牛】&lt;/b&gt;&lt;/span&gt;
&lt;span class="ml"&gt;ラテン語に由来する語で、以下の2つの要素から成る。
&lt;span class="spacer"&gt;&lt;/span&gt;caput（頭）
alis（形容詞化）
&lt;span class="spacer"&gt;&lt;/span&gt;この語の核は「動物の頭のように主要なもの」。頭というのは動物にとって最も守るべき大事なものなので、そこから、人間にとって価値を持つ主要なもの＝財産を表すようになった。
&lt;span class="spacer"&gt;&lt;/span&gt;昔の農民にとって価値ある財産といえば、持ち運べない土地や建物といった不動産と、持ち運べる家畜という動産だったが、cattleは家畜を指すようになった。特に16世紀以降になると、家畜の中でも牛に限定されて、「家畜としての牛たち」を意味するようになった。これは集合名詞なので常に複数扱いされる。
&lt;div class="sample_image cattle"&gt;&lt;/div&gt;&lt;/span&gt;</t>
  </si>
  <si>
    <t>&lt;span class="w"&gt;&lt;b&gt;【1253.herd：（牛などの）群れ, 群衆】&lt;/b&gt;&lt;/span&gt;
&lt;span class="ml"&gt;古英語heord（群れ, 家畜の集まり）にさかのぼる。
&lt;span class="spacer"&gt;&lt;/span&gt;古英語から意味の変化はなく、牛や馬、鹿、象といった大型の草食動物の「群れ」という意味がある。また周りと同じように行動する動物の群れに例えて、個人の意志を持たず、同調する人間の集団＝「群衆」という意味にもなる。
&lt;div class="sample_image herd"&gt;&lt;/div&gt;&lt;/span&gt;</t>
  </si>
  <si>
    <t>このfluは流れるようなイメージ。これは次のような語にも見られる。
fluent（流ちょうな）
Influenza（インフルエンザ, 星の悪い影響が流れ込んできたもの）</t>
  </si>
  <si>
    <t>&lt;span class="w"&gt;&lt;b&gt;【1254.fluid：流動体, 液体, 気体】&lt;/b&gt;&lt;/span&gt;
&lt;span class="ml"&gt;ラテン語に由来する語で、以下の2つの要素から成る。
&lt;span class="spacer"&gt;&lt;/span&gt;fluere（流れる）
idus（形容詞化）
&lt;span class="spacer"&gt;&lt;/span&gt;この語の核は「形が定まらず流れるような感じ」。もともとは、流れるような様子を表す形容詞だったが、それが名詞として使われるようになり、流れるもの、すなわち「流動体, 液体, 気体」という意味になった。fluidは現在でも形容詞としても使われる。&lt;/span&gt;</t>
  </si>
  <si>
    <t>&lt;span class="w"&gt;&lt;b&gt;【1242.appetite：食欲, 欲求】&lt;/b&gt;&lt;/span&gt;
&lt;span class="ml"&gt;ラテン語に由来する語で、以下の2つの要素から成る。
&lt;span class="spacer"&gt;&lt;/span&gt;ad（〜へ）
petere（求める）
&lt;span class="spacer"&gt;&lt;/span&gt;この語の核は「何かへ向かって求める」。この語の根本にあるのは対象に向かう「欲求」。特にその中でも食べ物を求める「食欲」という意味で使われるようになった。
&lt;div class="sample_image appetite"&gt;&lt;/div&gt;&lt;/span&gt;</t>
  </si>
  <si>
    <t>&lt;span class="w"&gt;&lt;b&gt;【1255.pity：残念なこと, 哀れみ】&lt;/b&gt;&lt;/span&gt;
&lt;span class="ml"&gt;ラテン語pietas（神を敬い仕えること, 忠誠, 義務）に由来する。
&lt;span class="spacer"&gt;&lt;/span&gt;もともとは自分より上位の存在を敬うことを表した。そこからキリスト教の価値観において、神を敬う心となる。神を敬う人々はその教えに従い、弱い者に対して慈悲深くあることから「哀れみ」という感情を意味するようになった。
&lt;span class="spacer"&gt;&lt;/span&gt;また哀れみから出る残念な気持ちから「残念なこと」という意味にもなった。&lt;/span&gt;</t>
  </si>
  <si>
    <t>&lt;span class="w"&gt;&lt;b&gt;【1256.priest：聖職者】&lt;/b&gt;&lt;/span&gt;
&lt;span class="ml"&gt;ギリシャ語presbys（古い）の比較級presbyteros（より年長の者, 長老）に由来する。
&lt;span class="spacer"&gt;&lt;/span&gt;もともとは、共同体の中で経験豊富でみんなのリーダーとなる年長者を表した。そこからキリスト教の集まり（教会）におけるリーダー的存在として「聖職者」という意味になった。&lt;/span&gt;</t>
  </si>
  <si>
    <t>&lt;span class="w"&gt;&lt;b&gt;【1257.acquaintance：知人, 面識, 知識】&lt;/b&gt;&lt;/span&gt;
&lt;span class="ml"&gt;ラテン語に由来する語で、以下の4つの要素から成る。
&lt;span class="spacer"&gt;&lt;/span&gt;ad（〜へ）
com（完全に）
gnoscere（知る）
&lt;span class="obsolete"&gt;ance（名詞化）はフランス語段階で付いた&lt;/span&gt;
&lt;span class="spacer"&gt;&lt;/span&gt;この語の核は「何かをしっかり知っていること」。そこから、ある分野に通じているという意味での「知識」や、相手と初対面ではなくて顔を見て知っているという「面識」、そして面識がある人、すなわち「知人」などの意味になる。
&lt;span class="spacer"&gt;&lt;/span&gt;acquaintanceというスペルはもとのラテン語から大きく変わってしまったが、印欧祖語*gno-（知る）そしてラテン語gnoscere（知る）から生まれた語。&lt;/span&gt;</t>
  </si>
  <si>
    <t>&lt;span class="w"&gt;&lt;b&gt;【1258.offspring：子孫】&lt;/b&gt;&lt;/span&gt;
&lt;span class="ml"&gt;古英語にさかのぼり、以下の2つの要素から成る。
&lt;span class="spacer"&gt;&lt;/span&gt;of（〜から離れて）
springan（跳ねる）
&lt;span class="spacer"&gt;&lt;/span&gt;このまま日本語にすると「跳ねて離れる」となる。これは何かがポンポン飛び出てくるイメージから、親という源流から跳び出してきた新たな命を表して「子孫」という意味になった。
&lt;span class="spacer"&gt;&lt;/span&gt;spring自体には次のような意味がある。地面から水が湧き出す「泉」、植物が土から一斉に芽吹く「春」、金属が跳ね返す「バネ」。すべて跳ねるというイメージを保っている。&lt;/span&gt;</t>
  </si>
  <si>
    <t>fam</t>
  </si>
  <si>
    <t>&lt;span class="w"&gt;&lt;b&gt;【1259.famine：飢饉】&lt;/b&gt;&lt;/span&gt;
&lt;span class="ml"&gt;ラテン語fames（飢え, 飢饉）に由来する。
&lt;span class="spacer"&gt;&lt;/span&gt;ラテン語から意味の変化はほとんどない。規模の大きい社会レベルの深刻な食糧不足、つまり「飢饉」を意味する。&lt;/span&gt;</t>
  </si>
  <si>
    <t>&lt;span class="w"&gt;&lt;b&gt;【1260.deforestation：森林伐採】&lt;/b&gt;&lt;/span&gt;
&lt;span class="ml"&gt;近代英語にさかのぼり、以下の3つの要素から成る。
&lt;span class="spacer"&gt;&lt;/span&gt;de（除去）
forest（森林）
ation（名詞化）
&lt;span class="spacer"&gt;&lt;/span&gt;このまま日本語にすると「森林を除去すること」となる。森林を切り倒してなくしてしまうことから「森林伐採」という意味になる。&lt;/span&gt;</t>
  </si>
  <si>
    <t>&lt;span class="w"&gt;&lt;b&gt;【1261.jail：刑務所, 拘置所】&lt;/b&gt;&lt;/span&gt;
&lt;span class="ml"&gt;ラテン語cavea（囲い, 檻, 洞穴）に由来する。
&lt;span class="spacer"&gt;&lt;/span&gt;この語の核は「囲って閉じ込める場所」。そこから裁判を待つ囚人や軽犯罪者を閉じ込めておくための「拘置所, 刑務所」という意味になった。
&lt;span class="spacer"&gt;&lt;/span&gt;jail：一時的な拘留や軽犯罪の短期刑
prison：重犯罪の長期刑&lt;/span&gt;</t>
  </si>
  <si>
    <t>&lt;span class="w"&gt;&lt;b&gt;【1262.commodity：商品, 有用なもの】&lt;/b&gt;&lt;/span&gt;
&lt;span class="ml"&gt;ラテン語に由来する語で、以下の3つの要素から成る。
&lt;span class="spacer"&gt;&lt;/span&gt;com（強意）
modus（尺度, 方法）
tas（名詞化）
&lt;span class="spacer"&gt;&lt;/span&gt;もともとは、状況や目的といった尺度（基準）にピッタリ合っていることから、基準にあった「有用なもの」を意味した。
&lt;span class="spacer"&gt;&lt;/span&gt;そうした有用なものは価値があり、利益を生むことから、やがて市場で取引される「商品」を意味するようになった。&lt;/span&gt;</t>
  </si>
  <si>
    <t>com（強意）＋modus（尺度, 方法）
commodus（適切な, 都合の良い, 便利な）
&lt;span class="spacer"&gt;&lt;/span&gt;名詞を作る-tasが付いて
commoditas（適合, 適応, 利点）</t>
  </si>
  <si>
    <t>&lt;span class="w"&gt;&lt;b&gt;【1263.format：書式, 形式】&lt;/b&gt;&lt;/span&gt;
&lt;span class="ml"&gt;ラテン語forma（型, 形）に由来する。
&lt;span class="spacer"&gt;&lt;/span&gt;もともとは、本を作る際の形や大きさなど、決められた型を表した。本や文章は決まった形を持たないので、どんなふうにでも表現できてしまう。それらに対して、形やサイズ、どこにどんな文章を配置するかなど、明確な形を与えるのがフォーマット。
&lt;span class="spacer"&gt;&lt;/span&gt;いまでは本に限らず、データや履歴書、テレビ番組などの様々なものに対して決まった形、つまり「書式, 形式」という意味で使われる。&lt;/span&gt;</t>
  </si>
  <si>
    <t>&lt;span class="w"&gt;&lt;b&gt;【1264.recipient：受け取る人】&lt;/b&gt;&lt;/span&gt;
&lt;span class="ml"&gt;ラテン語に由来する語で、以下の3つの要素から成る。
&lt;span class="spacer"&gt;&lt;/span&gt;re（後ろへ, 再び）
capere（取る）
ens（〜している人）
&lt;span class="spacer"&gt;&lt;/span&gt;このまま日本語にすると「後ろへ取る人」となる。相手の方から自分の方へ何かを取る、つまり受け取ることを表して、何かを「受け取る人」という意味になる。
&lt;span class="spacer"&gt;&lt;/span&gt;receiveにent（〜する人）が付いてできた語というイメージで覚えればよい。&lt;/span&gt;</t>
  </si>
  <si>
    <t>&lt;span class="w"&gt;&lt;b&gt;【1265.drill：訓練, 反復練習, ドリル】&lt;/b&gt;&lt;/span&gt;
&lt;span class="ml"&gt;近代英語にさかのぼり、回転させて穴をあけるドリルと同じ語。
&lt;span class="spacer"&gt;&lt;/span&gt;もともとは、ドリルの持つイメージ通り、物理的に回転させて深い穴をあけることを表した。この回転して深く刻み込む様子が、軍事において、兵士たちにぐるぐる旋回、行進する練習を何度も行い、動き方を刻み込むことへと発展した。そして軍事に限らず一般的な「訓練」や「反復練習」という意味になった。&lt;/span&gt;</t>
  </si>
  <si>
    <t>&lt;span class="w"&gt;&lt;b&gt;【1266.inability：無能, 無力】&lt;/b&gt;&lt;/span&gt;
&lt;span class="ml"&gt;中英語にさかのぼり、以下の2つの要素から成る。
&lt;span class="spacer"&gt;&lt;/span&gt;in（否定）
habilite（可能, 能力）
&lt;span class="spacer"&gt;&lt;/span&gt;これは、可能・能力の否定なので「無能, 無力」という意味になる。able（できる）の名詞ability（能力）を否定して、能力がない＝「無能, 無力」と覚えればよい。&lt;/span&gt;</t>
  </si>
  <si>
    <t>14世紀後期
可能, 能力
&lt;span class="spacer"&gt;&lt;/span&gt;15世紀半ば
in（否定）＋habilite（可能, 能力）
inhabilite（適性がない, 資格がない）</t>
  </si>
  <si>
    <t>&lt;span class="w"&gt;&lt;b&gt;【1267.republic：共和国, 共和制】&lt;/b&gt;&lt;/span&gt;
&lt;span class="ml"&gt;ラテン語に由来する語で、以下の2つの要素から成る。
&lt;span class="spacer"&gt;&lt;/span&gt;res（事柄, 物）
publica（公共の, 人々の）
&lt;span class="spacer"&gt;&lt;/span&gt;このまま日本語にすると「公共の事柄, 人々の事柄」となる。これは、王の私物・王の私的な事柄と対になる概念だと考えればよい。
&lt;span class="spacer"&gt;&lt;/span&gt;古代ローマは当初、王が国を統治し、政治や軍事、領土、財産、法律などあらゆるものが王の私物に近かった。そのため王家による専制的な支配や暴政に対する人々の不満が膨らみ、最終的にローマ人たちは王を追放し、王政廃止へと至った。
&lt;span class="spacer"&gt;&lt;/span&gt;そうすると、王が所有していたものはすべてローマ市民全体で共有し、管理すべき公共の事柄となる。国家の運営は、一部の権力者の私事ではなく、市民全体の公共の事柄であるという理念が定着すると、公共の事柄という概念そのものが、やがて国家は国民のものだとする「共和制」や、その理念に基づく「共和国」を意味するようになった。&lt;/span&gt;</t>
  </si>
  <si>
    <t>&lt;span class="w"&gt;&lt;b&gt;【1268.combat：戦闘】&lt;/b&gt;&lt;/span&gt;
&lt;span class="ml"&gt;ラテン語に由来する語で、以下の2つの要素から成る。
&lt;span class="spacer"&gt;&lt;/span&gt;com（共に）
battuere（打つ）
&lt;span class="spacer"&gt;&lt;/span&gt;このまま日本語にすると「共に打つ」となる。互いに打ち合うことから「戦闘」という意味になった。
&lt;span class="spacer"&gt;&lt;/span&gt;ラテン語battuere（打つ）からは次のような語も生まれており、すべて「打つ」というイメージを保っている。
debate（討論する, ディベート）
bat（木の棒, バット）
battle（バトル）&lt;/span&gt;</t>
  </si>
  <si>
    <t>&lt;span class="w"&gt;&lt;b&gt;【1269.debris：残骸, 瓦礫】&lt;/b&gt;&lt;/span&gt;
&lt;span class="ml"&gt;古フランス語に由来する語で、以下の2つの要素から成る。
&lt;span class="spacer"&gt;&lt;/span&gt;de（完全に）
briser（壊す）
&lt;span class="spacer"&gt;&lt;/span&gt;このまま日本語にすると「完全に壊す」となる。そこから破壊した結果に生じる「残骸, 瓦礫」という意味になった。デブリは日本語でもスペースデブリ（宇宙ごみ）や、原子力発電所の事故によって溶け落ちた核燃料が固まった燃料デブリなどで使われる。&lt;/span&gt;</t>
  </si>
  <si>
    <t>&lt;span class="w"&gt;&lt;b&gt;【1270.bug：病原菌, 虫, 機械やプログラムの欠陥・バグ】&lt;/b&gt;&lt;/span&gt;
&lt;span class="ml"&gt;語源は完全には確定していないが、おそらく中英語bugge, bogge（妖怪・恐ろしいもの）にさかのぼる。これらの語はいずれも、目に見えない恐怖や不快感を引き起こす存在と結びついていた。
&lt;span class="spacer"&gt;&lt;/span&gt;近代英語において、そうした性質をもつ、見えにくく不快な小さな存在として「虫」を意味するようになった。
&lt;span class="spacer"&gt;&lt;/span&gt;さらに19世紀には、こうした見えないところで悪さをするものというイメージから、機械や装置の「欠陥, バグ」を指してbugが用いられるようになった。トマス・エジソンもこの用法を使用している。
&lt;span class="spacer"&gt;&lt;/span&gt;また同様の発想から、体内に入り込んで不調を引き起こすものとして、俗語的に「病原菌」を意味する用法も生じた。&lt;/span&gt;</t>
  </si>
  <si>
    <t>1620年代
虫
&lt;span class="spacer"&gt;&lt;/span&gt;1889年
機械の欠陥（これはおそらくエジソンによって作られた意味で、機械内に虫が入り込むという比喩にもとづく）</t>
  </si>
  <si>
    <t>&lt;span class="w"&gt;&lt;b&gt;【1272.index：指し示すもの, 指数, 指標, 索引】&lt;/b&gt;&lt;/span&gt;
&lt;span class="ml"&gt;ラテン語に由来する語で、以下の2つの要素から成る。
&lt;span class="spacer"&gt;&lt;/span&gt;in（中に）
dicare（宣言する, 指し示す）
&lt;span class="spacer"&gt;&lt;/span&gt;この語の核は「ある方向に指をさして示し、何かを宣言すること」。この指をさすということから、ラテン語indexは人差し指という意味をもち、英語でも人差し指をindex fingerと呼ぶ。
&lt;span class="spacer"&gt;&lt;/span&gt;この何かを指し示すものという意味から、英語では当初、本の中で特定の情報が何ページに書かれているかを示す「索引」という意味で使われた。さらにそこから、経済やデータなどで、状態や傾向を客観的な数値で指し示す「指数, 指標」という意味にもなった。
例：BMI（Body Mass Index）＝肥満度を示す体格指数&lt;/span&gt;</t>
    <rPh sb="39" eb="41">
      <t>シスウ</t>
    </rPh>
    <rPh sb="189" eb="190">
      <t>ゴ</t>
    </rPh>
    <rPh sb="191" eb="192">
      <t>カク</t>
    </rPh>
    <rPh sb="196" eb="197">
      <t>ホウ</t>
    </rPh>
    <rPh sb="197" eb="198">
      <t>ム</t>
    </rPh>
    <rPh sb="199" eb="200">
      <t>ユビ</t>
    </rPh>
    <rPh sb="204" eb="205">
      <t>シメ</t>
    </rPh>
    <rPh sb="207" eb="208">
      <t>ナニ</t>
    </rPh>
    <rPh sb="210" eb="212">
      <t>センゲン</t>
    </rPh>
    <rPh sb="220" eb="221">
      <t>ユビ</t>
    </rPh>
    <rPh sb="235" eb="236">
      <t>ゴ</t>
    </rPh>
    <rPh sb="242" eb="244">
      <t>ヒトサ</t>
    </rPh>
    <rPh sb="245" eb="246">
      <t>ユビ</t>
    </rPh>
    <rPh sb="249" eb="251">
      <t>イミ</t>
    </rPh>
    <rPh sb="255" eb="257">
      <t>エイゴ</t>
    </rPh>
    <rPh sb="259" eb="261">
      <t>ヒトサ</t>
    </rPh>
    <rPh sb="262" eb="263">
      <t>ユビ</t>
    </rPh>
    <rPh sb="277" eb="278">
      <t>ヨ</t>
    </rPh>
    <rPh sb="311" eb="312">
      <t>ナニ</t>
    </rPh>
    <rPh sb="314" eb="317">
      <t>サシシメ</t>
    </rPh>
    <rPh sb="323" eb="325">
      <t>イミ</t>
    </rPh>
    <rPh sb="328" eb="330">
      <t>エイゴ</t>
    </rPh>
    <rPh sb="332" eb="334">
      <t>トウショ</t>
    </rPh>
    <rPh sb="335" eb="336">
      <t>ホン</t>
    </rPh>
    <rPh sb="337" eb="338">
      <t>ナカ</t>
    </rPh>
    <rPh sb="339" eb="341">
      <t>トクテイ</t>
    </rPh>
    <rPh sb="342" eb="344">
      <t>ジョウホウ</t>
    </rPh>
    <rPh sb="345" eb="346">
      <t>ナン</t>
    </rPh>
    <rPh sb="350" eb="351">
      <t>カ</t>
    </rPh>
    <rPh sb="358" eb="359">
      <t>シメ</t>
    </rPh>
    <rPh sb="361" eb="363">
      <t>サクイン</t>
    </rPh>
    <rPh sb="367" eb="369">
      <t>イミ</t>
    </rPh>
    <rPh sb="370" eb="371">
      <t>ツカ</t>
    </rPh>
    <rPh sb="393" eb="395">
      <t>ジョウタイ</t>
    </rPh>
    <rPh sb="396" eb="398">
      <t>ケイコウ</t>
    </rPh>
    <rPh sb="399" eb="402">
      <t>キャッカンテキ</t>
    </rPh>
    <rPh sb="403" eb="405">
      <t>スウチ</t>
    </rPh>
    <rPh sb="411" eb="413">
      <t>シスウ</t>
    </rPh>
    <rPh sb="415" eb="417">
      <t>シヒョウ</t>
    </rPh>
    <rPh sb="421" eb="423">
      <t>イミ</t>
    </rPh>
    <rPh sb="430" eb="431">
      <t>レイ</t>
    </rPh>
    <phoneticPr fontId="1"/>
  </si>
  <si>
    <t>in（中に）＋dicare（宣言する, 指し示す）
indicare（中へ示す, 明らかにする, 指し示す）
&lt;span class="spacer"&gt;&lt;/span&gt;名詞になって
index（指し示すもの, 一覧, 人差し指）</t>
    <rPh sb="20" eb="23">
      <t>サシシメ</t>
    </rPh>
    <phoneticPr fontId="1"/>
  </si>
  <si>
    <t>&lt;span class="w"&gt;&lt;b&gt;【1273.intuition：直観, 直感】&lt;/b&gt;&lt;/span&gt;
&lt;span class="ml"&gt;ラテン語に由来する語で、以下の2つの要素から成る。
&lt;span class="spacer"&gt;&lt;/span&gt;in（中に）
tueri（見る, 見守る）
io（名詞化）
&lt;span class="spacer"&gt;&lt;/span&gt;このまま日本語にすると「対象の中をしっかり見ること」となる。これは、対象を外から分析するのではなく、対象の奥深くを心の目でじっと見抜くイメージ。そこから、言葉にして論理的に考えるのではなく、経験や感覚を通して理解する「直観, 直感」という意味になった。
&lt;span class="spacer"&gt;&lt;/span&gt;塾で生徒のサポートを行うチューター（tutor）もラテン語tueri（見る, 見守る）に由来する。&lt;/span&gt;</t>
    <rPh sb="150" eb="153">
      <t>メイシカ</t>
    </rPh>
    <rPh sb="187" eb="190">
      <t>ニホンゴ</t>
    </rPh>
    <rPh sb="260" eb="262">
      <t>コトバ</t>
    </rPh>
    <rPh sb="265" eb="268">
      <t>ロンリテキ</t>
    </rPh>
    <rPh sb="269" eb="270">
      <t>カンガ</t>
    </rPh>
    <rPh sb="278" eb="280">
      <t>ケイケン</t>
    </rPh>
    <rPh sb="284" eb="285">
      <t>トオ</t>
    </rPh>
    <rPh sb="302" eb="304">
      <t>イミ</t>
    </rPh>
    <rPh sb="338" eb="339">
      <t>ジュク</t>
    </rPh>
    <rPh sb="340" eb="342">
      <t>セイト</t>
    </rPh>
    <rPh sb="348" eb="349">
      <t>オコナ</t>
    </rPh>
    <rPh sb="366" eb="367">
      <t>ゴ</t>
    </rPh>
    <rPh sb="382" eb="384">
      <t>ユライ</t>
    </rPh>
    <phoneticPr fontId="1"/>
  </si>
  <si>
    <t>&lt;span class="w"&gt;&lt;b&gt;【1274.motive：動機】&lt;/b&gt;&lt;/span&gt;
&lt;span class="ml"&gt;ラテン語に由来する語で、以下の2つの要素から成る。
&lt;span class="spacer"&gt;&lt;/span&gt;movere（動かす）
ivus（形容詞化）
&lt;span class="spacer"&gt;&lt;/span&gt;何かを動かす、駆り立てるという形容詞が名詞となり、人を行動へと動かすもの＝「動機」という意味になった。&lt;/span&gt;</t>
    <rPh sb="135" eb="139">
      <t>ケイヨウシカ</t>
    </rPh>
    <rPh sb="169" eb="170">
      <t>ナニ</t>
    </rPh>
    <rPh sb="172" eb="173">
      <t>ウゴ</t>
    </rPh>
    <rPh sb="176" eb="177">
      <t>カ</t>
    </rPh>
    <rPh sb="178" eb="179">
      <t>タ</t>
    </rPh>
    <rPh sb="184" eb="187">
      <t>ケイヨウシ</t>
    </rPh>
    <rPh sb="188" eb="190">
      <t>メイシ</t>
    </rPh>
    <rPh sb="213" eb="215">
      <t>イミ</t>
    </rPh>
    <phoneticPr fontId="1"/>
  </si>
  <si>
    <t>motusに形容詞を作る-ivusが付いて
motivus（動かす, 駆り立てる）</t>
    <phoneticPr fontId="1"/>
  </si>
  <si>
    <t>医療用語のインフォームド・コンセント（治療に関する情報を得た上で治療に同意すること）と関連させて覚える。</t>
    <phoneticPr fontId="1"/>
  </si>
  <si>
    <t>日本語でも使われるヒエラルキー（階級）と関連させて覚える。</t>
    <phoneticPr fontId="1"/>
  </si>
  <si>
    <t>覚えるときの要素</t>
    <rPh sb="0" eb="1">
      <t>オボ</t>
    </rPh>
    <rPh sb="6" eb="8">
      <t>ヨウソ</t>
    </rPh>
    <phoneticPr fontId="1"/>
  </si>
  <si>
    <t>語源にもとづいた説明</t>
    <phoneticPr fontId="1"/>
  </si>
  <si>
    <t>&lt;span class="w"&gt;&lt;b&gt;【1276.hierarchy：社会階層, 階級】&lt;/b&gt;&lt;/span&gt;
&lt;span class="ml"&gt;ギリシャ語に由来する語で、以下の2つの要素から成る。
&lt;span class="spacer"&gt;&lt;/span&gt;hieros（神聖な）
arkhein（支配する）
&lt;span class="spacer"&gt;&lt;/span&gt;この語の核は「神聖な権威による支配」。キリスト教において、神を頂点とする天使の階級や、教皇・司教・司祭といった教会の位階制度を指す宗教的な専門用語だった。そこから、あらゆるピラミッド型の上下関係や序列、階層構造を指して「社会階層」や「階級」といった意味になった。
&lt;div class="sample_image hierarchy"&gt;&lt;/div&gt;&lt;/span&gt;</t>
  </si>
  <si>
    <t>hieros（神聖な）＋arkhein（導く, 支配する）
hierarkhēs（聖なる儀式の指導者, 大祭司）
&lt;span class="spacer"&gt;&lt;/span&gt;hierarkhia（大祭司の支配）</t>
  </si>
  <si>
    <t>&lt;span class="w"&gt;&lt;b&gt;【1277.monument：記念碑, 遺跡, 金字塔】&lt;/b&gt;&lt;/span&gt;
&lt;span class="ml"&gt;ラテン語に由来する語で、以下の2つの要素から成る。
&lt;span class="spacer"&gt;&lt;/span&gt;monere（思い出させる）
mentum（名詞化）
&lt;span class="spacer"&gt;&lt;/span&gt;この語の核は「人や出来事を思い出させるもの」。そこから、亡くなった人を思い出させるための墓や霊廟、または特定の人物や出来事を記念して建てられた像といった「記念碑, 遺跡」という意味になった。
&lt;span class="spacer"&gt;&lt;/span&gt;また物理的な建造物だけではなく比喩的に、後世に長く語り継がれるべき偉大な業績や不朽の名作を表す「金字塔」という意味でも使われる。
&lt;div class="sample_image monument"&gt;&lt;/div&gt;&lt;/span&gt;</t>
  </si>
  <si>
    <t>&lt;span class="w"&gt;&lt;b&gt;【1278.asset：価値のあるもの, 強み, （複数形で）資産】&lt;/b&gt;&lt;/span&gt;
&lt;span class="ml"&gt;ラテン語に由来する語で、以下の2つの要素から成る。
&lt;span class="spacer"&gt;&lt;/span&gt;ad（〜へ）
satis（十分に, 足りて）
&lt;span class="spacer"&gt;&lt;/span&gt;このset部分はsatisfy（満足させる）のsat部分と同じ意味を持ち、もともとは借金などを返すための「十分な資産」を表した。
&lt;span class="spacer"&gt;&lt;/span&gt;フランス語から英語へはassetz（＝assets）という形で入って「資産」を意味したが、やがて最後のsが複数形のsだと間違って解釈され、単数形assetが作られた。単数形では、一つひとつの「価値あるもの」や「強み」という意味になった。&lt;/span&gt;</t>
  </si>
  <si>
    <t>&lt;span class="w"&gt;&lt;b&gt;【1279.decent：ちゃんとした, まずまずの】&lt;/b&gt;&lt;/span&gt;
&lt;span class="ml"&gt;ラテン語decere（ふさわしい, 適当である）に由来する。
&lt;span class="spacer"&gt;&lt;/span&gt;この語の核は「基準からは外れていない」。世間的な基準や礼儀が適当であることから「ちゃんとした」という意味になる。また評価において、とても良いわけではないが適切ではあるということから「まずまずの, まあまあの」という意味にもなる。&lt;/span&gt;</t>
  </si>
  <si>
    <t>&lt;span class="w"&gt;&lt;b&gt;【1280.competent：有能な, 適任の】&lt;/b&gt;&lt;/span&gt;
&lt;span class="ml"&gt;ラテン語に由来する語で、以下の2つの要素から成る。
&lt;span class="spacer"&gt;&lt;/span&gt;com（共に）
petere（求める, 向かう）
&lt;span class="spacer"&gt;&lt;/span&gt;このまま日本語にすると「共に求める」となる。これは、仕事などで求められている基準と、その人の持つ能力がピタリと一致するイメージ。そこから要件を十分に満たしている状態を表して「適任の, 有能な」という意味になる。
&lt;div class="sample_image competent"&gt;&lt;/div&gt;&lt;/span&gt;</t>
  </si>
  <si>
    <t>&lt;span class="w"&gt;&lt;b&gt;【1281.straightforward：単純な, 率直な】&lt;/b&gt;&lt;/span&gt;
&lt;span class="ml"&gt;近代英語にさかのぼり、以下の2つの要素から成る。
&lt;span class="spacer"&gt;&lt;/span&gt;straight（まっすぐ）　
forward（前方へ）
&lt;span class="spacer"&gt;&lt;/span&gt;このまま日本語にすると「まっすぐ前方へ」となる。まっすぐであることから比喩的に「率直な, 単純な」という意味になる。&lt;/span&gt;</t>
  </si>
  <si>
    <t>&lt;span class="w"&gt;&lt;b&gt;【1282.cosmetic：化粧の, 美容の】&lt;/b&gt;&lt;/span&gt;
&lt;span class="ml"&gt;ギリシャ語に由来する語で、以下の2つの要素から成る。
&lt;span class="spacer"&gt;&lt;/span&gt;kosmos（整えること, 秩序, 装飾）
ikos（形容詞化）
&lt;span class="spacer"&gt;&lt;/span&gt;この語の核は「整える」。古代ギリシャの人々にとって、物事が乱れなく秩序だって整っている状態こそが美しいとされていた。そこから、乱れを整えることが乱れた容姿を手入れして美しく飾ることへと発展して「化粧の, 美容の」という意味になった。
&lt;span class="spacer"&gt;&lt;/span&gt;ギリシャ語kosmosからは、英語cosmos（秩序ある美しい宇宙）も生まれている。物理的な科学的な一つにまとまったuniverseに対し、秩序ある美しく整った宇宙を表す。&lt;/span&gt;</t>
  </si>
  <si>
    <t>日本語でも使われるデリケート（繊細な）と同じ。</t>
  </si>
  <si>
    <t>&lt;span class="w"&gt;&lt;b&gt;【1283.delicate：繊細な, 扱いにくい, もろい】&lt;/b&gt;&lt;/span&gt;
&lt;span class="ml"&gt;ラテン語delicatus（ぜいたくな, 誘惑的な, 魅力的な）に由来する。
&lt;span class="spacer"&gt;&lt;/span&gt;もともとは、五感を楽しませるような心地よく魅力的なものを表した。そういったものは、粗っぽいゴツゴツしたものではなく、柔らかく洗練されているというニュアンスから、上品というイメージへと変化する。そして柔らかく洗練されていて上品なものは、同時に弱くて傷つきやすいという側面を持つことから、「繊細な, 扱いにくい, もろい」という意味へと発展した。&lt;/span&gt;</t>
  </si>
  <si>
    <t>delicatus（ぜいたくな, 誘惑的な, 魅力的な）</t>
  </si>
  <si>
    <t>delicatus（上品な, 細身の, 柔らかい）</t>
  </si>
  <si>
    <t>&lt;span class="w"&gt;&lt;b&gt;【1284.interior：室内の, 内部の】&lt;/b&gt;&lt;/span&gt;
&lt;span class="ml"&gt;ラテン語に由来する語で、以下の2つの要素から成る。
&lt;span class="spacer"&gt;&lt;/span&gt;inter（内側の, 内部の）
ior（比較級を作る）
&lt;span class="spacer"&gt;&lt;/span&gt;外部があるという前提で、より内側を表して「内部の」や「室内の」という意味になった。&lt;/span&gt;</t>
  </si>
  <si>
    <t>&lt;span class="w"&gt;&lt;b&gt;【1285.transparent：透明な】&lt;/b&gt;&lt;/span&gt;
&lt;span class="ml"&gt;ラテン語に由来する語で、以下の2つの要素から成る。
&lt;span class="spacer"&gt;&lt;/span&gt;trans（越えて, 通り抜けて）
parere（現れる）
&lt;span class="spacer"&gt;&lt;/span&gt;このまま日本語にすると「通り抜けて現れる」となる。ふつうは、ある物体Aの手前に別の物Bがあると、奥にあるAはBに遮られて見えなくなる。だがtransparentは、光が透けて奥にある物Aが現れることから「透明な」という意味になる。
&lt;span class="spacer"&gt;&lt;/span&gt;transparentのparent部分は、appearのpear部分と同じ。どちらもラテン語parere（現れる）に由来する。&lt;/span&gt;
&lt;div class="animation transparent"&gt;&lt;/div&gt;</t>
  </si>
  <si>
    <t>&lt;span class="w"&gt;&lt;b&gt;【1286.aesthetic：美的な, 美学の】&lt;/b&gt;&lt;/span&gt;
&lt;span class="ml"&gt;ギリシャ語に由来する語で、以下の2つの要素から成る。
&lt;span class="spacer"&gt;&lt;/span&gt;aisthanesthai（感覚や精神で知覚する, 感じる）
ikos（形容詞化）
&lt;span class="spacer"&gt;&lt;/span&gt;もとになったギリシャ語は、単なる感覚を通じた知覚に関する言葉で、美と結びついていたわけではなかった。しかし近代において、ドイツ人哲学者バウムガルテンが「感覚の学問」を提唱し、このギリシャ語を使ったことで美と結びつき、「美的な, 美学の」という意味になった。
&lt;span class="spacer"&gt;&lt;/span&gt;当時の哲学界では、理性こそが人間のもっとも優れた能力であり、錯覚を起こす感覚は劣った認識能力だと考えられていた。そこでバウムガルテンは、感覚には感覚独自のルールや価値があるはずだと考え、理性の学問＝論理学に対して、感覚の学問を提唱した。
&lt;span class="spacer"&gt;&lt;/span&gt;彼は、理性が目指す最高の状態が真理であるなら、感覚が目指す最高の状態は「美」であると考え、感覚の学問が最高の状態である美を追求する学問、すなわち「美学」へと繋がった。&lt;/span&gt;</t>
  </si>
  <si>
    <t>この語は哲学者カントの著作を翻訳したことで普及
感覚的知覚の条件を扱う学問
&lt;span class="spacer"&gt;&lt;/span&gt;1750年代
感性的認識の学（感覚を通じて物事を知る科学）
&lt;span class="spacer"&gt;&lt;/span&gt;1798年までに
感性的知覚の, 感性的知覚に関する
&lt;span class="spacer"&gt;&lt;/span&gt;1821年
美の評価に関する</t>
  </si>
  <si>
    <t>&lt;span class="w"&gt;&lt;b&gt;【1287.deliberate：故意の, 慎重な】&lt;/b&gt;&lt;/span&gt;
&lt;span class="ml"&gt;ラテン語に由来する語で、以下の2つの要素から成る。
&lt;span class="spacer"&gt;&lt;/span&gt;de（完全に）
libra（天秤）から派生したlibrare（バランスをとる）
&lt;span class="spacer"&gt;&lt;/span&gt;もともとは、天秤を使って物の重さをしっかり量ることを表した。そこから比喩的に、選択肢のメリットとデメリットを、心の中の天秤にかけてしっかりと量ることへと発展した。天秤にかけてよく考えていることから「慎重な」という意味になり、よく考えた結果の行動なので偶然ではなく「故意の」という意味になる。
&lt;div class="sample_image deliberate"&gt;&lt;/div&gt;&lt;/span&gt;</t>
  </si>
  <si>
    <t>&lt;span class="w"&gt;&lt;b&gt;【1288.demographic：人口統計（学）の】&lt;/b&gt;&lt;/span&gt;
&lt;span class="ml"&gt;ギリシャ語に由来する語で、以下の3つの要素から成る。
&lt;span class="spacer"&gt;&lt;/span&gt;dēmos（人々）
graphia（〜を書くこと, 〜の記録）
&lt;span class="obsolete"&gt;ic（形容詞化）は英語段階で付いた&lt;/span&gt;
&lt;span class="spacer"&gt;&lt;/span&gt;この語の核は「人々に関して属性で分類して記録すること」。近代において、ある社会の人々の出生、死亡、結婚、病気などの動向を数値化し、統計的に記録・研究する学問（人口統計学）が確立して「人口統計（学）の」という意味になった。
&lt;span class="spacer"&gt;&lt;/span&gt;またビジネスでは、年齢、性別、住んでいる地域など、ある属性で分類された人々の集団＝「層」を意味する名詞としても使われる。
&lt;div class="sample_image demographic"&gt;&lt;/div&gt;&lt;/span&gt;</t>
  </si>
  <si>
    <t>&lt;span class="w"&gt;&lt;b&gt;【1289.prehistoric：有史以前の】&lt;/b&gt;&lt;/span&gt;
&lt;span class="ml"&gt;近代英語にさかのぼり、以下の2つの要素から成る。
&lt;span class="spacer"&gt;&lt;/span&gt;pre（前の）
historic（歴史の）
&lt;span class="spacer"&gt;&lt;/span&gt;文字で記録が残されるようになった歴史より前を表すので「有史以前の」という意味になる。&lt;/span&gt;</t>
  </si>
  <si>
    <t>1660年代、historicalから作られた別の形容詞
histric（歴史の, 歴史上の, 歴史的な）
&lt;span class="spacer"&gt;&lt;/span&gt;1851年
pre-historic（記録された歴史以前の時代に関する）</t>
  </si>
  <si>
    <t>&lt;span class="w"&gt;&lt;b&gt;【1290.innate：生まれながらの】&lt;/b&gt;&lt;/span&gt;
&lt;span class="ml"&gt;ラテン語に由来する語で、以下の2つの要素から成る。
&lt;span class="spacer"&gt;&lt;/span&gt;in（中に）
nasci（生まれる）
&lt;span class="spacer"&gt;&lt;/span&gt;このまま日本語にすると「〜の中に生まれる」となる。生まれた時からその人やその動物の中にあることを表して「生まれつきの」という意味になる。
&lt;span class="spacer"&gt;&lt;/span&gt;nate部分は、nativeやnatureと同じイメージ。&lt;/span&gt;</t>
  </si>
  <si>
    <t>&lt;span class="w"&gt;&lt;b&gt;【1291.mild：穏やかな, 程度が軽い】&lt;/b&gt;&lt;/span&gt;
&lt;span class="ml"&gt;古英語milde（人・権力・性質について、柔らかさや優しさを備えている）にさかのぼる。
&lt;span class="spacer"&gt;&lt;/span&gt;この語の核は「柔らかい」。古英語から根本的な意味は変化せず、人や天候、病気、味や香りなど幅広い事柄に関して「穏やかな, 程度が軽い」という意味になった。&lt;/span&gt;</t>
  </si>
  <si>
    <t>&lt;span class="w"&gt;&lt;b&gt;【1292.toxic：有毒な, 中毒性の】&lt;/b&gt;&lt;/span&gt;
&lt;span class="ml"&gt;ギリシャ語に由来する語で、以下の2つの要素から成る。
&lt;span class="spacer"&gt;&lt;/span&gt;toxon（弓）
ikos（形容詞化）
&lt;span class="spacer"&gt;&lt;/span&gt;もともとは弓を表した語で、ギリシャ語にはtoxikon（弓矢の）pharmakon（毒）というフレーズがあった。そこから毒を意味していたpharmakonが省略され、本来は弓を意味していたtoxikonが毒を表すようになって「有毒の, 中毒性の」という意味になった。
&lt;div class="sample_image toxic"&gt;&lt;/div&gt;&lt;/span&gt;</t>
  </si>
  <si>
    <t>&lt;span class="w"&gt;&lt;b&gt;【1293.ashamed：恥じて】&lt;/b&gt;&lt;/span&gt;
&lt;span class="ml"&gt;古英語にさかのぼり、以下の3つの要素から成る。
&lt;span class="spacer"&gt;&lt;/span&gt;a（強調）
scamian（恥じる）
ed（過去分詞を作る）
&lt;span class="spacer"&gt;&lt;/span&gt;古英語からの意味の変化はほとんどない。古英語scamian（恥じる）は、さらに印欧祖語*skem-（覆う, 隠す）にさかのぼる。自分の過ちや見苦しさのあまり、顔や体を覆い隠したくなるという反射的な行動が根本にあり、その心情として「恥じる」という意味になるイメージ。&lt;/span&gt;</t>
  </si>
  <si>
    <t>*skem-（覆う, 隠す）</t>
  </si>
  <si>
    <t>実はhuman（人間）と語源が関連している。humbleのhumは、humanのhumと同じ。</t>
  </si>
  <si>
    <t>&lt;span class="w"&gt;&lt;b&gt;【1294.humble：謙虚な, 身分が低い】&lt;/b&gt;&lt;/span&gt;
&lt;span class="ml"&gt;ラテン語に由来する語で、以下の2つの要素から成る。
&lt;span class="spacer"&gt;&lt;/span&gt;humus（土, 大地）
ilis（形容詞化）
&lt;span class="spacer"&gt;&lt;/span&gt;もともとは、地面に近い、低い位置にあるといった物理的な位置を表した。そして物理的に低い位置から比喩的に、身分の低さやへりくだる姿勢を表すようになって「謙虚な, 身分の低い」という意味になった。
&lt;span class="spacer"&gt;&lt;/span&gt;human（人間）も同じラテン語humus（土, 大地）に由来する。天に住む神々に対して、大地から作られ、大地を這って生きる者として「人間」という意味になった。&lt;/span&gt;</t>
  </si>
  <si>
    <t>pec</t>
  </si>
  <si>
    <t>uli</t>
  </si>
  <si>
    <t>&lt;span class="w"&gt;&lt;b&gt;【1296.steep：傾斜が急な】&lt;/b&gt;&lt;/span&gt;
&lt;span class="ml"&gt;古英語steap（高い, そびえ立つ, 深い, 突き出た）にさかのぼる。
&lt;span class="spacer"&gt;&lt;/span&gt;もともとは高くそびえ立つ、突き出た様子を表した。そこからその傾斜へと観点が移って「傾斜が急な」という意味になった。&lt;/span&gt;
&lt;div class="animation steep"&gt;&lt;/div&gt;</t>
  </si>
  <si>
    <t>&lt;span class="w"&gt;&lt;b&gt;【1297.trivial：ささいな, 取るに足りない】&lt;/b&gt;&lt;/span&gt;
&lt;span class="ml"&gt;ラテン語に由来する語で、以下の2つの要素から成る。
&lt;span class="spacer"&gt;&lt;/span&gt;tri（3）
via（道）
alis（形容詞化）
&lt;span class="spacer"&gt;&lt;/span&gt;もともとは、3つの道が交わる場所（三叉路）を表した。古代ローマにおいて、三叉路は人々が行き交う非常に公共性の高い場所で、自然と立ち話や情報交換の場になった。そこで話される内容は、たいして重要ではない日常の噂話やありふれた世間話ばかりだったことから「ささいな, 取るに足りない」という意味になった。&lt;/span&gt;</t>
  </si>
  <si>
    <t>&lt;span class="w"&gt;&lt;b&gt;【1298.magnificent：壮大な, 見事な】&lt;/b&gt;&lt;/span&gt;
&lt;span class="ml"&gt;ラテン語に由来する語で、以下の2つの要素から成る。
&lt;span class="spacer"&gt;&lt;/span&gt;magnus（大きい）
facere（作る, 行う）
&lt;span class="spacer"&gt;&lt;/span&gt;もともとは、人が規模の大きいことを成し遂げることを表した。そこから人物の行動だけでなく、その人たちが建てた豪華絢爛な宮殿や、圧倒されるような大自然の風景など、視覚的にスケールが大きくて素晴らしいもの全体を表現するようになって「壮大な, 見事な」という意味になった。
&lt;div class="sample_image magnificent"&gt;&lt;/div&gt;
&lt;span class="spacer"&gt;&lt;/span&gt;magni部分は、地震の規模を示すマグニチュード（magnitudo）と同じ。&lt;/span&gt;</t>
  </si>
  <si>
    <t>&lt;span class="w"&gt;&lt;b&gt;【1299.wireless：無線の】&lt;/b&gt;&lt;/span&gt;
&lt;span class="ml"&gt;近代英語にさかのぼり、以下の2つの要素から成る。
&lt;span class="spacer"&gt;&lt;/span&gt;wire（線）
less（〜がない）
&lt;span class="spacer"&gt;&lt;/span&gt;このまま日本語にすると、線がない、つまり「無線の」という意味になる。&lt;/span&gt;</t>
  </si>
  <si>
    <t>&lt;span class="w"&gt;&lt;b&gt;【1300.ongoing：進行中の, 継続している】&lt;/b&gt;&lt;/span&gt;
&lt;span class="ml"&gt;近代英語近代英語にさかのぼり、以下の2つの要素から成る。
&lt;span class="spacer"&gt;&lt;/span&gt;on（〜を続けて）
going（進行）
&lt;span class="spacer"&gt;&lt;/span&gt;前置詞onの核は「接触」だが、接触し続けて離れないイメージから、副詞onは「継続」を表す。たとえばkeep on doing（何かをし続ける）やgo on（何かがそのまま続く）のonがそれである。
&lt;span class="spacer"&gt;&lt;/span&gt;この継続を表すonと進行を表すgoingが合わさって「進行中の, 継続中の」という意味になる。&lt;/span&gt;</t>
  </si>
  <si>
    <t>se（離れて）＋cura（注意）
securus（安全な, 心配のない）</t>
    <phoneticPr fontId="1"/>
  </si>
  <si>
    <t>&lt;span class="w"&gt;&lt;b&gt;【1302.precede：〜に先行する】&lt;/b&gt;&lt;/span&gt;
&lt;span class="ml"&gt;ラテン語に由来する語で、以下の2つの要素から成る。
&lt;span class="spacer"&gt;&lt;/span&gt;prae（前に）
cedere（行く）
&lt;span class="spacer"&gt;&lt;/span&gt;このまま日本語にすると「前に行く」となり、時間的・空間的に何かに「先行する」という意味になる。&lt;/span&gt;
&lt;div class="animation precede"&gt;&lt;/div&gt;</t>
    <rPh sb="175" eb="178">
      <t>ニホンゴ</t>
    </rPh>
    <rPh sb="192" eb="195">
      <t>ジカンテキ</t>
    </rPh>
    <rPh sb="196" eb="199">
      <t>クウカンテキ</t>
    </rPh>
    <rPh sb="200" eb="201">
      <t>ナニ</t>
    </rPh>
    <rPh sb="212" eb="214">
      <t>イミ</t>
    </rPh>
    <phoneticPr fontId="1"/>
  </si>
  <si>
    <t>&lt;span class="w"&gt;&lt;b&gt;【1303.revive：〜を復活させる, 復活する】&lt;/b&gt;&lt;/span&gt;
&lt;span class="ml"&gt;ラテン語に由来する語で、以下の2つの要素から成る。
&lt;span class="spacer"&gt;&lt;/span&gt;re（再び）
vivere（生きる）
&lt;span class="spacer"&gt;&lt;/span&gt;このまま日本語にすると「再び生きる」となり、「復活させる, 復活する」という意味になる。vive部分はsurvive（生き延びる）と同じ。&lt;/span&gt;</t>
    <rPh sb="180" eb="183">
      <t>ニホンゴ</t>
    </rPh>
    <rPh sb="214" eb="216">
      <t>イミ</t>
    </rPh>
    <rPh sb="224" eb="226">
      <t>ブブン</t>
    </rPh>
    <rPh sb="235" eb="236">
      <t>イ</t>
    </rPh>
    <rPh sb="237" eb="238">
      <t>ノ</t>
    </rPh>
    <rPh sb="242" eb="243">
      <t>オナ</t>
    </rPh>
    <phoneticPr fontId="1"/>
  </si>
  <si>
    <t>&lt;span class="w"&gt;&lt;b&gt;【1305.blossom：花が咲く, 発展する】&lt;/b&gt;&lt;/span&gt;
&lt;span class="ml"&gt;古英語blostma（ひとつの蕾, ひとつの花）にさかのぼる。
&lt;span class="spacer"&gt;&lt;/span&gt;実際の花から、特に果樹に関して「花が咲く」という意味になった。またそこから比喩的に、才能や魅力などが「発展する」という意味にもなった。&lt;/span&gt;</t>
    <rPh sb="133" eb="135">
      <t>ジッサイ</t>
    </rPh>
    <rPh sb="140" eb="141">
      <t>トク</t>
    </rPh>
    <rPh sb="142" eb="144">
      <t>カジュ</t>
    </rPh>
    <rPh sb="145" eb="146">
      <t>カン</t>
    </rPh>
    <rPh sb="157" eb="159">
      <t>イミ</t>
    </rPh>
    <rPh sb="175" eb="177">
      <t>サイノウ</t>
    </rPh>
    <rPh sb="178" eb="180">
      <t>ミリョク</t>
    </rPh>
    <rPh sb="192" eb="194">
      <t>イミ</t>
    </rPh>
    <phoneticPr fontId="1"/>
  </si>
  <si>
    <t>&lt;span class="w"&gt;&lt;b&gt;【1306.terrify：〜を怖がらせる】&lt;/b&gt;&lt;/span&gt;
&lt;span class="ml"&gt;ラテン語に由来する語で、以下の2つの要素から成る。
&lt;span class="spacer"&gt;&lt;/span&gt;terrere（恐れで満たす）
facere（作る, する）
&lt;span class="spacer"&gt;&lt;/span&gt;この語の核は「恐れで満ちた状態にする」。そこから対象を「怖がらせる」という意味になる。
&lt;span class="spacer"&gt;&lt;/span&gt;このterr部分は、terror（恐怖, テロ）やterrible（恐ろしい, ひどい）と同じラテン語から生まれている。&lt;/span&gt;</t>
    <rPh sb="185" eb="186">
      <t>ゴ</t>
    </rPh>
    <rPh sb="187" eb="188">
      <t>カク</t>
    </rPh>
    <rPh sb="193" eb="194">
      <t>ミ</t>
    </rPh>
    <rPh sb="196" eb="198">
      <t>ジョウタイ</t>
    </rPh>
    <rPh sb="207" eb="209">
      <t>タイショウ</t>
    </rPh>
    <rPh sb="220" eb="222">
      <t>イミ</t>
    </rPh>
    <rPh sb="261" eb="263">
      <t>ブブン</t>
    </rPh>
    <rPh sb="272" eb="274">
      <t>キョウフ</t>
    </rPh>
    <rPh sb="289" eb="290">
      <t>オソ</t>
    </rPh>
    <rPh sb="300" eb="301">
      <t>オナ</t>
    </rPh>
    <rPh sb="305" eb="306">
      <t>ゴ</t>
    </rPh>
    <rPh sb="308" eb="309">
      <t>ウ</t>
    </rPh>
    <phoneticPr fontId="1"/>
  </si>
  <si>
    <t>&lt;span class="w"&gt;&lt;b&gt;【1307.violate：法律や規則に違反する】&lt;/b&gt;&lt;/span&gt;
&lt;span class="ml"&gt;ラテン語vis（力）に関連するviolare（暴力を加える）に由来する。
&lt;span class="spacer"&gt;&lt;/span&gt;物理的な力を使って何かを強引に打ち破るというイメージから、物理的な暴力だけでなく、目に見えないルールや境界線を「破る」という意味になった。&lt;/span&gt;</t>
    <rPh sb="84" eb="86">
      <t>カンレン</t>
    </rPh>
    <rPh sb="104" eb="106">
      <t>ユライ</t>
    </rPh>
    <rPh sb="200" eb="202">
      <t>イミ</t>
    </rPh>
    <phoneticPr fontId="1"/>
  </si>
  <si>
    <t>&lt;span class="w"&gt;&lt;b&gt;【1308.suppress：〜を抑える】&lt;/b&gt;&lt;/span&gt;
&lt;span class="ml"&gt;ラテン語に由来する語で、以下の2つの要素から成る。
&lt;span class="spacer"&gt;&lt;/span&gt;sub（下に）
premere（押す）
&lt;span class="spacer"&gt;&lt;/span&gt;物理的に下に押すという動作から、感情や情報、社会的な運動などを表面に出ないように「抑える」という意味になった。
&lt;div class="sample_image suppress"&gt;&lt;/div&gt;&lt;/span&gt;</t>
    <rPh sb="193" eb="196">
      <t>シャカイテキ</t>
    </rPh>
    <rPh sb="212" eb="213">
      <t>オサ</t>
    </rPh>
    <rPh sb="219" eb="221">
      <t>イミ</t>
    </rPh>
    <phoneticPr fontId="1"/>
  </si>
  <si>
    <t>de（～から）＋capere（取る）
decipere（罠にかける, だます, 欺く）</t>
    <phoneticPr fontId="1"/>
  </si>
  <si>
    <t>manus（手）＋plere（満たす）
manipulus（ひと握り）
manipule（薬の計量でひと握り）</t>
    <rPh sb="47" eb="49">
      <t>ケイリョウ</t>
    </rPh>
    <phoneticPr fontId="1"/>
  </si>
  <si>
    <t>1730年代
鉱石を掘り出す方法
&lt;span class="spacer"&gt;&lt;/span&gt;1826年までに
物体を巧みに扱うこと
&lt;span class="spacer"&gt;&lt;/span&gt;1827年
手で巧みに扱う
&lt;span class="spacer"&gt;&lt;/span&gt;1864年までに
人為的に操る
&lt;span class="spacer"&gt;&lt;/span&gt;1870年から
相場などを操作する</t>
    <phoneticPr fontId="1"/>
  </si>
  <si>
    <t>&lt;span class="w"&gt;&lt;b&gt;【1311.starve：飢える, 〜を飢えさせる】&lt;/b&gt;&lt;/span&gt;
&lt;span class="ml"&gt;古英語steorfan（死ぬ）にさかのぼる。
&lt;span class="spacer"&gt;&lt;/span&gt;もともとはdieのように、一般的に死ぬことを表したが、そこから寒さや飢えでで死ぬことへと限定されていった。さらにそこから、本来持っていた死ぬというニュアンスが失われていって「飢える, 飢えさせる」という意味になった。
&lt;span class="spacer"&gt;&lt;/span&gt;飢え死にすると言う場合は、starve to deathというようにdeathを使わなければならない。&lt;/span&gt;</t>
  </si>
  <si>
    <t>&lt;span class="w"&gt;&lt;b&gt;【1312.flee：逃げる】&lt;/b&gt;&lt;/span&gt;
&lt;span class="ml"&gt;印欧祖語*pleu-（流れる）にさかのぼる。
&lt;span class="spacer"&gt;&lt;/span&gt;この印欧祖語からはflyやflowも生まれている。この語の核は「流れるような素早い動き」。流れるようにスッと危険や脅威から離れることから「逃げる」という意味になった。&lt;/span&gt;</t>
  </si>
  <si>
    <t>&lt;span class="w"&gt;&lt;b&gt;【1313.whisper：ささやく】&lt;/b&gt;&lt;/span&gt;
&lt;span class="ml"&gt;古英語hwisprian（非常に静かに話す, ささやく）にさかのぼる。
&lt;span class="spacer"&gt;&lt;/span&gt;古英語からほとんど意味の変化はない。おそらく根本には、ヒューやスーといった息が漏れる音やかすれる音があると考えられる。現代ではwhの綴りになっているが、古英語ではhwの順番で、最初の「フ」という音から始まるところにもささやきの息遣いが現れている。&lt;/span&gt;</t>
  </si>
  <si>
    <t>&lt;span class="w"&gt;&lt;b&gt;【1314.yell：叫ぶ, どなる】&lt;/b&gt;&lt;/span&gt;
&lt;span class="ml"&gt;古英語giellan / gellan（鋭く大きな声で叫ぶ）にさかのぼる。
&lt;span class="spacer"&gt;&lt;/span&gt;古英語からの意味はほとんどない。日本語のエールは、この語から生まれた日本独自のもの。応援のエールが持つ大声を出すイメージから「叫ぶ, どなる」という意味を覚える。&lt;/span&gt;</t>
  </si>
  <si>
    <t>&lt;span class="w"&gt;&lt;b&gt;【1315.deposit：〜を置く, 〜を預ける】&lt;/b&gt;&lt;/span&gt;
&lt;span class="ml"&gt;ラテン語に由来する語で、以下の2つの要素から成る。
&lt;span class="spacer"&gt;&lt;/span&gt;de（離れて, 下に）
ponere（置く）
&lt;span class="spacer"&gt;&lt;/span&gt;このまま日本語にすると「離れて置く, 下に置く」となる。物理的に何かを「置く」という意味もあるが、金銭や貴重品を離れた場所に「預ける」という意味にもなる。
&lt;span class="spacer"&gt;&lt;/span&gt;depositのposit部分は、positionと同じなので、そこから「置く」というイメージ持っておくとよい。
&lt;div class="sample_image deposit"&gt;&lt;/div&gt;&lt;/span&gt;</t>
  </si>
  <si>
    <t>&lt;span class="w"&gt;&lt;b&gt;【1316.confine：〜を限定する, 〜を閉じ込める】&lt;/b&gt;&lt;/span&gt;
&lt;span class="ml"&gt;ラテン語に由来する語で、以下の2つの要素から成る。
&lt;span class="spacer"&gt;&lt;/span&gt;com（共に）
finis（終わり, 境界）
&lt;span class="spacer"&gt;&lt;/span&gt;もともとは、物理的に同じ境界を持っている、つまり隣り合っていることを表した。そこから境界を引いて、その中から出ないようにする行為へと発展して「閉じ込める, 限定する」という意味になった。
&lt;span class="spacer"&gt;&lt;/span&gt;confineのfine部分は、finishのfinやdefineのfineと同じ。
&lt;div class="sample_image confine"&gt;&lt;/div&gt;&lt;/span&gt;</t>
  </si>
  <si>
    <t>&lt;span class="w"&gt;&lt;b&gt;【1317.swing：〜を揺らす, 振る】&lt;/b&gt;&lt;/span&gt;
&lt;span class="ml"&gt;古英語swingan（むち打つ, 身を投げる, 勢いよく動く）にさかのぼる。
&lt;span class="spacer"&gt;&lt;/span&gt;もともとは、むちを打つという攻撃的な動きを表したが、次第に対象に当たることよりも、空中で弧を描いて行ったり来たりする運動そのものを表すようになった。そこから、固定された一点を軸に振り子のように「揺らす, 振る」という意味になった。&lt;/span&gt;</t>
  </si>
  <si>
    <t>&lt;span class="w"&gt;&lt;b&gt;【1318.prolong：〜を延長する】&lt;/b&gt;&lt;/span&gt;
&lt;span class="ml"&gt;ラテン語に由来する語で、以下の2つの要素から成る。
&lt;span class="spacer"&gt;&lt;/span&gt;pro（前へ）
longus（長い）
&lt;span class="spacer"&gt;&lt;/span&gt;このまま日本語にすると「前へ長くする」となる。そこから時間的に前方へ伸ばす、つまり「延長する」という意味になる。&lt;/span&gt;</t>
  </si>
  <si>
    <t>&lt;span class="w"&gt;&lt;b&gt;【1319.depict：〜を描く】&lt;/b&gt;&lt;/span&gt;
&lt;span class="ml"&gt;ラテン語に由来する語で、以下の2つの要素から成る。
&lt;span class="spacer"&gt;&lt;/span&gt;de（下に）
pingere（描く）
&lt;span class="spacer"&gt;&lt;/span&gt;このまま日本語にすると「下に描く」となる。pict部分はpictureやpaintと同じラテン語から生まれており、もともとは絵の具で描き出すことを表した。そこから意味が広がって、絵だけではなく言葉や映像などで「描く」という意味になった。&lt;/span&gt;</t>
  </si>
  <si>
    <t>&lt;span class="w"&gt;&lt;b&gt;【1320.outline：〜の要点を述べる, 〜の輪郭を描く】&lt;/b&gt;&lt;/span&gt;
&lt;span class="ml"&gt;近代英語にさかのぼり、以下の2つの要素から成る。
&lt;span class="spacer"&gt;&lt;/span&gt;out（外側に）
line（線を引く）
&lt;span class="spacer"&gt;&lt;/span&gt;絵を描く際に、対象の外側を囲む線を引くことから「輪郭を描く」という意味になった。
&lt;span class="spacer"&gt;&lt;/span&gt;また対象の輪郭を描くことが、細かい部分を省いて対象の全体像を示すことへとつながって、物事の「要点を述べる」という意味にもなった。&lt;/span&gt;</t>
  </si>
  <si>
    <t>&lt;span class="w"&gt;&lt;b&gt;【1321.shed：〜を捨て去る, 光を放つ, 血や涙を流す】&lt;/b&gt;&lt;/span&gt;
&lt;span class="ml"&gt;古英語scadan（分ける, 切り離す, 撒き散らす）にさかのぼる。
&lt;span class="spacer"&gt;&lt;/span&gt;この語の核は「一体となっているものからある部分を切り離す」。そこから文脈に応じて、以下のように日本語にすればよい。
体から血や涙を「流す」
葉っぱや毛が「落ちる」
体重を「落とす」
光や影響などを「放つ」
不要なものを「捨て去る」
&lt;div class="sample_image shed"&gt;&lt;/div&gt;&lt;/span&gt;</t>
  </si>
  <si>
    <t>&lt;span class="w"&gt;&lt;b&gt;【1322.emit：（光・熱などを）放つ, 排出する】&lt;/b&gt;&lt;/span&gt;
&lt;span class="ml"&gt;ラテン語に由来する語で、以下の2つの要素から成る。
&lt;span class="spacer"&gt;&lt;/span&gt;ex（外に）
mittere（送る）
&lt;span class="spacer"&gt;&lt;/span&gt;このまま日本語にすると「外に送る」となる。物理的に何かを外へ送り出すという動作から、目に見えないエネルギーや気体などを「放つ, 排出する」という意味になった。
&lt;div class="sample_image emit"&gt;&lt;/div&gt;&lt;/span&gt;</t>
  </si>
  <si>
    <t>&lt;span class="w"&gt;&lt;b&gt;【1323.renew：〜を更新する, （資源を）再生する】&lt;/b&gt;&lt;/span&gt;
&lt;span class="ml"&gt;中英語に由来する語で、以下の2つの要素から成る。
&lt;span class="spacer"&gt;&lt;/span&gt;re（再び）
neuen（新しくする, 回復させる）
&lt;span class="spacer"&gt;&lt;/span&gt;このまま日本語にすると「再び新しくする」となる。元からあるものを再び新しくすることから「更新する, 再生する」という意味になる。&lt;/span&gt;</t>
  </si>
  <si>
    <t>&lt;span class="w"&gt;&lt;b&gt;【1324.utilize：〜を利用する, 〜を活用する】&lt;/b&gt;&lt;/span&gt;
&lt;span class="ml"&gt;ラテン語に由来する語で、以下の3つの要素から成る。
&lt;span class="spacer"&gt;&lt;/span&gt;uti（使う）
ilis（形容詞化）
&lt;span class="obsolete"&gt;ize（動詞化）はイタリア語やフランス語段階で付いた&lt;/span&gt;
&lt;span class="spacer"&gt;&lt;/span&gt;utilizeは、utilにizeが付くことで動詞となっているが、ityが付けばutility（実用性, 公共事業）となる。つまりutil部分の核は「実用面で役立つ」であり、動詞utilizeは「役立つ状態にする」が根本にある。
&lt;span class="spacer"&gt;&lt;/span&gt;役に立つようにすることから「利用する, 活用する」という意味になる。&lt;/span&gt;</t>
  </si>
  <si>
    <t>&lt;span class="w"&gt;&lt;b&gt;【1325.assert：〜を主張する】&lt;/b&gt;&lt;/span&gt;
&lt;span class="ml"&gt;ラテン語に由来する語で、以下の2つの要素から成る。
&lt;span class="spacer"&gt;&lt;/span&gt;ad（〜へ）
serere（結びつける）
&lt;span class="spacer"&gt;&lt;/span&gt;この語の核は「自分の側へ結びつける」。古代ローマでは、法的文脈において、ある人や物を自分の権利に属するものとして主張するという意味で用いられた。
&lt;span class="spacer"&gt;&lt;/span&gt;この自分の側に結びつけて権利や立場を認めさせるという感覚から、現代でも、権利や立場を「主張する」や、ある事柄を強く断言して「主張する」という意味になった。
&lt;span class="spacer"&gt;&lt;/span&gt;assertのsert部分は、間に入れて結びつけるinsert（挿入する）や、人や植物との結びつきが話されたdesert（砂漠, 見捨てる）にも含まれている。&lt;/span&gt;</t>
  </si>
  <si>
    <t>&lt;span class="w"&gt;&lt;b&gt;【1327.strive：努力する】&lt;/b&gt;&lt;/span&gt;
&lt;span class="ml"&gt;古フランス語estrif（喧嘩, 争い）に由来する。
&lt;span class="spacer"&gt;&lt;/span&gt;もともとは喧嘩や争いを表す語だったが、その際のもがき戦うイメージから、困難や目標に向かって「努力する」という意味になった。
&lt;span class="spacer"&gt;&lt;/span&gt;語源的な争いという意味は、名詞strifeに残っている。&lt;/span&gt;</t>
  </si>
  <si>
    <t>&lt;span class="w"&gt;&lt;b&gt;【1328.dare：あえて（思い切って）〜する, 〜を挑発する】&lt;/b&gt;&lt;/span&gt;
&lt;span class="ml"&gt;古英語durran（十分に大胆である, 勇気がある, あえて〜する, 思い切って〜する）にさかのぼる。
&lt;span class="spacer"&gt;&lt;/span&gt;この語の核は「恐ろしさや危険を承知で何かをする勇気がある」。そこから「あえて〜する, 思い切って〜する」という意味になる。
&lt;span class="spacer"&gt;&lt;/span&gt;&lt;strong&gt;［dare to do］&lt;/strong&gt;
これは、恐れや危険を超えて何かをすることを表して「思い切って〜する」となる。だから否定文don't dare to doになると「怖くて〜できない」といったニュアンスになる。
&lt;span class="spacer"&gt;&lt;/span&gt;&lt;strong&gt;［助動詞的：dare do］&lt;/strong&gt;
① How dare you say that?
どうやったら恐れや危険を超えてそんなことを言う勇気があるの？
＝よくもそんなこと言えるね。
② Don’t you dare touch it.
恐れや危険を超えてそれに触るなんてするな。
＝絶対にそれに触るな。
&lt;span class="spacer"&gt;&lt;/span&gt;&lt;strong&gt;［S dare O to do］&lt;/strong&gt;
SがOに恐れや危険を超えて〜する方へけしかける&lt;/span&gt;</t>
  </si>
  <si>
    <t>1570年代
相手が意気地なしだと示して挑発する
&lt;span class="spacer"&gt;&lt;/span&gt;1630年代
はっきりと挑発する</t>
  </si>
  <si>
    <t>&lt;span class="w"&gt;&lt;b&gt;【1329.boast：〜を誇る（誇りとして持つ）, 〜を自慢する】&lt;/b&gt;&lt;/span&gt;
&lt;span class="ml"&gt;原始ゲルマン語*bausia（膨らむ, 膨らませる）にさかのぼる。
&lt;span class="spacer"&gt;&lt;/span&gt;この語は、物理的にパンパンに膨らむという状態が、人間の態度が高慢に膨れ上がる＝ふんぞり返るという比喩へと変化して「自慢する」という意味になった。
&lt;span class="spacer"&gt;&lt;/span&gt;また自慢できるものを持っていることから、ビジネスや観光案内の文脈などで「〜を誇る, 誇りとして持つ」という意味にもなった。
Our city boasts a beautiful park.
私たちの街には（誇れる）美しい公園があります。
&lt;div class="sample_image boast"&gt;&lt;/div&gt;&lt;/span&gt;</t>
  </si>
  <si>
    <t>原始ゲルマン語</t>
  </si>
  <si>
    <t>*bausia（膨らむ, 膨らませる）</t>
  </si>
  <si>
    <t>&lt;span class="w"&gt;&lt;b&gt;【1330.startle：〜をぎょっとさせる, 〜をびっくりさせる】&lt;/b&gt;&lt;/span&gt;
&lt;span class="ml"&gt;古英語にさかのぼり、以下の2つの要素から成る。
&lt;span class="spacer"&gt;&lt;/span&gt;*steortian（跳び上がる）
le（反復を表す）
&lt;span class="spacer"&gt;&lt;/span&gt;start部分は、現代英語start（始める）の語源。もともとは始めるという意味はなく、跳び上がるという瞬間的な動作を表していた。これは陸上競技で、ピストルの合図とともに一斉に走り出すイメージに近い。
&lt;span class="spacer"&gt;&lt;/span&gt;startに反復を表すleが付くことで、跳ね上がることを繰り返す、つまり跳び回るという動きを表した。これが、突然の物音や予期せぬ出来事に対してビクッと反射的に跳ね上がるという、驚きの感情を伴う動作へとつながり、相手を「ぎょっとさせる, びっくりさせる」という意味になった。
&lt;div class="sample_image startle"&gt;&lt;/div&gt;&lt;/span&gt;</t>
  </si>
  <si>
    <t>&lt;span class="w"&gt;&lt;b&gt;【1331.offend：〜を不愉快にする, 違反する】&lt;/b&gt;&lt;/span&gt;
&lt;span class="ml"&gt;ラテン語ラテン語に由来する語で、以下の2つの要素から成る。
&lt;span class="spacer"&gt;&lt;/span&gt;ob（〜に対して）
fendere（打つ）
&lt;span class="spacer"&gt;&lt;/span&gt;このまま日本語にすると「何かに対して打つ」となる。対象がルールであれば「違反する」という意味になり、対象が人であれば「不愉快にする」という意味になる。
&lt;span class="spacer"&gt;&lt;/span&gt;offendは、defend（守る）の反対と覚えればよい。&lt;/span&gt;</t>
  </si>
  <si>
    <t>&lt;span class="w"&gt;&lt;b&gt;【1332.compute：計算する】&lt;/b&gt;&lt;/span&gt;
&lt;span class="ml"&gt;ラテン語に由来する語で、以下の2つの要素から成る。
&lt;span class="spacer"&gt;&lt;/span&gt;com（共に）
putare（剪定する, 計算する）
&lt;span class="spacer"&gt;&lt;/span&gt;pute部分は、もともとは不要な枝を剪定して、木をすっきりと綺麗にする行為を表した。そこから意味が抽象化して、頭の中の不要な要素を切り捨てて整理する＝考えることや、数をきれいに整理する＝計算することへとつながった。
&lt;span class="spacer"&gt;&lt;/span&gt;computeは、複数の数字や要素を一緒に整理して考えることから「計算する」やコンピュータなどで「処理する」という意味になった。&lt;/span&gt;</t>
  </si>
  <si>
    <t>&lt;span class="w"&gt;&lt;b&gt;【1333.assemble：〜を集める, 〜を組み立てる, 集まる】&lt;/b&gt;&lt;/span&gt;
&lt;span class="ml"&gt;ラテン語に由来する語で、以下の2つの要素から成る。
&lt;span class="spacer"&gt;&lt;/span&gt;ad（〜へ）
similis（似ている）
&lt;span class="spacer"&gt;&lt;/span&gt;sem部分の語源であるラテン語similisは、sameやsimilarと同じ印欧祖語*sem-（1つ, 同じ）にさかのぼる。
&lt;span class="spacer"&gt;&lt;/span&gt;これにad（〜へ）が付いたassembleの核は「バラバラのものをある方向へ向かわせてひとつにする」。そこから「集める, 集まる」や、物を「組み立てる」という意味になる。
&lt;div class="sample_image assemble"&gt;&lt;/div&gt;
&lt;span class="spacer"&gt;&lt;/span&gt;resembleはre（強意）とsembleから、完全に同じに見えるから「似ている」となる。&lt;/span&gt;</t>
  </si>
  <si>
    <t>&lt;span class="w"&gt;&lt;b&gt;【1334.worsen：〜を悪化させる, 悪化する】&lt;/b&gt;&lt;/span&gt;
&lt;span class="ml"&gt;中英語にさかのぼり、以下の2つの要素から成る。
&lt;span class="spacer"&gt;&lt;/span&gt;werse（より悪い）
en（動詞化）
&lt;span class="spacer"&gt;&lt;/span&gt;これはworse（より悪い）を動詞化したものなので「悪化させる, 悪化する」という意味になる。&lt;/span&gt;</t>
  </si>
  <si>
    <t>&lt;span class="w"&gt;&lt;b&gt;【1335.flip：〜を裏返す, 〜を軽く弾く】&lt;/b&gt;&lt;/span&gt;
&lt;span class="ml"&gt;近代英語にさかのぼり、裏返すときや弾くときの音を表現したか、もしくはflap（パタパタ動かす）からの派生と考えられる。フリップは日本語の「パッ」に近いイメージ。
&lt;div class="sample_image flip"&gt;&lt;/div&gt;&lt;/span&gt;</t>
  </si>
  <si>
    <t>&lt;span class="w"&gt;&lt;b&gt;【1336.rub：〜をこする（物理的・心理的な摩擦）】&lt;/b&gt;&lt;/span&gt;
&lt;span class="ml"&gt;中英語rubben（表面をこする）にさかのぼるが、それ以前の語源はよくわかっていない。この語の核は「摩擦」。物理的に表面を「こする」ことに加えて、心理面での摩擦で「不愉快にさせる, 怒らせる」といった表現もある。
&lt;span class="spacer"&gt;&lt;/span&gt;rub 人 the wrong way
動物の毛並みとは間違った方向にこすることから、誰かを不愉快にさせるという意味になる。
&lt;div class="sample_image rub"&gt;&lt;/div&gt;&lt;/span&gt;</t>
  </si>
  <si>
    <t>&lt;span class="w"&gt;&lt;b&gt;【1337.descend：降りる, 受け継がれる】&lt;/b&gt;&lt;/span&gt;
&lt;span class="ml"&gt;ラテン語に由来する語で、以下の2つの要素から成る。
&lt;span class="spacer"&gt;&lt;/span&gt;de（下に）
scandere（登る）
&lt;span class="spacer"&gt;&lt;/span&gt;このまま日本語にすると「下に登る」となる。物理的な上から下への移動を表して「降りる」という意味になる。また時間的・血縁的な下への移動も表し、何かが「受け継がれる」という意味にもなる。
&lt;div class="sample_image descend"&gt;&lt;/div&gt;&lt;/span&gt;</t>
  </si>
  <si>
    <t>&lt;span class="w"&gt;&lt;b&gt;【1338.compensate：補償する, 埋め合わせる】&lt;/b&gt;&lt;/span&gt;
&lt;span class="ml"&gt;ラテン語に由来する語で、以下の2つの要素から成る。
&lt;span class="spacer"&gt;&lt;/span&gt;com（共に）
pendere（吊るす, 重さを量る, 支払う）
&lt;span class="spacer"&gt;&lt;/span&gt;このまま日本語にすると「共に吊るす」となる。これは、天秤の両側に物を載せて釣り合わせ、重さを量るイメージ。そこから、誰かが被った損失や被害（マイナス）を天秤の片方に載せ、もう片方に、それと釣り合うだけの金銭や代替物（プラス）を載せてバランスをとる、すなわち何かに対して「補償する, 埋め合わせる」という意味になった。
&lt;div class="sample_image compensate"&gt;&lt;/div&gt;&lt;/span&gt;</t>
  </si>
  <si>
    <t>&lt;span class="w"&gt;&lt;b&gt;【1339.comprise：〜から成る】&lt;/b&gt;&lt;/span&gt;
&lt;span class="ml"&gt;ラテン語に由来する語で、以下の2つの要素から成る。
&lt;span class="spacer"&gt;&lt;/span&gt;com（共に, 完全に）
prehendere（つかむ, 捉える）
&lt;span class="spacer"&gt;&lt;/span&gt;このまま日本語にすると「共につかみとる」となる。複数のものをひとまとめにしてつかんで持つイメージから、ある全体が複数の要素を自分の中に含んで持っている状態を表すようになった。つまり全体が複数の要素「から成る」という意味になった。
&lt;span class="spacer"&gt;&lt;/span&gt;［全体 comprise 部分］
全体が部分から成る
&lt;div class="sample_image comprise"&gt;&lt;/div&gt;&lt;/span&gt;</t>
  </si>
  <si>
    <t>&lt;span class="w"&gt;&lt;b&gt;【1340.prevail：普及している, 支配的である, 圧倒している, 打ち勝つ】&lt;/b&gt;&lt;/span&gt;
&lt;span class="ml"&gt;ラテン語に由来する語で、以下の2つの要素から成る。
&lt;span class="spacer"&gt;&lt;/span&gt;prae（前に）
valere（力を持つ, 強い）
&lt;span class="spacer"&gt;&lt;/span&gt;この語の核は「他者の前へ立って力を見せつける」イメージ。そこから、物理的に力で相手を「圧倒している, 打ち勝つ」という意味になる。
&lt;span class="spacer"&gt;&lt;/span&gt;また、強い力を持って社会全体を覆い尽くすイメージから、考え方や習慣、あるいは病気などが「支配的である, 普及している」という意味にもなる。
&lt;div class="sample_image prevail"&gt;&lt;/div&gt;&lt;/span&gt;</t>
  </si>
  <si>
    <t>&lt;span class="w"&gt;&lt;b&gt;【1341.quest：探求】&lt;/b&gt;&lt;/span&gt;
&lt;span class="ml"&gt;ラテン語quaerere（探求する, 尋ねる）に由来する。
&lt;span class="spacer"&gt;&lt;/span&gt;このラテン語からはquest. question, requestといった名詞が生まれている。これら3つの核は「求めること」。questは、何かを探し求めて進むことから「探求（探し求める旅）」という意味になった。
&lt;span class="spacer"&gt;&lt;/span&gt;questionは答えを求めることから「疑問」に、requestは繰り返し（re）求めることから「要求」という意味になった。&lt;/span&gt;</t>
  </si>
  <si>
    <t>日本語でも使われるオーソドクスと関連させて覚える。
orthos（まっすぐな, 正しい）
doxa（一般的な意見）
orthodox（まっすぐ一般的な意見に沿う, オーソドクス, 正統な, 伝統的な）</t>
  </si>
  <si>
    <t>&lt;span class="w"&gt;&lt;b&gt;【1344.paradox：逆説, パラドクス】&lt;/b&gt;&lt;/span&gt;
&lt;span class="ml"&gt;ギリシャ語に由来する語で、以下の2つの要素から成る。
&lt;span class="spacer"&gt;&lt;/span&gt;para（反する）
doxa（一般的な意見）
&lt;span class="spacer"&gt;&lt;/span&gt;この語の核は「一般的な意見に反するもの」。常識的な考えに反してはいるが、だからといって誤りではなく、きちんと成立しているものを指す。これは、Aという前提にもとづいて考えればBという結論が出るはずが、実際はBに反する結論が出てくるイメージ。
&lt;span class="spacer"&gt;&lt;/span&gt;たとえば、自由にはルールが必要である、という主張。一般的に考えれば、自由とは何にも縛られないことを表すはずなので、ルールは必要ないように思える。しかし実際には、ルールが存在するおかげで強者による支配を防ぎ、安全が保たれ、結果的に多数が自由を享受できる。このような一般的な考えから出る結論とは反対の結論に至ることを「逆説」という。
&lt;span class="spacer"&gt;&lt;/span&gt;またparadoxは「逆説」だけではなく、論理学における用語である「論理パラドクス」としても用いられる。
&lt;span class="spacer"&gt;&lt;/span&gt;"This sentence is false."
日本語に訳すと「この文は偽である」となる。もしこの文が本当のことを言っている（真）とすると、この文自体は偽だと言っているので偽となる。反対に、この文が間違っている（偽）とすると、「この文は偽である」は正しいことになるので真となる。
&lt;span class="spacer"&gt;&lt;/span&gt;つまり真だとすると偽という結論が、偽だとすると真という結論が出てしまうため、「この文は偽である」の真偽がつけられない状態となる。これを「論理パラドクス」と呼んだ。&lt;/span&gt;</t>
  </si>
  <si>
    <t>para（反する）＋doxa（一般的な意見）
paradoxos（予想に反する, 信じがたい）
paradoxon（信じがたい意見）</t>
  </si>
  <si>
    <t>&lt;span class="w"&gt;&lt;b&gt;【1345.parliament：（英国などの）議会】&lt;/b&gt;&lt;/span&gt;
&lt;span class="ml"&gt;古フランス語に由来する語で、以下の2つの要素から成る。
&lt;span class="spacer"&gt;&lt;/span&gt;parler（話す）
ment（名詞化）
&lt;span class="spacer"&gt;&lt;/span&gt;この語の核は「話すこと」。イギリスにおいて、国王、貴族、聖職者などが国政について話し合うための最高諮問会議を指す公式な用語として使われるようになり、現在の「議会」という意味になった。&lt;/span&gt;</t>
  </si>
  <si>
    <t>parler（話す）
&lt;span class="spacer"&gt;&lt;/span&gt;名詞を作る-mentが付いて
parlement（話すこと, 会話）</t>
  </si>
  <si>
    <t>&lt;span class="w"&gt;&lt;b&gt;【1346.legislation：（不可算）立法, 法律】&lt;/b&gt;&lt;/span&gt;
&lt;span class="ml"&gt;ラテン語に由来する語で、以下の2つの要素から成る。
&lt;span class="spacer"&gt;&lt;/span&gt;legis（法律）
latio（運ぶこと）
&lt;span class="spacer"&gt;&lt;/span&gt;このまま日本語にすると「法律を運ぶこと」となる。そこから、法律を提出して成立させるプロセス＝「立法」という意味になる。また、議会で制定された法律のまとまりや法制度という意味で「法律」にもなる。
&lt;span class="spacer"&gt;&lt;/span&gt;このlation部分は、translateやrelateのlateと同じで、運ぶことを表す。
&lt;div class="sample_image legislation"&gt;&lt;/div&gt;&lt;/span&gt;</t>
  </si>
  <si>
    <t>&lt;span class="w"&gt;&lt;b&gt;【1348.mainstream：主流】&lt;/b&gt;&lt;/span&gt;
&lt;span class="ml"&gt;近代英語にさかのぼり、以下の2つの要素から成る。
&lt;span class="spacer"&gt;&lt;/span&gt;main（主要な）
stream（流れ）
&lt;span class="spacer"&gt;&lt;/span&gt;このまま日本語にすると「主要な流れ」つまり「主流」という意味になる。
&lt;span class="spacer"&gt;&lt;/span&gt;stream（流れ）は、インターネットを通じたストリーミング再生という言葉にも使われる。ストリーミング再生とは、音楽や映像データをすべてダウンロードした後に再生するのではなく、川が絶えず流れるようにデータを少しずつ受信しながら同時に再生することをいう。&lt;/span&gt;</t>
  </si>
  <si>
    <t>&lt;span class="w"&gt;&lt;b&gt;【1349.troop：複数形で軍隊, 集団】&lt;/b&gt;&lt;/span&gt;
&lt;span class="ml"&gt;古フランス語trope（人々の群れ, 軍隊, 群衆）に由来する。
&lt;span class="spacer"&gt;&lt;/span&gt;この語の核は「規律にもとづいて行動する集団」。そこから軍事において「軍隊」や、一般的に何かの「集団」という意味になる。
&lt;div class="sample_image troop"&gt;&lt;/div&gt;&lt;/span&gt;</t>
  </si>
  <si>
    <t>&lt;span class="w"&gt;&lt;b&gt;【1350.epidemic：流行（病）, 蔓延】&lt;/b&gt;&lt;/span&gt;
&lt;span class="ml"&gt;ギリシャ語に由来する語で、以下の2つの要素から成る。
&lt;span class="spacer"&gt;&lt;/span&gt;epi（〜の中に, 〜の間に）
dēmos（人々）
&lt;span class="spacer"&gt;&lt;/span&gt;この語の核は「人々の間に広まっている」。特に病気に関して、人々の間に異常に広がることを表し、ある地域や集団での「流行（病）, 蔓延」という意味になる。
&lt;span class="spacer"&gt;&lt;/span&gt;epiではなくpan（全て）が付けば、特定地域ではなく複数の国や大陸に広まったpandemic（世界的な流行や蔓延）となる。
&lt;span class="spacer"&gt;&lt;/span&gt;epidemic：特定地域での異常な流行
pandemic：世界的・広域での流行&lt;/span&gt;
&lt;div class="animation epidemic"&gt;&lt;/div&gt;</t>
  </si>
  <si>
    <t>&lt;span class="w"&gt;&lt;b&gt;【1351.outbreak：発生, 勃発】&lt;/b&gt;&lt;/span&gt;
&lt;span class="ml"&gt;中英語outbreak（閉じ込められた状態から突発的に外へ出る）にさかのぼる。
&lt;span class="spacer"&gt;&lt;/span&gt;内側に閉じ込められていたものが、突然壁を破って出てくるイメージから「発生, 勃発」という意味になる。&lt;/span&gt;</t>
  </si>
  <si>
    <t>&lt;span class="w"&gt;&lt;b&gt;【1352.chaos：混沌, 大混乱】&lt;/b&gt;&lt;/span&gt;
&lt;span class="ml"&gt;ギリシャ語khaos（深淵, ぽっかり開いたもの, 空虚）に由来する。
&lt;span class="spacer"&gt;&lt;/span&gt;もともとは深淵やぽっかり空いた空間を表した。ギリシャ神話においては、宇宙や万物が形成される前の、形のない空っぽの暗黒状態を指す言葉として使われ、それがキリスト教の聖書における、天地創造の前の混沌とした世界に対しても使われるようになった。
&lt;span class="spacer"&gt;&lt;/span&gt;そこから一般的に秩序のないぐちゃぐちゃな状態、すなわち「混沌, 大混乱」という意味になった。&lt;/span&gt;</t>
  </si>
  <si>
    <t>&lt;span class="w"&gt;&lt;b&gt;【1353.nightmare：悪夢】&lt;/b&gt;&lt;/span&gt;
&lt;span class="ml"&gt;中英語にさかのぼり、以下の2つの要素から成る。
&lt;span class="spacer"&gt;&lt;/span&gt;night（夜）
mare（悪霊）
&lt;span class="spacer"&gt;&lt;/span&gt;もともとは、夜、寝ている人に窒息感を与えて苦しめる悪霊を指したが、次第にそのときに見る「悪夢」を意味するようになった。&lt;/span&gt;</t>
  </si>
  <si>
    <t>&lt;span class="w"&gt;&lt;b&gt;【1354.horror：恐怖】&lt;/b&gt;&lt;/span&gt;
&lt;span class="ml"&gt;ラテン語horrere（恐怖で身震いする, 身の毛がよだつ）に由来する。
&lt;span class="spacer"&gt;&lt;/span&gt;身震いする、身の毛がよだつという恐れる感覚から「恐怖」という意味になった。日本語でも使われるホラーと同じ。&lt;/span&gt;</t>
  </si>
  <si>
    <t>コロナウイルスが蔓延した際に頻繁に使われたクラスター感染（集団感染）と関連させて覚える。</t>
  </si>
  <si>
    <t>&lt;span class="w"&gt;&lt;b&gt;【1355.cluster：集団, （植物の）房, 束】&lt;/b&gt;&lt;/span&gt;
&lt;span class="ml"&gt;古英語clyster（自然に一緒に生えているものの集まり）にさかのぼる。
&lt;span class="spacer"&gt;&lt;/span&gt;もともとは、植物の一部が密集して生えている、果実が密集して実っている様子を表す言葉だった。そこから植物の「房」という意味になった。
&lt;span class="spacer"&gt;&lt;/span&gt;さらに植物に限らず、星や人、動物、物など、同種のものが密に集まっている状態全般を指し、何かの「集団」という意味にもなった。
&lt;div class="sample_image cluster"&gt;&lt;/div&gt;&lt;/span&gt;</t>
  </si>
  <si>
    <t>&lt;span class="w"&gt;&lt;b&gt;【1356.pollen：花粉】&lt;/b&gt;&lt;/span&gt;
&lt;span class="ml"&gt;ラテン語pollen（製粉の粉, 細かい小麦粉）に由来する。
&lt;span class="spacer"&gt;&lt;/span&gt;もともとは細かい粉を表す語だったが、植物学者であるリンネによって「花粉」という意味で使われるようになった。
&lt;span class="spacer"&gt;&lt;/span&gt;語源的には、粉を意味するpowder（パウダー）と関連する可能性がある。powderの語源はラテン語pulvis（粉, 塵）で、これがラテン語pollenと関係しているかもしれない。&lt;/span&gt;</t>
  </si>
  <si>
    <t>&lt;span class="w"&gt;&lt;b&gt;【1357.hive：ミツバチの巣, 人が集まって活発に動くところ】&lt;/b&gt;&lt;/span&gt;
&lt;span class="ml"&gt;印欧祖語*keup-（丸い容器）にさかのぼる。
&lt;span class="spacer"&gt;&lt;/span&gt;この印欧祖語からはcupも生まれており、この語の核は「丸い容器」。そこからミツバチが住んでいるドーム型の丸い巣＝「ミツバチの巣」という意味になった。
&lt;span class="spacer"&gt;&lt;/span&gt;さらにミツバチの巣では、ミツバチが忙しなく動き回っていることから、比喩的に「人が集まって活発に動くところ」という意味にもなった。&lt;/span&gt;</t>
  </si>
  <si>
    <t>&lt;span class="w"&gt;&lt;b&gt;【1359.dose：薬1回分の服用量】&lt;/b&gt;&lt;/span&gt;
&lt;span class="ml"&gt;ギリシャ語に由来する語で、以下の2つの要素から成る。
&lt;span class="spacer"&gt;&lt;/span&gt;didonai（与える）
sis（名詞化）
&lt;span class="spacer"&gt;&lt;/span&gt;もともとは何かを与えることを表したが、特に医療分野において、医師に処方される薬の分量を表すようになった。そこから現代でも、薬1回分の「服用量」という意味になっている。
&lt;span class="spacer"&gt;&lt;/span&gt;ギリシャ語didonai（与える）は、印欧祖語*do-（与える）にさかのぼる。この印欧祖語からはdonor（ドナー, 臓器提供者）やdonation（寄付）なども生まれている。&lt;/span&gt;</t>
  </si>
  <si>
    <t>&lt;span class="w"&gt;&lt;b&gt;【1361.feast：祝宴, ごちそう】&lt;/b&gt;&lt;/span&gt;
&lt;span class="ml"&gt;ラテン語festus（お祭りの, 喜ばしい）に由来する。
&lt;span class="spacer"&gt;&lt;/span&gt;もともとは、宗教的な祝日やお祭り、そこで出される豪華な食事を表す語だった。そこから時代が下るにつれて宗教的なニュアンスが薄まり、純粋に「祝宴」や「ごちそう」という意味になった。
&lt;span class="spacer"&gt;&lt;/span&gt;ラテン語festus（お祭りの, 喜ばしい）からは、英語festival（祭, フェスティバル）も生まれている。feastは、festivalのお祭りというイメージと関連させて覚えるとよい。&lt;/span&gt;</t>
    <rPh sb="170" eb="171">
      <t>クダ</t>
    </rPh>
    <phoneticPr fontId="1"/>
  </si>
  <si>
    <t>&lt;span class="w"&gt;&lt;b&gt;【1362.cuisine：（ある国や文化特有の）料理】&lt;/b&gt;&lt;/span&gt;
&lt;span class="ml"&gt;ラテン語coquere（料理する）に由来する。
&lt;span class="spacer"&gt;&lt;/span&gt;もともとは料理する行為を表した。しかしそこから、調理された食事や料理のやり方を表すようになり、特定の地域やレストラン、独自のスタイルの「料理」という意味になった。
&lt;span class="spacer"&gt;&lt;/span&gt;ラテン語coquere（料理する）からはbiscuit（ビスケット）も生まれている。bisは「2」を、cuitは「料理する（ここでは焼く）」を意味する。つまりビスケットは、2度焼かれたものという意味。&lt;/span&gt;</t>
    <rPh sb="94" eb="96">
      <t>ユライ</t>
    </rPh>
    <rPh sb="137" eb="139">
      <t>コウイ</t>
    </rPh>
    <rPh sb="140" eb="141">
      <t>アラワ</t>
    </rPh>
    <rPh sb="167" eb="168">
      <t>アラワ</t>
    </rPh>
    <rPh sb="202" eb="204">
      <t>イミ</t>
    </rPh>
    <rPh sb="241" eb="242">
      <t>ゴ</t>
    </rPh>
    <rPh sb="273" eb="274">
      <t>ウ</t>
    </rPh>
    <rPh sb="295" eb="297">
      <t>リョウリ</t>
    </rPh>
    <rPh sb="304" eb="305">
      <t>ヤ</t>
    </rPh>
    <rPh sb="309" eb="311">
      <t>イミ</t>
    </rPh>
    <rPh sb="325" eb="326">
      <t>ド</t>
    </rPh>
    <rPh sb="326" eb="327">
      <t>ヤ</t>
    </rPh>
    <rPh sb="335" eb="337">
      <t>イミ</t>
    </rPh>
    <phoneticPr fontId="1"/>
  </si>
  <si>
    <t>&lt;span class="w"&gt;&lt;b&gt;【1363.rumor：うわさ】&lt;/b&gt;&lt;/span&gt;
&lt;span class="ml"&gt;ラテン語rumor（物音, 世間話, うわさ）に由来する。
&lt;span class="spacer"&gt;&lt;/span&gt;もともとは周囲の物音を表したが、そのザワザワ・ガヤガヤする感じが、人々の間で話が広がっていく様子と結びついて「うわさ」という意味になった。
&lt;div class="sample_image rumor"&gt;&lt;/div&gt;&lt;/span&gt;</t>
    <rPh sb="88" eb="90">
      <t>ユライ</t>
    </rPh>
    <rPh sb="130" eb="132">
      <t>モノオト</t>
    </rPh>
    <rPh sb="133" eb="134">
      <t>アラワ</t>
    </rPh>
    <rPh sb="151" eb="152">
      <t>カン</t>
    </rPh>
    <rPh sb="168" eb="170">
      <t>ヨウス</t>
    </rPh>
    <rPh sb="171" eb="172">
      <t>ムス</t>
    </rPh>
    <rPh sb="184" eb="186">
      <t>イミ</t>
    </rPh>
    <phoneticPr fontId="1"/>
  </si>
  <si>
    <t>&lt;span class="w"&gt;&lt;b&gt;【1364.proverb：ことわざ】&lt;/b&gt;&lt;/span&gt;
&lt;span class="ml"&gt;ラテン語に由来する語で、以下の2つの要素から成る。
&lt;span class="spacer"&gt;&lt;/span&gt;pro（前に）
verbum（言葉）
&lt;span class="spacer"&gt;&lt;/span&gt;このまま日本語にすると「前に出された言葉」となる。これは、特定の誰かがひそかに語る言葉ではなく、世間一般の人々の前に出された言葉を指した。つまり多くの人が口にして共有する、社会の教訓や普遍的な真理を伝える短いフレーズ＝「ことわざ」を指した。&lt;/span&gt;</t>
    <rPh sb="172" eb="175">
      <t>ニホンゴ</t>
    </rPh>
    <rPh sb="224" eb="225">
      <t>マエ</t>
    </rPh>
    <rPh sb="226" eb="227">
      <t>ダ</t>
    </rPh>
    <rPh sb="230" eb="232">
      <t>コトバ</t>
    </rPh>
    <rPh sb="233" eb="234">
      <t>サ</t>
    </rPh>
    <rPh sb="284" eb="285">
      <t>サ</t>
    </rPh>
    <phoneticPr fontId="1"/>
  </si>
  <si>
    <t>&lt;span class="w"&gt;&lt;b&gt;【1365.signature：署名, 特徴】&lt;/b&gt;&lt;/span&gt;
&lt;span class="ml"&gt;ラテン語に由来する語で、以下の2つの要素から成る。
&lt;span class="spacer"&gt;&lt;/span&gt;signare（印を付ける, 署名する）
ura（名詞化）
&lt;span class="spacer"&gt;&lt;/span&gt;もともとは、所有者が誰かや、あるものが本物であることを示すために、何かに印をつける行為そのものを表した。しかし次第に印をつけることから、その結果として残された印自体へと焦点が移り、文書が本物であることを証明する手書きの「署名」という意味になった。
&lt;span class="spacer"&gt;&lt;/span&gt;また署名はその人にしか書けない固有の印であることからから意味が発展して、特定の人や物を象徴するような、際立った「特徴」という意味にもなった。&lt;/span&gt;</t>
    <rPh sb="150" eb="153">
      <t>メイシカ</t>
    </rPh>
    <rPh sb="193" eb="194">
      <t>ダレ</t>
    </rPh>
    <rPh sb="216" eb="217">
      <t>ナニ</t>
    </rPh>
    <rPh sb="219" eb="220">
      <t>シルシ</t>
    </rPh>
    <rPh sb="224" eb="226">
      <t>コウイ</t>
    </rPh>
    <rPh sb="231" eb="232">
      <t>アラワ</t>
    </rPh>
    <rPh sb="238" eb="240">
      <t>シダイ</t>
    </rPh>
    <rPh sb="241" eb="242">
      <t>シルシ</t>
    </rPh>
    <rPh sb="253" eb="255">
      <t>ケッカ</t>
    </rPh>
    <rPh sb="258" eb="259">
      <t>ノコ</t>
    </rPh>
    <rPh sb="262" eb="263">
      <t>シルシ</t>
    </rPh>
    <rPh sb="263" eb="265">
      <t>ジタイ</t>
    </rPh>
    <rPh sb="267" eb="269">
      <t>ショウテン</t>
    </rPh>
    <rPh sb="270" eb="271">
      <t>ウツ</t>
    </rPh>
    <rPh sb="273" eb="275">
      <t>ブンショ</t>
    </rPh>
    <rPh sb="276" eb="278">
      <t>ホンモノ</t>
    </rPh>
    <rPh sb="299" eb="301">
      <t>イミ</t>
    </rPh>
    <rPh sb="337" eb="339">
      <t>ショメイ</t>
    </rPh>
    <rPh sb="342" eb="343">
      <t>ヒト</t>
    </rPh>
    <rPh sb="346" eb="347">
      <t>カ</t>
    </rPh>
    <rPh sb="350" eb="352">
      <t>コユウ</t>
    </rPh>
    <rPh sb="353" eb="354">
      <t>シルシ</t>
    </rPh>
    <rPh sb="363" eb="365">
      <t>イミ</t>
    </rPh>
    <rPh sb="366" eb="368">
      <t>ハッテン</t>
    </rPh>
    <rPh sb="371" eb="373">
      <t>トクテイ</t>
    </rPh>
    <rPh sb="374" eb="375">
      <t>ヒト</t>
    </rPh>
    <rPh sb="376" eb="377">
      <t>モノ</t>
    </rPh>
    <rPh sb="378" eb="380">
      <t>ショウチョウ</t>
    </rPh>
    <rPh sb="386" eb="388">
      <t>キワダ</t>
    </rPh>
    <rPh sb="391" eb="393">
      <t>トクチョウ</t>
    </rPh>
    <rPh sb="397" eb="399">
      <t>イミ</t>
    </rPh>
    <phoneticPr fontId="1"/>
  </si>
  <si>
    <t>&lt;span class="w"&gt;&lt;b&gt;【1366.formula：方法, 公式】&lt;/b&gt;&lt;/span&gt;
&lt;span class="ml"&gt;ラテン語
forma（形, 型）
ula（小さいことを表す）
&lt;span class="spacer"&gt;&lt;/span&gt;このまま日本語にすると「小さな型（フォーム）」となり、もともとは同じものを量産するためのひな型を表した。ひな型に材料を流し込めば必ず同じ形ができるように、同じ手順を踏めば同じ結果になるという考えから、決まった型通りの「方法」や数学の「公式」という意味になった。&lt;/span&gt;</t>
    <rPh sb="96" eb="97">
      <t>アラワ</t>
    </rPh>
    <rPh sb="132" eb="135">
      <t>ニホンゴ</t>
    </rPh>
    <rPh sb="176" eb="177">
      <t>アラワ</t>
    </rPh>
    <rPh sb="182" eb="183">
      <t>ガタ</t>
    </rPh>
    <rPh sb="228" eb="229">
      <t>キ</t>
    </rPh>
    <rPh sb="251" eb="253">
      <t>イミ</t>
    </rPh>
    <phoneticPr fontId="1"/>
  </si>
  <si>
    <t>&lt;span class="w"&gt;&lt;b&gt;【1368.intake：摂取量, 取り入れること】&lt;/b&gt;&lt;/span&gt;
&lt;span class="ml"&gt;近代英語にさかのぼり、以下の2つの要素から成る。
&lt;span class="spacer"&gt;&lt;/span&gt;in（中に）
take（取る）
&lt;span class="spacer"&gt;&lt;/span&gt;このまま日本語にすると「中に取ること」となる。そこから水や空気、食物などを「取り入れること」や、水や食物の「摂取量」という意味になった。&lt;/span&gt;</t>
    <rPh sb="175" eb="178">
      <t>ニホンゴ</t>
    </rPh>
    <rPh sb="219" eb="220">
      <t>ミズ</t>
    </rPh>
    <rPh sb="221" eb="223">
      <t>ショクモツ</t>
    </rPh>
    <rPh sb="225" eb="228">
      <t>セッシュリョウ</t>
    </rPh>
    <rPh sb="232" eb="234">
      <t>イミ</t>
    </rPh>
    <phoneticPr fontId="1"/>
  </si>
  <si>
    <t>&lt;span class="w"&gt;&lt;b&gt;【1369.spectrum：スペクトル, （波動・変動の）範囲】&lt;/b&gt;&lt;/span&gt;
&lt;span class="ml"&gt;ラテン語に由来する語で、以下の2つの要素から成る。
&lt;span class="spacer"&gt;&lt;/span&gt;specere（見る, 眺める）
um（名詞化）
&lt;span class="spacer"&gt;&lt;/span&gt;このまま日本語にすると「見えるもの」となり、核は「本来は見えないものが目の前に現れたもの」。
&lt;span class="spacer"&gt;&lt;/span&gt;物理学者のアイザック・ニュートンが、プリズムを通した太陽光が虹色に分かれる現象を発表した際、この暗闇に浮かび上がる光の帯を光が現れた姿と見立ててspectrumと名付けた。そこから目に見える光の色帯＝「スペクトル」という意味になった。
&lt;span class="spacer"&gt;&lt;/span&gt;さらに、光の波長が途切れることなく連続して広がっている様子から、光や音だけではなく事象や意見など、様々な物事が連続的に存在する「範囲」という意味にもなった。
&lt;div class="sample_image spectrum"&gt;&lt;/div&gt;&lt;/span&gt;</t>
    <rPh sb="155" eb="158">
      <t>メイシカ</t>
    </rPh>
    <rPh sb="192" eb="195">
      <t>ニホンゴ</t>
    </rPh>
    <rPh sb="200" eb="201">
      <t>ミ</t>
    </rPh>
    <rPh sb="210" eb="211">
      <t>カク</t>
    </rPh>
    <rPh sb="373" eb="375">
      <t>イミ</t>
    </rPh>
    <rPh sb="430" eb="431">
      <t>ヒロ</t>
    </rPh>
    <rPh sb="441" eb="442">
      <t>ヒカリ</t>
    </rPh>
    <rPh sb="443" eb="444">
      <t>オト</t>
    </rPh>
    <rPh sb="458" eb="460">
      <t>サマザマ</t>
    </rPh>
    <rPh sb="461" eb="463">
      <t>モノゴト</t>
    </rPh>
    <rPh sb="468" eb="470">
      <t>ソンザイ</t>
    </rPh>
    <rPh sb="479" eb="481">
      <t>イミ</t>
    </rPh>
    <phoneticPr fontId="1"/>
  </si>
  <si>
    <t>&lt;span class="w"&gt;&lt;b&gt;【1304.compel：〜に強いる】&lt;/b&gt;&lt;/span&gt;
&lt;span class="ml"&gt;ラテン語に由来する語で、以下の2つの要素から成る。
&lt;span class="spacer"&gt;&lt;/span&gt;com（共に）
pellere（駆り立てる）
&lt;span class="spacer"&gt;&lt;/span&gt;このまま日本語にすると「一緒に駆り立てる」となる。もともとは、家畜の群れをを一箇所に追い立てることを表した。そこから、次第に人に対して使われるようになり、人がやりたくないことを力や権威によって「強いる」という心理的・社会的な強制力を表す意味になった。
&lt;div class="sample_image compel"&gt;&lt;/div&gt;&lt;/span&gt;</t>
  </si>
  <si>
    <t>&lt;span class="w"&gt;&lt;b&gt;【1342.dignity：尊厳, 威厳】&lt;/b&gt;&lt;/span&gt;
&lt;span class="ml"&gt;ラテン語に由来する語で、以下の2つの要素から成る。
&lt;span class="spacer"&gt;&lt;/span&gt;dignus（価値ある, ふさわしい）
tas（名詞化）
&lt;span class="spacer"&gt;&lt;/span&gt;このまま日本語にすると「価値があること」となる。ある人物に関して、人としての尊重されるべき価値があることから「尊厳」という意味になる。
&lt;span class="spacer"&gt;&lt;/span&gt;また他者目線で、対象に価値があると感じられることから「威厳」という意味にもなる。
&lt;div class="sample_image dignity"&gt;&lt;/div&gt;&lt;/span&gt;</t>
  </si>
  <si>
    <t>dignus（価値ある, ふさわしい）
&lt;span class="spacer"&gt;&lt;/span&gt;名詞を作る-tasが付いて
dignitas（価値, 威厳, 名誉）</t>
  </si>
  <si>
    <t>&lt;span class="w"&gt;&lt;b&gt;【1343.criterion：判断や評価の基準】&lt;/b&gt;&lt;/span&gt;
&lt;span class="ml"&gt;ギリシャ語に由来する語で、以下の3つの要素から成る。
&lt;span class="spacer"&gt;&lt;/span&gt;krinein（判断する）
tes（〜する人）
ion（名詞化：手段）
&lt;span class="spacer"&gt;&lt;/span&gt;ギリシャ語krineinは、印欧祖語*krei-（ふるいにかける）にさかのぼる。物事をふるいにかけることから、その善悪や良し悪しなどを判断することへと発展した。
&lt;span class="spacer"&gt;&lt;/span&gt;そしてそこにtesが付いて判断する人・裁判官を表すようになり、さらにionが付いて判断する人が用いる手段、つまり「判断や評価の基準」という意味になった。
&lt;div class="sample_image criterion"&gt;&lt;/div&gt;&lt;/span&gt;</t>
  </si>
  <si>
    <t>&lt;span class="w"&gt;&lt;b&gt;【1347.agenda：協議事項, 会議の議題, 予定, 計画, 隠れた意図】&lt;/b&gt;&lt;/span&gt;
&lt;span class="ml"&gt;ラテン語agere（行う, 駆り立てる）から派生したagendus（行われるべき）に由来する。
&lt;span class="spacer"&gt;&lt;/span&gt;この語の核は「行われるべき事柄」。会議で行われるべきことなら「協議事項, 会議の議題」という意味に、個人や組織の行われるべきことなら「予定・計画」という意味に、表に出ていない行われるべきことなら「隠れた意図」という意味になる。
&lt;span class="spacer"&gt;&lt;/span&gt;イメージとしてはto-do list（やるべきことリスト）やplan（計画）に近い。
&lt;div class="sample_image agenda"&gt;&lt;/div&gt;
&lt;span class="spacer"&gt;&lt;/span&gt;ラテン語agereからは、act（行動する）やagent（代理人, 行為者）なども生まれている。actは行うという行為、agentは行う人、agendaは行うべきことの協議リストを指す。&lt;/span&gt;</t>
  </si>
  <si>
    <t>agere（行う, 駆り立てる）
&lt;span class="spacer"&gt;&lt;/span&gt;動形容詞agendus（行われるべき）
&lt;span class="spacer"&gt;&lt;/span&gt;agenda（行われるべき事柄）</t>
  </si>
  <si>
    <t>&lt;span class="w"&gt;&lt;b&gt;【1358.irrigation：灌漑（田畑に水を引くこと）】&lt;/b&gt;&lt;/span&gt;
&lt;span class="ml"&gt;ラテン語に由来する語で、以下の3つの要素から成る。
&lt;span class="spacer"&gt;&lt;/span&gt;in（中に）
rigare（水をやる, 水を引く）
io（名詞化）
&lt;span class="spacer"&gt;&lt;/span&gt;このまま日本語にすると「中に水を引く」となる。そこから、人工的な水路を使って農地などに水を引き入れるシステム＝「灌漑」という意味になった。
&lt;div class="sample_image irrigation"&gt;&lt;/div&gt;
&lt;span class="spacer"&gt;&lt;/span&gt;ラテン語rigare（水を引く）は、印欧祖語*reg-（湿った, 濡れた）にさかのぼる可能性がある。この印欧祖語はrain（雨）の語源の可能性もあるため、irrigationのriga部分はrainと関連させて覚えておくとよい。&lt;/span&gt;</t>
  </si>
  <si>
    <t>&lt;span class="w"&gt;&lt;b&gt;【1367.tuition：授業料】&lt;/b&gt;&lt;/span&gt;
&lt;span class="ml"&gt;ラテン語に由来する語で、以下の2つの要素から成る。
&lt;span class="spacer"&gt;&lt;/span&gt;tueri（見守る）
io（名詞化）
&lt;span class="spacer"&gt;&lt;/span&gt;このまま日本語にすると「見守ること」となる。もともとは子どもを後ろから見守る、保護することを表したが、同じラテン語から生まれたtutor（家庭教師, チューター）と関連して、保護の一環として行われる教育や指導を表すようになった。（現在でもイギリスでは個別指導や少人数指導という意味で使われる。）
&lt;span class="spacer"&gt;&lt;/span&gt;その後、おそらくその教育に支払われるお金tuition feeからfeeが省略されて、教育に対して支払われる「授業料」という意味になった。
&lt;div class="sample_image tuition"&gt;&lt;/div&gt;&lt;/span&gt;</t>
  </si>
  <si>
    <t>&lt;span class="w"&gt;&lt;b&gt;【1370.kidney：腎臓】&lt;/b&gt;&lt;/span&gt;
&lt;span class="ml"&gt;語源不明だが、古英語の以下の2つの要素から成る可能性がある。
&lt;span class="spacer"&gt;&lt;/span&gt;cwið（子宮, 腹部）
ey（卵）
&lt;span class="spacer"&gt;&lt;/span&gt;「腎臓」がある場所（腹部）と、その形状（たまご型）に由来していると考えられる。
&lt;div class="sample_image kidney"&gt;&lt;/div&gt;&lt;/span&gt;</t>
  </si>
  <si>
    <t>日本語でもキャンプギア（キャンプ器具）やスポーツギア（スポーツ用品）などで使われる。</t>
  </si>
  <si>
    <t>&lt;span class="w"&gt;&lt;b&gt;【1371.gear：用具, 器具】&lt;/b&gt;&lt;/span&gt;
&lt;span class="ml"&gt;古ノルド語gørvi（衣服, 装備）に由来する。
&lt;span class="spacer"&gt;&lt;/span&gt;もともとは戦闘のための装備や、きちんとした身なり・服装を表した。そうした特定の場面で必要になるものという概念から、特定の目的に必要な「用具」や「器具」という一般的な意味になった。&lt;/span&gt;</t>
  </si>
  <si>
    <t>&lt;span class="w"&gt;&lt;b&gt;【1372.aisle：（座席や棚などの間の）通路】&lt;/b&gt;&lt;/span&gt;
&lt;span class="ml"&gt;ラテン語ala（翼, 脇）に由来する。
&lt;span class="spacer"&gt;&lt;/span&gt;もともとは翼を表したが、そこから翼のように両脇にあるものを表すようになった。主に建築用語として使われ、建物の中央から左右に張り出した部分＝教会の両脇にある側廊を指した。
&lt;div class="sample_image side_aisle"&gt;&lt;/div&gt;
&lt;span class="spacer"&gt;&lt;/span&gt;その後、別の単語alley（小道）と混同されたことで、教会の座席の間の通路を指すようになった。そしてさらに教会に限定されず、一般的に両側に座席や棚などがある「通路」という意味に拡大した。
&lt;div class="sample_image aisle"&gt;&lt;/div&gt;
&lt;span class="spacer"&gt;&lt;/span&gt;［aisleのスペルの変遷］
ラテン語：ala
フランス語：ele
英語：ele / ile
　isle（島）と混同されてsが挿入
英語：isle
　フランス語aileの影響でaが付く
英語：aisle&lt;/span&gt;</t>
  </si>
  <si>
    <t>&lt;span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t>
  </si>
  <si>
    <t>&lt;span class="w"&gt;&lt;b&gt;【1375.skull：頭蓋骨】&lt;/b&gt;&lt;/span&gt;
&lt;span class="ml"&gt;古ノルド語skalli（頭蓋骨）に由来する。
&lt;span class="spacer"&gt;&lt;/span&gt;古ノルド語から意味の変化はほとんどない。&lt;/span&gt;</t>
  </si>
  <si>
    <t>一般的なお墓graveに対し、tombは歴史的なもの（ピラミッドや古墳など）や神聖なもの（石碑）などの大げさな感じ。</t>
  </si>
  <si>
    <t>&lt;span class="w"&gt;&lt;b&gt;【1376.tomb：墓】&lt;/b&gt;&lt;/span&gt;
&lt;span class="ml"&gt;ギリシャ語tymbos（塚, 墓）に由来する。
&lt;span class="spacer"&gt;&lt;/span&gt;ギリシャ語から意味の変化はほとんどない。印欧祖語*teue-（膨らむ）にさかのぼる可能性があり、そうであれば、土が盛られて膨らんでいる様子から生まれた語だと考えられる。この印欧祖語からは、太くて膨らみのあるthumb（親指）も生まれている。
&lt;div class="sample_image tomb"&gt;&lt;/div&gt;&lt;/span&gt;</t>
  </si>
  <si>
    <t>&lt;span class="w"&gt;&lt;b&gt;【1377.monk：僧侶, 修道士】&lt;/b&gt;&lt;/span&gt;
&lt;span class="ml"&gt;ギリシャ語monos（1人の, 孤独な）に由来する。
&lt;span class="spacer"&gt;&lt;/span&gt;もともとは、俗世間から離れて1人で宗教的な修行をする人のことを表した。その後、修道士たちが集まって修道院で共同生活を送るスタイルが主流になったため、修道院に属する「修道士, 僧侶」という意味になった。&lt;/span&gt;</t>
  </si>
  <si>
    <t>munuc（修道士）
&lt;span class="spacer"&gt;&lt;/span&gt;宗教的な信心や義務を実践するために結成された、男性の共同体や友愛会の会員であり、特定の誓願によって拘束される者</t>
  </si>
  <si>
    <t>&lt;span class="w"&gt;&lt;b&gt;【1378.worship：崇拝, 礼拝】&lt;/b&gt;&lt;/span&gt;
&lt;span class="ml"&gt;古英語にさかのぼり、以下の2つの要素から成る。
&lt;span class="spacer"&gt;&lt;/span&gt;weorð（価値）
scip（～の状態, ～の関係）
&lt;span class="spacer"&gt;&lt;/span&gt;古英語weorðはworth（価値）の語源であり、そこにfriendshipやleadershipにも見られる状態や関係を示すshipが付いた語だと考えればよい。
&lt;span class="spacer"&gt;&lt;/span&gt;この語の核は「価値がある状態」。そこから、相手に価値があることを認めて敬意を払う態度へとつながった。さらに相手が人間から神へと移り、神に対する「崇拝, 礼拝」という意味になった。&lt;/span&gt;</t>
  </si>
  <si>
    <t>&lt;span class="w"&gt;&lt;b&gt;【1380.unprecedented：前例のない】&lt;/b&gt;&lt;/span&gt;
&lt;span class="ml"&gt;近代英語にさかのぼり、以下の3つの要素から成る。
&lt;span class="spacer"&gt;&lt;/span&gt;un（否定）
precedent（前例を与える）
ed（過去分詞化）
&lt;span class="spacer"&gt;&lt;/span&gt;precedent部分は、ラテン語prae（前に）＋cedere（行く）に由来するprecede（先行する）と関連する。
&lt;span class="spacer"&gt;&lt;/span&gt;否定のunが付くことで、先行するものがない、つまり「前例がない」という意味になる。&lt;/span&gt;</t>
  </si>
  <si>
    <t>&lt;span class="w"&gt;&lt;b&gt;【1381.infinite：無限の, 無数の】&lt;/b&gt;&lt;/span&gt;
&lt;span class="ml"&gt;ラテン語に由来する語で、以下の2つの要素から成る。
&lt;span class="spacer"&gt;&lt;/span&gt;in（否定）
finis（終わり, 境界）
&lt;span class="spacer"&gt;&lt;/span&gt;この語の核は「終わりを示す境界線がない」。そこから「無限の, 無数の」という意味になる。
&lt;span class="spacer"&gt;&lt;/span&gt;infiniteのfin部分は、finishのfinと同じ。終わりを否定（in）していると覚えればよい。&lt;/span&gt;</t>
  </si>
  <si>
    <t>&lt;span class="w"&gt;&lt;b&gt;【1382.worthwhile：価値がある】&lt;/b&gt;&lt;/span&gt;
&lt;span class="ml"&gt;古英語にさかのぼり、以下の2つの要素から成る。
&lt;span class="spacer"&gt;&lt;/span&gt;weorþ（価値がある）
hwīl（時間, しばらくの間）
&lt;span class="spacer"&gt;&lt;/span&gt;もともとは、時間をかける価値があるということを表した。そこから時間に限らず、お金や労力、エネルギーなどをつぎ込む「価値がある」という意味になった。
&lt;span class="spacer"&gt;&lt;/span&gt;whileは「〜する間」という接続詞で覚えるが、本来は名詞で「時間, 期間」を表す語だった。これはいまでもfor a whileやa little whileに残っている。&lt;/span&gt;</t>
  </si>
  <si>
    <t>&lt;span class="w"&gt;&lt;b&gt;【1383.indispensable：不可欠な】&lt;/b&gt;&lt;/span&gt;
&lt;span class="ml"&gt;ラテン語に由来する語で、以下の3つの要素から成る。
&lt;span class="spacer"&gt;&lt;/span&gt;in（否定）
dispensare（免除を与える）
bilis（～できる）
&lt;span class="spacer"&gt;&lt;/span&gt;indispensableの意味を理解するには、まず動詞dispense（配る, なしで済ませる）から覚える必要がある。
&lt;span class="spacer"&gt;&lt;/span&gt;&lt;strong&gt;［dispenseの語源］&lt;/strong&gt;
英語dispense（配る, なしで済ませる）の語源であるラテン語dispensare（免除の許可を与える）は、dis（離れて）＋pendere（吊るす）に由来する。
&lt;span class="spacer"&gt;&lt;/span&gt;昔はお金を支払う際、天秤にお金を吊るして重さを量り、必要な分を分けて与えていたため、ラテン語dispensareは、お金を支払うこと・何かを管理して分け与えることを表した。それが英語dispenseには「配る」という意味で残っている。
&lt;span class="spacer"&gt;&lt;/span&gt;また、管理して何かを分け与えるという意味が、当時の教会や法律の文脈において、対象に義務や罰からの免除を与えるという意味で使われるようになった。そのため、英語dispenseは「なしで済ませる」という意味を持っている。
&lt;span class="spacer"&gt;&lt;/span&gt;&lt;strong&gt;［dispensableとindispensableへ］&lt;/strong&gt;
ラテン語dispensare （免除を与える）にbills（〜できる）が付くことで、免除を与えることができる、つまり「何かをなしで済ませることができる」となる（英語dispensable）。
&lt;span class="spacer"&gt;&lt;/span&gt;さらにそこにin（否定）が付くことで、免除できない、すなわち「それなしでは済ませられない」＝「不可欠な」という意味になる（英語indispensable）。&lt;/span&gt;</t>
  </si>
  <si>
    <t>dis（離れて）+pendere（ぶら下がる, 量る）
dispendare（支払う, 分配する, 管理する）
&lt;span class="spacer"&gt;&lt;/span&gt;反復形dispensare</t>
  </si>
  <si>
    <t>dispendere / dispensare
教会用語で、禁止行為を行う許可や義務の免除の許可を与える
法的用語で、罰からの免除や法律からの免除を与える
&lt;span class="spacer"&gt;&lt;/span&gt;形容詞を作る-bilis（～できる）が付いて
dispensabilis（免除できる, 省略可能な）
&lt;span class="spacer"&gt;&lt;/span&gt;in（否定）が付いて
indispensabilis（免除できない）</t>
  </si>
  <si>
    <t>&lt;span class="w"&gt;&lt;b&gt;【1384.compulsory：義務的な, 強制的な】&lt;/b&gt;&lt;/span&gt;
&lt;span class="ml"&gt;ラテン語に由来する語で、以下の3つの要素から成る。
&lt;span class="spacer"&gt;&lt;/span&gt;com（共に）
pellere（追う, 駆り立てる）
orius（形容詞化）
&lt;span class="spacer"&gt;&lt;/span&gt;これは動詞compel（強制する）が形容詞になったと覚えればよい。
&lt;span class="spacer"&gt;&lt;/span&gt;［動詞compel］
家畜の群れを一箇所に追い立てて集める様子から、人がやりたくないことを力や権威によって「強いる」という意味になった。
&lt;span class="spacer"&gt;&lt;/span&gt;［形容詞compulsory］
そして強制するという動詞が形容詞となって「義務的な, 強制的な」という意味になった。&lt;/span&gt;</t>
  </si>
  <si>
    <t>&lt;span class="w"&gt;&lt;b&gt;【1385.probable：十分にありそうな】&lt;/b&gt;&lt;/span&gt;
&lt;span class="ml"&gt;ラテン語に由来する語で、以下の2つの要素から成る。
&lt;span class="spacer"&gt;&lt;/span&gt;probare（試す, 証明する）
bilis（〜できる）
&lt;span class="spacer"&gt;&lt;/span&gt;もともとは、何かを試して実際に確かめることができる、正しいと認められるということを表した。たとえば、ある主張内容を確かめることができて、それが問題なく成立するということは、その主張は正しく妥当であると判断される。
&lt;span class="spacer"&gt;&lt;/span&gt;そこから、ある主張や予想に関して、それが妥当であると考えられる、つまり事実である可能性や現実に起こる可能性が高いということを表して「十分にありそうな」という意味になった。&lt;/span&gt;</t>
  </si>
  <si>
    <t>&lt;span class="w"&gt;&lt;b&gt;【1387.obscure：不明瞭な, 世に知られていない】&lt;/b&gt;&lt;/span&gt;
&lt;span class="ml"&gt;ラテン語に由来する語で、以下の2つの要素から成る。
&lt;span class="spacer"&gt;&lt;/span&gt;ob（～の上に）
scurus（覆われた）
&lt;span class="spacer"&gt;&lt;/span&gt;このまま日本語にすると「何かの上に覆われた」となる。物理的に何かに覆われていて、光や視界が遮られていることから転じて、表に出ておらず「世に知られていない」や、はっきりしていなくて「不明瞭な」という意味になった。
&lt;div class="sample_image obscure"&gt;&lt;/div&gt;&lt;/span&gt;</t>
  </si>
  <si>
    <t>&lt;span class="w"&gt;&lt;b&gt;【1388.skeptical：懐疑的な】&lt;/b&gt;&lt;/span&gt;
&lt;span class="ml"&gt;ギリシャ語に由来する語で、以下の3つの要素から成る。
&lt;span class="spacer"&gt;&lt;/span&gt;skeptesthai（よく見る, 熟考する）
ikos（形容詞化）
&lt;span class="obsolete"&gt;al（形容詞化）は英語段階で付いた&lt;/span&gt;
&lt;span class="spacer"&gt;&lt;/span&gt;よく見て熟考するということから、簡単には一つの結論に飛びつかず、何事も慎重に吟味する態度を表すようになり、「懐疑的な」という意味になった。
&lt;span class="spacer"&gt;&lt;/span&gt;skepticalのskept部分は、印欧祖語*spek-（観察する）にさかのぼる。この印欧祖語からは、ラテン語specere（見る）も生まれている（このラテン語由来の語は、関連語を参照）。&lt;/span&gt;</t>
  </si>
  <si>
    <t>&lt;span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t>
  </si>
  <si>
    <t>histanai / statos（立たせる, 天秤で計量する）
&lt;span class="spacer"&gt;&lt;/span&gt;形容詞を作る-ikosが付いて
statikos（立たせる性質のある, 計量に長けた）</t>
  </si>
  <si>
    <t>&lt;span class="w"&gt;&lt;b&gt;【1391.gradual：徐々の, 緩やかな】&lt;/b&gt;&lt;/span&gt;
&lt;span class="ml"&gt;ラテン語に由来する語で、以下の2つの要素から成る。
&lt;span class="spacer"&gt;&lt;/span&gt;gradus（一歩, 登る段, 物事の段階）
alis（形容詞化）
&lt;span class="spacer"&gt;&lt;/span&gt;この語の核は「一歩一歩すすむ」。
一歩ずつ、あるいは一段ずつ進むことから、物事が一気に飛躍するのではなく、段階的に変化する＝「徐々の, 緩やかな」という意味になった。
&lt;div class="sample_image gradual"&gt;&lt;/div&gt;&lt;/span&gt;</t>
  </si>
  <si>
    <t>&lt;span class="w"&gt;&lt;b&gt;【1392.vocal：声の, 発声の, はっきりものを言う】&lt;/b&gt;&lt;/span&gt;
&lt;span class="ml"&gt;ラテン語に由来する語で、以下の2つの要素から成る。
&lt;span class="spacer"&gt;&lt;/span&gt;vox（声）
alis（形容詞化）
&lt;span class="spacer"&gt;&lt;/span&gt;このまま日本語にすれば「声の, 発声の」という意味になる。また声を出すことから発展して、遠慮なく声を出す＝「はっきりものを言う」という意味もある。&lt;/span&gt;</t>
  </si>
  <si>
    <t>&lt;span class="w"&gt;&lt;b&gt;【1393.vivid：鮮やかな, 生き生きとした】&lt;/b&gt;&lt;/span&gt;
&lt;span class="ml"&gt;ラテン語に由来する語で、以下の2つの要素から成る。
&lt;span class="spacer"&gt;&lt;/span&gt;vivus（生きている）
idus（形容詞化）
&lt;span class="spacer"&gt;&lt;/span&gt;vividのviv部分は、surviveやreviveのviveと同じで「生きる, 生命」に関連する。
&lt;span class="spacer"&gt;&lt;/span&gt;まるで命が宿っているかのように鮮やかで強烈に目を引く感じや、目の前で実際に起きているかのようにありありと思い浮かぶことを表し、色や記憶などが「鮮やかな」、表現や描写が「生き生きとした」という意味になった。&lt;/span&gt;</t>
  </si>
  <si>
    <t>&lt;span class="w"&gt;&lt;b&gt;【1394.imperial：帝国の, 皇帝の】&lt;/b&gt;&lt;/span&gt;
&lt;span class="ml"&gt;ラテン語に由来する語で、以下の3つの要素から成る。
&lt;span class="spacer"&gt;&lt;/span&gt;in（〜に向けて）
parare（準備する, 整える）
ium（名詞化）
alis（形容詞化）
&lt;span class="spacer"&gt;&lt;/span&gt;ラテン語inとperareから、対象に何かを準備させる、つまり何かを命じるという行為を表すようになった。
&lt;span class="spacer"&gt;&lt;/span&gt;そしてそこに名詞を作るiumが付いて、絶対的な命令権や、その命令権を持つ皇帝、命令が及ぶ帝国を表すようになった。
&lt;span class="spacer"&gt;&lt;/span&gt;さらにこれが形容詞化して「帝国の, 皇帝の」という意味になった。
&lt;span class="spacer"&gt;&lt;/span&gt;皇帝のことを英語でemperor（エンペラー）と言うが、これはimperialと全く同じ語源に由来する（ラテン語imparare）。emperorは、英語に入るまでに経由したフランス語の音声変化によって、最初の音と文字がeになった。一方でimperialは、ラテン語の音と文字を保持していたので、最初の文字がiになっている。&lt;/span&gt;</t>
  </si>
  <si>
    <t>in（〜に向けて）+parare（準備する, 整える）
imperare（命令する, 支配する）
&lt;span class="spacer"&gt;&lt;/span&gt;名詞を作る-iumが付いて
imperium（命令, 支配, 支配領域, 帝国）
&lt;span class="spacer"&gt;&lt;/span&gt;形容詞を作る-alisが付いて
imperialis（帝国の, 皇帝の）</t>
  </si>
  <si>
    <t>&lt;span class="w"&gt;&lt;b&gt;【1395.hostile：敵意のある】&lt;/b&gt;&lt;/span&gt;
&lt;span class="ml"&gt;hostileは、host, guest, hotel, hospitality, hospitalityと関連させて覚える。いずれも印欧祖語*ghos-ti-（よそ者, 客人, 主人）にさかのぼる。
&lt;span class="spacer"&gt;&lt;/span&gt;印欧祖語段階の核は「よそ者」。外部から来たよそ者は、①脅威となる警戒すべき敵、もしくは②利益をもたらしてくれるもてなすべき客人のどちらかであった。
&lt;span class="spacer"&gt;&lt;/span&gt;①の敵側に関係する言葉として生まれたのが、hostileで「敵意のある」という意味になった。
&lt;span class="spacer"&gt;&lt;/span&gt;一方、②の客側に関係する言葉として生まれたのが、客をもてなすhost, 客であるguest, 客へのおもてなしhospitalityである。hospitalは、もとは客をもてなすための宿を指したが、最終的に病人や怪我人のための施設＝病院となった。客をもてなすための宿という意味は、hotelに残っている。&lt;/span&gt;</t>
  </si>
  <si>
    <t>&lt;span class="w"&gt;&lt;b&gt;【1396.superficial：表面的な】&lt;/b&gt;&lt;/span&gt;
&lt;span class="ml"&gt;ラテン語に由来する語で、以下の3つの要素から成る。
&lt;span class="spacer"&gt;&lt;/span&gt;super（上に, 超えて）
facies（顔, 形）
alis（形容詞化）
&lt;span class="spacer"&gt;&lt;/span&gt;fici部分は、face（顔, 面）と同じラテン語facies（顔, 形）に由来する。
&lt;span class="spacer"&gt;&lt;/span&gt;もともとは物理的な物体の上面や表面を表していたが、そこから比喩的に、人間の知識や考え方、感情、態度などが物事の深部まで至らず、深みや本質が欠けていることも表すようになった。そうして物理的な意味でも、比喩的な意味でも「表面的な」という意味になった。&lt;/span&gt;</t>
  </si>
  <si>
    <t>&lt;span class="w"&gt;&lt;b&gt;【1397.scarce：乏しい, 不足している, まれな】&lt;/b&gt;&lt;/span&gt;
&lt;span class="ml"&gt;ラテン語に由来する語で、以下の2つの要素から成る。
&lt;span class="spacer"&gt;&lt;/span&gt;ex（外に）
carpere（摘む）
&lt;span class="spacer"&gt;&lt;/span&gt;もともとは、何かを外へ摘み取ることを表した。そこから、摘み取られてしまって本来あるはずのものが減ってしまった状態を表すようになり、「乏しい, 不足している, まれな」という意味になった。
&lt;div class="sample_image scarce"&gt;&lt;/div&gt;&lt;/span&gt;</t>
    <rPh sb="32" eb="33">
      <t>トボ</t>
    </rPh>
    <rPh sb="37" eb="39">
      <t>フソク</t>
    </rPh>
    <rPh sb="81" eb="82">
      <t>ゴ</t>
    </rPh>
    <rPh sb="185" eb="186">
      <t>ナニ</t>
    </rPh>
    <rPh sb="188" eb="189">
      <t>ソト</t>
    </rPh>
    <rPh sb="190" eb="191">
      <t>ツ</t>
    </rPh>
    <rPh sb="192" eb="193">
      <t>ト</t>
    </rPh>
    <rPh sb="197" eb="198">
      <t>アラワ</t>
    </rPh>
    <rPh sb="206" eb="207">
      <t>ツ</t>
    </rPh>
    <rPh sb="208" eb="209">
      <t>ト</t>
    </rPh>
    <rPh sb="216" eb="218">
      <t>ホンライ</t>
    </rPh>
    <rPh sb="226" eb="227">
      <t>ヘ</t>
    </rPh>
    <rPh sb="233" eb="235">
      <t>ジョウタイ</t>
    </rPh>
    <rPh sb="236" eb="237">
      <t>アラワ</t>
    </rPh>
    <rPh sb="245" eb="246">
      <t>トボ</t>
    </rPh>
    <rPh sb="250" eb="252">
      <t>フソク</t>
    </rPh>
    <rPh sb="265" eb="267">
      <t>イミ</t>
    </rPh>
    <phoneticPr fontId="1"/>
  </si>
  <si>
    <t>国内総生産GDPと関連させて覚える。
Gross：総
Domestic：国内の
Product：生産</t>
    <rPh sb="0" eb="5">
      <t>コクナイソウセイサン</t>
    </rPh>
    <rPh sb="9" eb="11">
      <t>カンレン</t>
    </rPh>
    <rPh sb="14" eb="15">
      <t>オボ</t>
    </rPh>
    <phoneticPr fontId="1"/>
  </si>
  <si>
    <t>&lt;span class="w"&gt;&lt;b&gt;【1398.gross：総計の, 全体の, 不快な, （程度が）ひどい】&lt;/b&gt;&lt;/span&gt;
&lt;span class="ml"&gt;ラテン語grossus（粗い, 厚い, 大きい）
&lt;span class="spacer"&gt;&lt;/span&gt;この語の核は「粗い」。
&lt;span class="spacer"&gt;&lt;/span&gt;物理的に粗いということから、細かくなくておおざっぱであるというニュアンスへ発展し、細かく分けていない全体量を指して「全体の, 総計の」という意味になった。
&lt;span class="spacer"&gt;&lt;/span&gt;また粗いということから、洗練されていなくて下品というニュアンスへ発展し、気持ちが悪くて「不快な」という意味になった。
&lt;span class="spacer"&gt;&lt;/span&gt;さらに、粗くて正確さを欠くということから、適切な基準や範囲から大きく外れることを表すようになり、その逸脱の大きさを強調して「ひどい」という意味になった。&lt;/span&gt;</t>
    <rPh sb="31" eb="33">
      <t>ソウケイ</t>
    </rPh>
    <rPh sb="36" eb="38">
      <t>ゼンタイ</t>
    </rPh>
    <rPh sb="41" eb="43">
      <t>フカイ</t>
    </rPh>
    <rPh sb="47" eb="49">
      <t>テイド</t>
    </rPh>
    <rPh sb="87" eb="88">
      <t>ゴ</t>
    </rPh>
    <rPh sb="100" eb="101">
      <t>アツ</t>
    </rPh>
    <rPh sb="104" eb="105">
      <t>オオ</t>
    </rPh>
    <rPh sb="139" eb="140">
      <t>ゴ</t>
    </rPh>
    <rPh sb="141" eb="142">
      <t>カク</t>
    </rPh>
    <rPh sb="144" eb="145">
      <t>アラ</t>
    </rPh>
    <rPh sb="177" eb="180">
      <t>ブツリテキ</t>
    </rPh>
    <rPh sb="181" eb="182">
      <t>アラ</t>
    </rPh>
    <rPh sb="191" eb="192">
      <t>コマ</t>
    </rPh>
    <rPh sb="214" eb="216">
      <t>ハッテン</t>
    </rPh>
    <rPh sb="218" eb="219">
      <t>コマ</t>
    </rPh>
    <rPh sb="221" eb="222">
      <t>ワ</t>
    </rPh>
    <rPh sb="227" eb="230">
      <t>ゼンタイリョウ</t>
    </rPh>
    <rPh sb="231" eb="232">
      <t>サ</t>
    </rPh>
    <rPh sb="235" eb="237">
      <t>ゼンタイ</t>
    </rPh>
    <rPh sb="240" eb="242">
      <t>ソウケイ</t>
    </rPh>
    <rPh sb="247" eb="249">
      <t>イミ</t>
    </rPh>
    <rPh sb="285" eb="286">
      <t>アラ</t>
    </rPh>
    <rPh sb="295" eb="297">
      <t>センレン</t>
    </rPh>
    <rPh sb="304" eb="306">
      <t>ゲヒン</t>
    </rPh>
    <rPh sb="315" eb="317">
      <t>ハッテン</t>
    </rPh>
    <rPh sb="319" eb="321">
      <t>キモ</t>
    </rPh>
    <rPh sb="323" eb="324">
      <t>ワル</t>
    </rPh>
    <rPh sb="327" eb="329">
      <t>フカイ</t>
    </rPh>
    <rPh sb="334" eb="336">
      <t>イミ</t>
    </rPh>
    <phoneticPr fontId="1"/>
  </si>
  <si>
    <t>1510年代、詳細ではなくおおざっぱなという意味から
全体の, 総計の
&lt;span class="spacer"&gt;&lt;/span&gt;1530年代、粗いという意味から
粗野な</t>
    <rPh sb="4" eb="6">
      <t>ネンダイ</t>
    </rPh>
    <rPh sb="27" eb="29">
      <t>ゼンタイ</t>
    </rPh>
    <rPh sb="32" eb="34">
      <t>ソウケイ</t>
    </rPh>
    <rPh sb="68" eb="70">
      <t>ネンダイ</t>
    </rPh>
    <rPh sb="81" eb="83">
      <t>ソヤ</t>
    </rPh>
    <phoneticPr fontId="1"/>
  </si>
  <si>
    <t>&lt;span class="w"&gt;&lt;b&gt;【1399.inherent：本来的に備わっている】&lt;/b&gt;&lt;/span&gt;
&lt;span class="ml"&gt;ラテン語に由来する語で、以下の2つの要素から成る。
&lt;span class="spacer"&gt;&lt;/span&gt;in（中に）
haerere（くっつく, 付着する）
&lt;span class="spacer"&gt;&lt;/span&gt;このまま日本語にすると「中にくっつく」となる。最初から内部にくっついていて切り離せない状態であることから、「本来的に備わっている」という意味になる。&lt;/span&gt;</t>
    <rPh sb="34" eb="37">
      <t>ホンライテキ</t>
    </rPh>
    <rPh sb="38" eb="39">
      <t>ソナ</t>
    </rPh>
    <rPh sb="77" eb="78">
      <t>ゴ</t>
    </rPh>
    <rPh sb="187" eb="190">
      <t>ニホンゴ</t>
    </rPh>
    <rPh sb="195" eb="196">
      <t>ナカ</t>
    </rPh>
    <rPh sb="206" eb="208">
      <t>サイショ</t>
    </rPh>
    <rPh sb="210" eb="212">
      <t>ナイブ</t>
    </rPh>
    <rPh sb="220" eb="221">
      <t>キ</t>
    </rPh>
    <rPh sb="222" eb="223">
      <t>ハナ</t>
    </rPh>
    <rPh sb="226" eb="228">
      <t>ジョウタイ</t>
    </rPh>
    <rPh sb="237" eb="240">
      <t>ホンライテキ</t>
    </rPh>
    <rPh sb="241" eb="242">
      <t>ソナ</t>
    </rPh>
    <rPh sb="251" eb="253">
      <t>イミ</t>
    </rPh>
    <phoneticPr fontId="1"/>
  </si>
  <si>
    <t>&lt;span class="w"&gt;&lt;b&gt;【1400.notable：注目すべき, 著名な】&lt;/b&gt;&lt;/span&gt;
&lt;span class="ml"&gt;ラテン語に由来する語で、以下の2つの要素から成る。
&lt;span class="spacer"&gt;&lt;/span&gt;nota（印）から派生したnotare（印をつける, メモを取る）
bilis（～できる）
&lt;span class="spacer"&gt;&lt;/span&gt;このまま日本語にすると「印をつけることができる」となる。印をつけるということは、その対象を他のものと区別し、注意を向ける価値があるということ。そこから「注目すべき」という意味になる。
&lt;span class="spacer"&gt;&lt;/span&gt;また実際に注目を集め、広く知られるようになることから「著名な」という意味にもなる。
&lt;span class="spacer"&gt;&lt;/span&gt;これはノートや教科書の重要な箇所に付箋やマーカーで印をつけることをイメージすればわかりやすい。印をつけたところは注目すべきポイントであり、そこに目が向くことから他の箇所よりも見られる（知られる）。&lt;/span&gt;</t>
    <rPh sb="33" eb="35">
      <t>チュウモク</t>
    </rPh>
    <rPh sb="40" eb="42">
      <t>チョメイ</t>
    </rPh>
    <rPh sb="76" eb="77">
      <t>ゴ</t>
    </rPh>
    <rPh sb="136" eb="138">
      <t>ハセイ</t>
    </rPh>
    <rPh sb="205" eb="208">
      <t>ニホンゴ</t>
    </rPh>
    <rPh sb="213" eb="214">
      <t>シルシ</t>
    </rPh>
    <rPh sb="229" eb="230">
      <t>シルシ</t>
    </rPh>
    <rPh sb="243" eb="245">
      <t>タイショウ</t>
    </rPh>
    <rPh sb="246" eb="247">
      <t>ホカ</t>
    </rPh>
    <rPh sb="251" eb="253">
      <t>クベツ</t>
    </rPh>
    <rPh sb="255" eb="257">
      <t>チュウイ</t>
    </rPh>
    <rPh sb="258" eb="259">
      <t>ム</t>
    </rPh>
    <rPh sb="261" eb="263">
      <t>カチ</t>
    </rPh>
    <rPh sb="277" eb="279">
      <t>チュウモク</t>
    </rPh>
    <rPh sb="286" eb="288">
      <t>イミ</t>
    </rPh>
    <rPh sb="398" eb="401">
      <t>キョウカショ</t>
    </rPh>
    <rPh sb="402" eb="404">
      <t>ジュウヨウ</t>
    </rPh>
    <rPh sb="405" eb="407">
      <t>カショ</t>
    </rPh>
    <rPh sb="408" eb="410">
      <t>フセン</t>
    </rPh>
    <rPh sb="416" eb="417">
      <t>シルシ</t>
    </rPh>
    <rPh sb="438" eb="439">
      <t>シルシ</t>
    </rPh>
    <rPh sb="447" eb="449">
      <t>チュウモク</t>
    </rPh>
    <rPh sb="463" eb="464">
      <t>メ</t>
    </rPh>
    <rPh sb="465" eb="466">
      <t>ム</t>
    </rPh>
    <rPh sb="471" eb="472">
      <t>ホカ</t>
    </rPh>
    <rPh sb="473" eb="475">
      <t>カショ</t>
    </rPh>
    <rPh sb="478" eb="479">
      <t>ミ</t>
    </rPh>
    <rPh sb="483" eb="484">
      <t>シ</t>
    </rPh>
    <phoneticPr fontId="1"/>
  </si>
  <si>
    <t>&lt;span class="w"&gt;&lt;b&gt;【1373.grief：深い悲しみ, 】&lt;/b&gt;&lt;/span&gt;
&lt;span class="ml"&gt;ラテン語gravis（重い）に由来する。
&lt;span class="spacer"&gt;&lt;/span&gt;この語の核は「重い」。物理的な重さから精神的な重圧へと発展し、何かを失うことで心が押しつぶされそうになる「深い悲しみ」という意味になった。
&lt;div class="sample_image grief"&gt;&lt;/div&gt;
&lt;span class="spacer"&gt;&lt;/span&gt;ラテン語gravisからは、gravity（重力）やgrave（重大な）も生まれており、どちらも「重い」という核を持っている。&lt;/span&gt;</t>
  </si>
  <si>
    <t>&lt;span class="w"&gt;&lt;b&gt;【1379.outstanding：際立った, 未払いの, 未解決の】&lt;/b&gt;&lt;/span&gt;
&lt;span class="ml"&gt;近代英語にさかのぼり、以下の2つの要素から成る。
&lt;span class="spacer"&gt;&lt;/span&gt;out（外に）
standing（立っている）
&lt;span class="spacer"&gt;&lt;/span&gt;この語の核は「外に飛び出して立っている」。そこから周囲より目立っていて「際立った」という意味になる。
&lt;span class="spacer"&gt;&lt;/span&gt;また外に立っていることから、やるべきことが外に出たまま残っている（完了したものの中に入っていない）ことへとつながり、支払いや問題の処理が完了していない＝「未払いの, 未解決の」という意味にもなった。
&lt;div class="sample_image outstanding"&gt;&lt;/div&gt;&lt;/span&gt;</t>
  </si>
  <si>
    <t>&lt;span class="w"&gt;&lt;b&gt;【1386.ambiguous：あいまいな, 多義的な】&lt;/b&gt;&lt;/span&gt;
&lt;span class="ml"&gt;ラテン語に由来する語で、以下の3つの要素から成る。
&lt;span class="spacer"&gt;&lt;/span&gt;ambi（～の周りに）
agere（駆り立てる, 行う）
us（形容詞化）
&lt;span class="spacer"&gt;&lt;/span&gt;もともとは、あちこち行き来するというような動きや、どちらにも決められず心が揺れ動く状態を表した。このような、どちらの方向にも動けて方向が定まらない、心がふらふらして一つの場所に定まらないという本来のイメージから転じて、言葉や態度がはっきりひとつの意味に定まらず「あいまいな, 多義的な」という意味になった。
&lt;div class="sample_image ambiguous"&gt;&lt;/div&gt;&lt;/span&gt;</t>
  </si>
  <si>
    <t>&lt;span class="w"&gt;&lt;b&gt;【1401.update：〜を最新のものにする, 〜をアップデートする】&lt;/b&gt;&lt;/span&gt;
&lt;span class="ml"&gt;現代に作られた語で、以下の2つの要素から成る。
&lt;span class="spacer"&gt;&lt;/span&gt;up（最新に）
date（日付を記す, 年代を確定する）
&lt;span class="spacer"&gt;&lt;/span&gt;最新の日付を記すことから、情報や状態を「最新のものにする」という意味になる。&lt;/span&gt;</t>
  </si>
  <si>
    <t>&lt;span class="w"&gt;&lt;b&gt;【1402.refresh：気分をさわやかにする, 記憶などを新たにする】&lt;/b&gt;&lt;/span&gt;
&lt;span class="ml"&gt;古フランス語に由来する語で、以下の2つの要素から成る。
&lt;span class="spacer"&gt;&lt;/span&gt;re（再び）
fresche（新鮮な）
&lt;span class="spacer"&gt;&lt;/span&gt;この語の核は「再び新鮮にする」。そこから「気分をさわやかにする」や、記憶を「新たにする」、「ネットのページを更新する」といった意味になる。&lt;/span&gt;</t>
  </si>
  <si>
    <t>&lt;span class="w"&gt;&lt;b&gt;【1403.bloom：花が咲く】&lt;/b&gt;&lt;/span&gt;
&lt;span class="ml"&gt;古ノルド語blomi（花, 開花）に由来する。
&lt;span class="spacer"&gt;&lt;/span&gt;この古ノルド語は、印欧祖語*bhel-（開花する, 繁栄する）にさかのぼる。この語の核は「膨らんで外へ現れる生命力」であり、そこから「花が咲く」や、比喩的に「才能が開花する」「活気がある」といった意味になる。&lt;/span&gt;</t>
  </si>
  <si>
    <t>&lt;span class="w"&gt;&lt;b&gt;【1405.induce：〜を引き起こす, 〜を説得する】&lt;/b&gt;&lt;/span&gt;
&lt;span class="ml"&gt;ラテン語に由来する語で、以下の2つの要素から成る。
&lt;span class="spacer"&gt;&lt;/span&gt;in（中に）
ducere（導く）
&lt;span class="spacer"&gt;&lt;/span&gt;このまま日本語にすると「中に導く」となる。特定の考えや行動の中へと人を導くことから「説得する」という意味に、特定の状態へと事態を導くことから「引き起こす」という意味になる。
&lt;div class="sample_image induce"&gt;&lt;/div&gt;&lt;/span&gt;</t>
  </si>
  <si>
    <t>&lt;span class="w"&gt;&lt;b&gt;【1406.attain：〜を達成する, 獲得する】&lt;/b&gt;&lt;/span&gt;
&lt;span class="ml"&gt;ラテン語に由来する語で、以下の2つの要素から成る。
&lt;span class="spacer"&gt;&lt;/span&gt;ad（〜へ）
tangere（触れる）
&lt;span class="spacer"&gt;&lt;/span&gt;このまま日本語にすると「何かへ触れる」となる。目標へ向かって手を伸ばして、ついに触れるというイメージから、何かを「獲得する」や目標を「達成する」という意味になる。
&lt;span class="spacer"&gt;&lt;/span&gt;obtain, contain, maintain, retainは、ラテン語tenere（保つ）に由来する。tainというスペルだが語源が異なる。
&lt;div class="sample_image attain"&gt;&lt;/div&gt;&lt;/span&gt;</t>
  </si>
  <si>
    <t>&lt;span class="w"&gt;&lt;b&gt;【1407.spray：〜を吹きかける】&lt;/b&gt;&lt;/span&gt;
&lt;span class="ml"&gt;中世オランダ語sprayen（散布する）に由来する。
&lt;span class="spacer"&gt;&lt;/span&gt;中世オランダ語から意味の変化はほとんどない。また日本語でも使われるスプレーのイメージ通りの意味。&lt;/span&gt;</t>
  </si>
  <si>
    <t>&lt;span class="w"&gt;&lt;b&gt;【1410.scratch：〜を引っ掻く, 〜を取り消す】&lt;/b&gt;&lt;/span&gt;
&lt;span class="ml"&gt;中英語scracchen（引っ掻く）にさかのぼる。
&lt;span class="spacer"&gt;&lt;/span&gt;物理的に表面を「引っ掻く」だけではなく、表面を削って消すイメージから何かを「取り消す」という意味にもなる。&lt;/span&gt;</t>
  </si>
  <si>
    <t>&lt;span class="w"&gt;&lt;b&gt;【1411.designate：〜を指定する, 〜を任命する】&lt;/b&gt;&lt;/span&gt;
&lt;span class="ml"&gt;ラテン語に由来する語で、以下の2つの要素から成る。
&lt;span class="spacer"&gt;&lt;/span&gt;de（外へ）
signare（印をつける）
&lt;span class="spacer"&gt;&lt;/span&gt;このまま日本語にすると「印をつけて外へ」となる。数ある中から対象に印をつけて選ぶイメージから「指定する, 任命する」という意味になる。
&lt;div class="sample_image designate"&gt;&lt;/div&gt;&lt;/span&gt;</t>
  </si>
  <si>
    <t>&lt;span class="w"&gt;&lt;b&gt;【1412.contradict：〜と矛盾する, 〜と反対の意見を言う】&lt;/b&gt;&lt;/span&gt;
&lt;span class="ml"&gt;ラテン語に由来する語で、以下の2つの要素から成る。
&lt;span class="spacer"&gt;&lt;/span&gt;contra（〜に対して）
dicere（言う, 話す）
&lt;span class="spacer"&gt;&lt;/span&gt;相手に反対して話すことから「反対の意見を言う」という意味に、発言や事実と反対のことを言うことから「矛盾する」という意味になる。
&lt;div class="sample_image contradict"&gt;&lt;/div&gt;&lt;/span&gt;</t>
  </si>
  <si>
    <t>&lt;span class="w"&gt;&lt;b&gt;【1413.sigh：ため息をつく】&lt;/b&gt;&lt;/span&gt;
&lt;span class="ml"&gt;古英語
sican（ため息をつく）の過去形sighte
&lt;span class="spacer"&gt;&lt;/span&gt;古英語から意味の変化はほとんどない。おそらくため息の「はぁ」という音を表した語。&lt;/span&gt;</t>
  </si>
  <si>
    <t>&lt;span class="w"&gt;&lt;b&gt;【1414.disrupt：〜を混乱させる, 〜を分裂させる】&lt;/b&gt;&lt;/span&gt;
&lt;span class="ml"&gt;ラテン語に由来する語で、以下の2つの要素から成る。
&lt;span class="spacer"&gt;&lt;/span&gt;dis（離れて）
rumpere（壊す）
&lt;span class="spacer"&gt;&lt;/span&gt;このまま日本語にすると「壊して離す」となる。ひとつにまとまっている正常な状態から壊れてバラバラになるイメージから「分裂させる」という意味になる。
&lt;span class="spacer"&gt;&lt;/span&gt;また、秩序や機能などが壊れてバラバラになることから「混乱させる」という意味にもなる。
&lt;div class="sample_image disrupt"&gt;&lt;/div&gt;&lt;/span&gt;</t>
  </si>
  <si>
    <t>&lt;span class="w"&gt;&lt;b&gt;【1415.depart：出発する, それる】&lt;/b&gt;&lt;/span&gt;
&lt;span class="ml"&gt;ラテン語に由来する語で、以下の2つの要素から成る。
&lt;span class="spacer"&gt;&lt;/span&gt;de（〜から）
pars（部分, 分け前）から派生したpartire（分ける）
&lt;span class="spacer"&gt;&lt;/span&gt;このまま日本語にすると「〜から分ける」となる。くっついてまとまっている状態から分かれて離れるイメージ。そこから、今いる場所から離れる＝「出発する」や、本来の流れから「それる」という意味になる。
&lt;div class="sample_image depart"&gt;&lt;/div&gt;&lt;/span&gt;</t>
  </si>
  <si>
    <t>&lt;span class="w"&gt;&lt;b&gt;【1416.navigate：航行する, 操縦する, 誘導する, 進んでいく, 切り抜ける】&lt;/b&gt;&lt;/span&gt;
&lt;span class="ml"&gt;ラテン語に由来する語で、以下の2つの要素から成る。
&lt;span class="spacer"&gt;&lt;/span&gt;navis（船）
agere（動かす）
&lt;span class="spacer"&gt;&lt;/span&gt;もともとは、地図を見つつ船を動かして目的地まで進むことを表した。この語で重要なイメージは「複雑で迷いやすい海の中で、現在地を把握し、目的の方向へうまく舵を切って進んで行く」。そのイメージから様々な意味に発展していった。
&lt;span class="spacer"&gt;&lt;/span&gt;①船・飛行機・宇宙船などで「航行する」
&lt;span class="spacer"&gt;&lt;/span&gt;②船で進むときのように「操縦する」
&lt;span class="spacer"&gt;&lt;/span&gt;③船を導くように目的（地）へ「誘導する」
&lt;span class="spacer"&gt;&lt;/span&gt;④荒波を超える際に上手に船を操るように、困難な状況や難しい人間関係を「切り抜ける」
&lt;span class="spacer"&gt;&lt;/span&gt;navigateの核となるイメージをもとに文脈で訳を考えればよい。&lt;/span&gt;</t>
  </si>
  <si>
    <t>&lt;span class="w"&gt;&lt;b&gt;【1417.beg：〜に切に頼む, 懇願する】&lt;/b&gt;&lt;/span&gt;
&lt;span class="ml"&gt;中英語にさかのぼるが、それ以前の語源は正確にはわかっていない。中英語では、施しを求める・物乞いをすることを表した。自分にないものを他者に必死に求めることから、広い意味で相手に対して何かを「切に願う, 懇願する」という行為を指すようになった。
&lt;div class="sample_image beg"&gt;&lt;/div&gt;&lt;/span&gt;</t>
  </si>
  <si>
    <t>habit（習慣）, habitat（生息地）, inhabitant（居住者）と関連させて覚える。</t>
  </si>
  <si>
    <t>&lt;span class="w"&gt;&lt;b&gt;【1418.inhabit：〜に住んでいる, 生息している】&lt;/b&gt;&lt;/span&gt;
&lt;span class="ml"&gt;ラテン語に由来する語で、以下の2つの要素から成る。
&lt;span class="spacer"&gt;&lt;/span&gt;in（中に）
habere（持つ）の反復形habitare（持ち続ける, 住む）
&lt;span class="spacer"&gt;&lt;/span&gt;この語の核は「ある空間を自分のものとして持ち続ける」。一時的に滞在するのではなく、一定の期間その場所を自分の居場所として持ち続けるということから、人が「〜に住む」や動物が「生息する」という意味になる。
&lt;span class="spacer"&gt;&lt;/span&gt;単に生きている、生活していることを表すlive inよりも、場所との結びつきが強い。
&lt;div class="sample_image inhabit"&gt;&lt;/div&gt;&lt;/span&gt;</t>
  </si>
  <si>
    <t>語源にもとづいた説明</t>
  </si>
  <si>
    <t>印欧祖語*gno-（知る）系の語。</t>
  </si>
  <si>
    <t>&lt;span class="w"&gt;&lt;b&gt;【1419.diagnose：診断する】&lt;/b&gt;&lt;/span&gt;
&lt;span class="ml"&gt;ギリシャ語に由来する語で、以下の2つの要素から成る。
&lt;span class="spacer"&gt;&lt;/span&gt;dia（間に）
gignōskein（学ぶ, 知るようになる）
&lt;span class="spacer"&gt;&lt;/span&gt;もともとは、様々な物事の間にある差異を知り、それぞれを区別する、識別することを表した。そこから医学において、症状を見分けて病名を特定することを意味するようになり、「診断する」という意味になった。
&lt;div class="sample_image diagnose"&gt;&lt;/div&gt;
&lt;span class="spacer"&gt;&lt;/span&gt;さらに現代では、医学に限らず、機械や技術、ビジネス、教育など様々な分野において「問題分析をする」という意味でも使われる。&lt;/span&gt;</t>
  </si>
  <si>
    <t>&lt;span class="w"&gt;&lt;b&gt;【1420.comprehend：〜を理解する】&lt;/b&gt;&lt;/span&gt;
&lt;span class="ml"&gt;ラテン語
com（完全に）＋pre（前に）＋hendere（つかむ）
&lt;span class="spacer"&gt;&lt;/span&gt;このまま日本語にすると「完全に手を前に伸ばしてつかむ」となる。物理的にしっかりつかみ取ることから比喩的に、対象の理屈や全体像を自分の頭でギュッと掴み取るイメージになり、&lt;strong&gt;物事全体を&lt;/strong&gt;心でしっかりつかんで「理解する」という意味になる。
&lt;div class="sample_image comprehend"&gt;&lt;/div&gt;
&lt;span class="spacer"&gt;&lt;/span&gt;形容詞comprehensiveは「包括的な, 総合的な」という、物事全体を広く包み込むような意味になる。これは、comprehendが単に理解するだけではなく、&lt;strong&gt;物事の全体像&lt;/strong&gt;をしっかり把握することを表すのと共通している。どちらにも「全体をまとめてつかむ」という核となるイメージがある。&lt;/span&gt;</t>
  </si>
  <si>
    <t>&lt;span class="w"&gt;&lt;b&gt;【699.tropical：熱帯の】&lt;/b&gt;&lt;/span&gt;
&lt;span class="ml"&gt;ギリシャ語に由来し、以下の3つの要素から成る。
&lt;span class="spacer"&gt;&lt;/span&gt;tropē（回転）
ikos（形容詞化）
&lt;span class="obsolete"&gt;al（形容詞化）は英語段階で付いた&lt;/span&gt;
&lt;span class="spacer"&gt;&lt;/span&gt;この「回転」は天文学の用語として使われた言葉。夏至や冬至の日に、太陽が天球上で最も北（または最も南）に達し、そこから再び反対方向へ向きを変えて回っていくように見える現象、およびその地点を指していた。
&lt;span class="spacer"&gt;&lt;/span&gt;ここから、地理学において、太陽が地面に対して90度の位置を通過する北限と南限のラインを、北回帰線（Tropic of Cancer）・南回帰線（Tropic of Capricorn）と呼ぶようになった。
&lt;span class="spacer"&gt;&lt;/span&gt;この2つの回帰線（Tropics）に挟まれた地域は、地球上で最も日差しが直角に近く当たり、暑い気候になる。そこから、回帰線の内側を指す言葉として「熱帯の」という意味になった。
&lt;span class="spacer"&gt;&lt;/span&gt;下の図で説明すると、地球から見ると太陽は黄道を周回しているように見える。このルートの最も上の位置が夏至点、最も下の位置が冬至点。
&lt;span class="spacer"&gt;&lt;/span&gt;太陽が夏至点にあるとき、太陽光を表すオレンジ色の線がぶつかる地点に立っている人は、ちょうど頭の真上（地面から90度）の位置に太陽が見える。
&lt;span class="spacer"&gt;&lt;/span&gt;その地点より北の場所にいる人は、真上ではなく少し角度がついてしまう（冬至点の場合はその反対で、太陽光がぶつかる地点よりも南の場所では太陽が真上に来ない）。
&lt;span class="spacer"&gt;&lt;/span&gt;この地面から90度の位置を太陽が通過するエリアが緑の範囲で、そこを「熱帯」と呼ぶ。&lt;/span&gt;
&lt;div class="animation tropic"&gt;&lt;/div&gt;</t>
    <phoneticPr fontId="1"/>
  </si>
  <si>
    <t>&lt;span class="w"&gt;&lt;b&gt;【1408.retrieve：情報を取り出す（検索する）, 〜を取り戻す, 〜を回復する】&lt;/b&gt;&lt;/span&gt;
&lt;span class="ml"&gt;古フランス語に由来する語で、以下の2つの要素から成る。
&lt;span class="spacer"&gt;&lt;/span&gt;re（再び）
trouver（見つける）
&lt;span class="spacer"&gt;&lt;/span&gt;このまま日本語にすると「再び見つける」となる。失くしたもの、離れたものをもう一度手にすることから、何かを元のところに「取り戻す」、失敗やマイナスを「回復する」、保存された情報を手元に「取り出す（検索する）」などの意味になる。
&lt;span class="spacer"&gt;&lt;/span&gt;犬種のレトリーバーはretrieve＋erが由来。狩猟で仕留めた獲物を取って戻ることからretrieverという名前になった。
&lt;div class="sample_image retrieve"&gt;&lt;/div&gt;&lt;/span&gt;</t>
  </si>
  <si>
    <t>&lt;span class="w"&gt;&lt;b&gt;【1409.portray：〜を描く, 役を演じる】&lt;/b&gt;&lt;/span&gt;
&lt;span class="ml"&gt;古フランス語に由来する語で、以下の2つの要素から成る。
&lt;span class="spacer"&gt;&lt;/span&gt;por（前へ）
traire（引く, 線を引く）
&lt;span class="spacer"&gt;&lt;/span&gt;この語の核は「内部のイメージを外に引き出して形にする」。そこから、印象・状況・人物像・性格などさまざまなものを絵や言葉で「描く」という意味になる。また演技を通して形にすることから「演じる」という意味になる。
&lt;div class="sample_image portray"&gt;&lt;/div&gt;&lt;/span&gt;</t>
  </si>
  <si>
    <t>&lt;span class="w"&gt;&lt;b&gt;【1421.oblige：〜に義務付ける, 〜に恩恵を施す】&lt;/b&gt;&lt;/span&gt;
&lt;span class="ml"&gt;ラテン語に由来する語で、以下の2つの要素から成る。
&lt;span class="spacer"&gt;&lt;/span&gt;ob（〜に対して）
ligare（縛る, 結ぶ）
&lt;span class="spacer"&gt;&lt;/span&gt;このまま日本語にすると「何かに対して縛り付ける」となる。約束に縛り付けて、その約束を守る義務を課すことから、何かを「義務付ける」という意味になる。
&lt;span class="spacer"&gt;&lt;/span&gt;また相手の望むことに応じて、相手を恩義と結びつけることから、相手の望むことをして「恩恵を施す」という意味にもなる。
&lt;div class="sample_image oblige"&gt;&lt;/div&gt;&lt;/span&gt;</t>
  </si>
  <si>
    <t>&lt;span class="w"&gt;&lt;b&gt;【1422.cram：〜に詰め込む, 詰め込み勉強をする】&lt;/b&gt;&lt;/span&gt;
&lt;span class="ml"&gt;古英語crammian（何かを別のものに押し込む）にさかのぼる。
&lt;span class="spacer"&gt;&lt;/span&gt;物理的に何かを押し込むことから、収容できる量を超えて「詰め込む」という意味になる。
&lt;span class="spacer"&gt;&lt;/span&gt;また比喩的に、短期間で頭の中に知識を詰め込むような「詰め込み勉強をする」という意味になる。知識を詰め込む学習塾のことをa cram schoolと言う。&lt;/span&gt;</t>
  </si>
  <si>
    <t>folk（人々）と関連する可能性がある語。folkは人の集まりを表し、flockも人や動物の集まりを表す。</t>
  </si>
  <si>
    <t>&lt;span class="w"&gt;&lt;b&gt;【1423.flock：群がる, 集まる】&lt;/b&gt;&lt;/span&gt;
&lt;span class="ml"&gt;古英語flocc（人々の集まり, 仲間）に由来する。
&lt;span class="spacer"&gt;&lt;/span&gt;もともとは人々の集まりを表していたが、そこから人や動物、家畜の集まりへと広がった。名詞としては鳥や羊などの「群れ」を意味し、動詞では人（や動物）が「群れる, 集まる」という意味になった。&lt;/span&gt;</t>
  </si>
  <si>
    <t>estimateは関連語を参照。</t>
  </si>
  <si>
    <t>&lt;span class="w"&gt;&lt;b&gt;【1424.underestimate：〜を過小評価する】&lt;/b&gt;&lt;/span&gt;
&lt;span class="ml"&gt;近代英語にさかのぼり、以下の2つの要素から成る。
&lt;span class="spacer"&gt;&lt;/span&gt;under（下に）
estimate（見積もる）
&lt;span class="spacer"&gt;&lt;/span&gt;このまま日本語にすると「下に見積もる」すなわち「過小評価する」という意味になる。&lt;/span&gt;</t>
  </si>
  <si>
    <t>&lt;span class="w"&gt;&lt;b&gt;【1425.clarify：〜を明確にする】&lt;/b&gt;&lt;/span&gt;
&lt;span class="ml"&gt;ラテン語に由来する語で、以下の2つの要素から成る。
&lt;span class="spacer"&gt;&lt;/span&gt;clarus（明るい, はっきりした）
facere（作る, 行う）
&lt;span class="spacer"&gt;&lt;/span&gt;このまま日本語にすると「はっきりさせる」すなわち「明確にする」となる。ラテン語clarusは、英語clearの語源でもあるので、clear（明確な）＋fy（する）とイメージすればよい。&lt;/span&gt;</t>
  </si>
  <si>
    <t>&lt;span class="w"&gt;&lt;b&gt;【1426.spark：〜を引き起こす, 〜を刺激する】&lt;/b&gt;&lt;/span&gt;
&lt;span class="ml"&gt;古英語spearca（燃える木や熱せられた鉄などから飛び散る火花）にさかのぼる。
&lt;span class="spacer"&gt;&lt;/span&gt;物理的な火花から、何かを発火させるように「刺激する」、そして刺激して何かを「引き起こす」という意味になった。
&lt;div class="sample_image spark"&gt;&lt;/div&gt;&lt;/span&gt;</t>
  </si>
  <si>
    <t>&lt;span class="w"&gt;&lt;b&gt;【1427.seize：〜をつかむ, 〜を奪い取る】&lt;/b&gt;&lt;/span&gt;
&lt;span class="ml"&gt;後期ラテン語sacire（所有する, 占有する）に由来する。
&lt;span class="spacer"&gt;&lt;/span&gt;もともとは、土地や財産を法的に占有することを表したが、そこから力強くつかむという物理的なアクションへと広がった。現在でも、このような物理的につかむことと、法的に手にするニュアンスが残っている。
&lt;span class="spacer"&gt;&lt;/span&gt;物理的なニュアンスからは、物体を「つかむ」や、比喩的にチャンスを「つかむ」、また病気や恐怖などにつかまれるという意味になった。
&lt;span class="spacer"&gt;&lt;/span&gt;法的なニュアンスからは、警察が押収す、軍が制圧するといった「奪い取る」という意味になった。
&lt;span class="spacer"&gt;&lt;/span&gt;いずれにしても、seizeは「強くつかんで自分のものにする」というイメージ。
&lt;div class="sample_image seize"&gt;&lt;/div&gt;&lt;/span&gt;</t>
  </si>
  <si>
    <t>&lt;span class="w"&gt;&lt;b&gt;【1428.soar：急上昇する, 空高く飛ぶ】&lt;/b&gt;&lt;/span&gt;
&lt;span class="ml"&gt;ラテン語に由来する語で、以下の2つの要素から成る。
&lt;span class="spacer"&gt;&lt;/span&gt;ex（外に）
aura（空気）
&lt;span class="spacer"&gt;&lt;/span&gt;このまま日本語にすると「どこかから外へ出て空中へ」となる。空気中を上がっていくことから「空高く飛ぶ」という意味になった。
&lt;span class="spacer"&gt;&lt;/span&gt;また、その勢いのある上方向への動きから比喩的に、価格・気温・人気など様々なものが「急上昇する」という意味にもなった。
&lt;div class="sample_image soar"&gt;&lt;/div&gt;&lt;/span&gt;</t>
  </si>
  <si>
    <t>&lt;span class="w"&gt;&lt;b&gt;【1429.glow：光輝く, 赤く輝く, 紅潮する】&lt;/b&gt;&lt;/span&gt;
&lt;span class="ml"&gt;古英語glowan（熱や光を放つ, 赤く輝く）にさかのぼる。
&lt;span class="spacer"&gt;&lt;/span&gt;この語のイメージは、ホタルや内部に熱を帯びた金属、炭などのように、やわらかく温かな光を放つ感じ。そこからぼんやり「光輝く, 赤く輝く」という意味になる。
&lt;span class="spacer"&gt;&lt;/span&gt;また内側から自然に輝くことから比喩的に、顔や肌などが「紅潮する, 火照る, 輝く」といった意味にもなる。
&lt;span class="spacer"&gt;&lt;/span&gt;英語のglで始まる語には、光や視覚に関連する語がいくつかある。いずれも印欧祖語*ghel-（輝く）にさかのぼる。
glance（ちらっと見る, ひと目）
gold（金）
glass（ガラス）&lt;/span&gt;</t>
  </si>
  <si>
    <t>&lt;span class="w"&gt;&lt;b&gt;【1430.disguise：〜を変装させる, 〜を偽る】&lt;/b&gt;&lt;/span&gt;
&lt;span class="ml"&gt;古フランス語に由来する語で、以下の2つの要素から成る。
&lt;span class="spacer"&gt;&lt;/span&gt;des（離れて）
guise（方法, 外見）
&lt;span class="spacer"&gt;&lt;/span&gt;この語の核は「本来の外見から離れさせる」。そこから正体を隠すために「変装する」という意味になった。
&lt;span class="spacer"&gt;&lt;/span&gt;また外見を変えることから発展して、自分の本当の気持ちや物事の真実を「隠す」という意味にもなった。
&lt;div class="sample_image disguise"&gt;&lt;/div&gt;
&lt;span class="spacer"&gt;&lt;/span&gt;disguiseのguise部分は外見や方法を意味するが、これは、likewise（同様に, 同じ方法で）やotherwise（さもなければ, 他の方法で）のwiseと同じ語源にさかのぼる。ここからdisguiseは、本来の方法や外見（guise）から離す（dis）と覚えてもよい。&lt;/span&gt;</t>
  </si>
  <si>
    <t>&lt;span class="w"&gt;&lt;b&gt;【1431.distort：〜を歪める, 歪む】&lt;/b&gt;&lt;/span&gt;
&lt;span class="ml"&gt;ラテン語に由来する語で、以下の2つの要素から成る。
&lt;span class="spacer"&gt;&lt;/span&gt;dis（完全に）
torquere（ねじる, トルク）
&lt;span class="spacer"&gt;&lt;/span&gt;このまま日本語にすると「完全にねじる」となる。そこから物理的な形状や、事実・認識、映像・音声などに関して「歪める, 歪む」という意味になる。
&lt;div class="sample_image distort"&gt;&lt;/div&gt;&lt;/span&gt;</t>
  </si>
  <si>
    <t>&lt;span class="w"&gt;&lt;b&gt;【1432.undermine：〜を徐々にむしばむ, 〜を侵食する, 弱める, 損なわせる】&lt;/b&gt;&lt;/span&gt;
&lt;span class="ml"&gt;中英語にさかのぼり、以下の2つの要素から成る。
&lt;span class="spacer"&gt;&lt;/span&gt;under（下に）
mine（掘る）
&lt;span class="spacer"&gt;&lt;/span&gt;このまま日本語にすると「下に掘る」となる。もともとは軍事的な戦術において、城壁や建物の下を掘り、そこから上にあるものを崩すことを表した。undermineで重要なのは「土台からその上にあるものを破壊する」というイメージ。
&lt;span class="spacer"&gt;&lt;/span&gt;そこから、物理的に土台を「侵食する」、体や健康を「徐々にむしばむ」、立場・計画・信頼などを「弱める, 損なわせる」といった意味になった。
&lt;div class="sample_image undermine"&gt;&lt;/div&gt;&lt;/span&gt;</t>
  </si>
  <si>
    <t>&lt;span class="w"&gt;&lt;b&gt;【1433.abolish：〜を廃止する】&lt;/b&gt;&lt;/span&gt;
&lt;span class="ml"&gt;ラテン語に由来する語で、以下の2つの要素から成る。
&lt;span class="spacer"&gt;&lt;/span&gt;ab（離れて）
adolere（成長する）
&lt;span class="spacer"&gt;&lt;/span&gt;このまま日本語にすると「成長から離れる」となる。成長から遠ざけて育つのを止めるイメージから、それまで続いてきた制度や習慣を正式に「廃止する」という意味になる。
&lt;div class="sample_image abolish"&gt;&lt;/div&gt;
&lt;span class="spacer"&gt;&lt;/span&gt;ラテン語adolere（成長する）からは、成熟へ向かって成長することを表すadolescent（青年）も生まれている。&lt;/span&gt;</t>
  </si>
  <si>
    <t>&lt;span class="w"&gt;&lt;b&gt;【1434.strip：〜を取り去る】&lt;/b&gt;&lt;/span&gt;
&lt;span class="ml"&gt;古英語-striepan（略奪する, 奪い取る）にさかのぼる。
&lt;span class="spacer"&gt;&lt;/span&gt;力ではぎ取るイメージから、何かを「取り去る」という意味になった。&lt;/span&gt;</t>
  </si>
  <si>
    <t>&lt;span class="w"&gt;&lt;b&gt;【1436.dump：〜を投棄する, 〜をどさっと捨てる, 〜をどさっと置く】&lt;/b&gt;&lt;/span&gt;
&lt;span class="ml"&gt;中英語にさかのぼる。
&lt;span class="spacer"&gt;&lt;/span&gt;この語の核は「何かを力任せに投げ下ろす」。そこから大量に荷を下ろす、荷車などを傾けて中身を落とすことへと発展し、何かを「投棄する, どさっと捨てる, 〜をどさっと置く」という意味になった。
&lt;span class="spacer"&gt;&lt;/span&gt;日本語のダンプカー（荷台を傾けて土砂やゴミなどをドサっと捨てる車, dump truck）と関連させて覚える。
&lt;div class="sample_image dump"&gt;&lt;/div&gt;&lt;/span&gt;</t>
  </si>
  <si>
    <t>&lt;span class="w"&gt;&lt;b&gt;【1437.weave：〜を織る, （物語や計画など）を作る】&lt;/b&gt;&lt;/span&gt;
&lt;span class="ml"&gt;古英語wefan（糸を交差させて形作る, 織物を織る, 考案する）にさかのぼる。
&lt;span class="spacer"&gt;&lt;/span&gt;物理的な「織る」だけではなく、比喩的に編み物のように物語や計画を「作る」という意味にもなる。
&lt;span class="spacer"&gt;&lt;/span&gt;weaveは、web（クモの巣, インターネットのウェブ）と同じ印欧祖語にさかのぼるため、関連させて覚えるとよい。&lt;/span&gt;</t>
  </si>
  <si>
    <t>&lt;span class="w"&gt;&lt;b&gt;【1438.refine：〜を洗練する, 〜を精製する】&lt;/b&gt;&lt;/span&gt;
&lt;span class="ml"&gt;近代英語にさかのぼり、以下の2つの要素から成る。
&lt;span class="spacer"&gt;&lt;/span&gt;re（再び）
fine（洗練させる, 精製する）
&lt;span class="spacer"&gt;&lt;/span&gt;このfineは、ラテン語finis（終わり）に由来する（finishと同じ）。この語の核は「何度も終わりを繰り返して完璧な状態へと仕上げる」。そこから金属などを限りなく純粋で完成されたものにする＝「精製する」という意味になる。
&lt;span class="spacer"&gt;&lt;/span&gt;またマナー・技術・計画・アイデアなどを完成されたものにする＝「洗練させる」という意味になる。
&lt;div class="sample_image refine"&gt;&lt;/div&gt;&lt;/span&gt;</t>
  </si>
  <si>
    <t>&lt;span class="w"&gt;&lt;b&gt;【1439.enrich：〜を豊かにする, 〜を濃縮化する】&lt;/b&gt;&lt;/span&gt;
&lt;span class="ml"&gt;古フランス語に由来する語で、以下の2つの要素から成る。
&lt;span class="spacer"&gt;&lt;/span&gt;en（〜にする）
riche（豊かな）
&lt;span class="spacer"&gt;&lt;/span&gt;enは動詞化なので、そのまま日本語にすれば、人生経験や知識などを「豊かにする」、栄養素や何かの物質を「濃縮（化）する」といった意味になる。&lt;/span&gt;</t>
  </si>
  <si>
    <t>&lt;span class="w"&gt;&lt;b&gt;【1440.coordinate：〜を調整する, 〜を指揮する, 〜をコーディネートする】&lt;/b&gt;&lt;/span&gt;
&lt;span class="ml"&gt;ラテン語に由来する語で、以下の2つの要素から成る。
&lt;span class="spacer"&gt;&lt;/span&gt;com（共に）
ordo（列, 階級, 配置）から派生したordinatio（配置, 秩序だて）
&lt;span class="spacer"&gt;&lt;/span&gt;coordinateのord部分は、英語oreder（秩序, 順序, オーダー）と同じと考えてよい。この語の核は「複数のものを一緒に順序だてて並べて、うまくまとめる」。
&lt;span class="spacer"&gt;&lt;/span&gt;そこから、予定や計画などを「調整する」や、プロジェクトや作戦などを「指揮する」、服や家具などを「コーディネートする」という意味になる。&lt;/span&gt;</t>
  </si>
  <si>
    <t>&lt;span class="w"&gt;&lt;b&gt;【1441.headline：見出し】&lt;/b&gt;&lt;/span&gt;
&lt;span class="ml"&gt;近代英語にさかのぼり、以下の2つの要素から成る。
&lt;span class="spacer"&gt;&lt;/span&gt;head（先頭）
line（行）
&lt;span class="spacer"&gt;&lt;/span&gt;このまま日本語にすると「先頭の行」となり、新聞などの「見出し」を意味する。&lt;/span&gt;</t>
  </si>
  <si>
    <t>&lt;span class="w"&gt;&lt;b&gt;【1442.internship：実務研修, 医学研修, 研修期間】&lt;/b&gt;&lt;/span&gt;
&lt;span class="ml"&gt;近代英語にさかのぼり、以下の2つの要素から成る。
&lt;span class="spacer"&gt;&lt;/span&gt;intern（研修医, 実習生）
ship（〜の状態）
&lt;span class="spacer"&gt;&lt;/span&gt;internは、ラテン語internus（内部の）に由来する。もともとは病院内に住み込んで実地訓練を受ける見習い医師（研修医）を指し、それに-ship（〜の状態）が付くことで、研修医である状態や期間を表した。
&lt;span class="spacer"&gt;&lt;/span&gt;そこから研修医に限らず、ビジネスや教育など様々な分野で実践訓練を受ける学生や見習いを指すようになって「実務研修, 医学研修, 研修期間」という意味になった。&lt;/span&gt;</t>
  </si>
  <si>
    <t>日本語のコンセントは日本語特有のもので、英語ではoutlet（socket）なので注意。</t>
  </si>
  <si>
    <t>&lt;span class="w"&gt;&lt;b&gt;【1443.outlet：直売店, 特売店, はけ口, コンセント】&lt;/b&gt;&lt;/span&gt;
&lt;span class="ml"&gt;中英語にさかのぼり、以下の2つの要素から成る。
&lt;span class="spacer"&gt;&lt;/span&gt;out（外へ）
let（許す, 放す）
&lt;span class="spacer"&gt;&lt;/span&gt;この語の核は「外へ放つところ」。ここから様々な意味になる。
&lt;span class="spacer"&gt;&lt;/span&gt;感情やエネルギーなどの「はけ口」
電気を流す「コンセント」
型落ち品や在庫を安く売る「アウトレット店」
&lt;div class="sample_image outlet"&gt;&lt;/div&gt;&lt;/span&gt;</t>
  </si>
  <si>
    <t>&lt;span class="w"&gt;&lt;b&gt;【1444.remedy：治療（法）, 治療薬, 改善策】&lt;/b&gt;&lt;/span&gt;
&lt;span class="ml"&gt;ラテン語に由来する語で、以下の2つの要素から成る。
&lt;span class="spacer"&gt;&lt;/span&gt;re（強意）
mederi（癒す）
um（名詞化）
&lt;span class="spacer"&gt;&lt;/span&gt;このまま日本語にすると「癒すこと, 癒すもの」となる。この語の核は「悪い状態を正常な状態へ戻すもの」。
&lt;span class="spacer"&gt;&lt;/span&gt;そこから、もともとの病気やけがの「治療（法）, 治療薬」という意味に加えて、比喩的に、問題・欠陥・損害などを正す「解決策」という意味にもなった。
&lt;span class="spacer"&gt;&lt;/span&gt;remedyのmed部分は、medicineやmedicalのmedと同じで「癒す」という意味。まずは「癒すもの＝悪い状態を正常な状態へ戻すもの」というイメージを持ち、あとは文脈をもとに日本語にすればよい。&lt;/span&gt;</t>
  </si>
  <si>
    <t>&lt;span class="w"&gt;&lt;b&gt;【1445.pill：錠剤, 丸薬】&lt;/b&gt;&lt;/span&gt;
&lt;span class="ml"&gt;ラテン語に由来する語で、以下の2つの要素から成る。
&lt;span class="spacer"&gt;&lt;/span&gt;pila（玉）
ula（小さいことを表す）
&lt;span class="spacer"&gt;&lt;/span&gt;このまま日本語にすると「小さい玉」となる。もともとは「丸薬」を意味したが、そこから丸い形状に限らず「錠剤」という意味になった。&lt;/span&gt;</t>
  </si>
  <si>
    <t>&lt;span class="w"&gt;&lt;b&gt;【1446.reception：反応, 受付, 宴会, 受信】&lt;/b&gt;&lt;/span&gt;
&lt;span class="ml"&gt;ラテン語に由来する語で、以下の3つの要素から成る。
&lt;span class="spacer"&gt;&lt;/span&gt;re（再び, 後ろへ）
capere（取る）
io（名詞化）
&lt;span class="spacer"&gt;&lt;/span&gt;このまま日本語にすると「後ろへ（自分の方へ）取ること」となる。この語の核は「何かを受け取ること、受け入れること」。この核をもとに文脈で日本語訳すればよい。
&lt;span class="spacer"&gt;&lt;/span&gt;来客を受け入れることからは「宴会, 受付」、人や作品などが受け入れられることからは「反応, 評判」、電波を受け入れることからは「受信」という意味になる。&lt;/span&gt;</t>
  </si>
  <si>
    <t>&lt;span class="w"&gt;&lt;b&gt;【1447.transaction：（商）取引, 決済, 処理】&lt;/b&gt;&lt;/span&gt;
&lt;span class="ml"&gt;ラテン語に由来する語で、以下の3つの要素から成る。
&lt;span class="spacer"&gt;&lt;/span&gt;trans（越えて, 通して）
agere（動かす, 行う）
io（名詞化）
&lt;span class="spacer"&gt;&lt;/span&gt;このまま日本語にすると「（物事を最後まで）通して行うこと」となる。もともとは、何かを最後までやり遂げることを表した。そこから、業務や契約などの正式な「処理」、さらに商業における「取引」や「決済」も意味するようになった。
&lt;div class="sample_image transaction"&gt;&lt;/div&gt;&lt;/span&gt;</t>
  </si>
  <si>
    <t>&lt;span class="w"&gt;&lt;b&gt;【1448.mutation：突然変異（体）】&lt;/b&gt;&lt;/span&gt;
&lt;span class="ml"&gt;ラテン語に由来する語で、以下の2つの要素から成る。
&lt;span class="spacer"&gt;&lt;/span&gt;mutare（変える）
io（名詞化）
&lt;span class="spacer"&gt;&lt;/span&gt;このまま日本語にすると「変えること」となる。特に遺伝学において、遺伝子の「突然変異（体）」という意味になった。
&lt;span class="spacer"&gt;&lt;/span&gt;ラテン語mutare（変える）は、印欧祖語*mei-（変化する, 移動する）にさかのぼる。この印欧祖語からはcommute（通勤・通学する）やcommunicate（意思疎通する）も生まれており、それぞれ場所と意思の「移動」が核となっている。
&lt;span class="spacer"&gt;&lt;/span&gt;mutation（突然変異）は変化だが、変化＝ある状態から別の状態への移動と考えれば、commute, communicateと核は同じである。&lt;/span&gt;</t>
  </si>
  <si>
    <t>&lt;span class="w"&gt;&lt;b&gt;【1450.compassion：同情】&lt;/b&gt;&lt;/span&gt;
&lt;span class="ml"&gt;ラテン語に由来する語で、以下の3つの要素から成る。
&lt;span class="spacer"&gt;&lt;/span&gt;com（共に）
pati（苦しむ, 耐える）
io（名詞化）
&lt;span class="spacer"&gt;&lt;/span&gt;このまま日本語にすると「共に苦しむこと」となる。相手の苦しみに寄り添うことから「同情」という意味になる。
&lt;span class="spacer"&gt;&lt;/span&gt;ラテン語compassioは、キリスト教の文脈でギリシャ語sympatheia（sympathyの語源）を翻訳する際に用いられた。
&lt;span class="spacer"&gt;&lt;/span&gt;compassionはキリスト教的な慈悲や哀れみの文脈で発展したことから、単なる感情的な同情ではなく、相手の苦しみを共に感じ、助けたい・苦痛を和らげたいといった気持ちを含んだ同情となる。
&lt;div class="sample_image compassion"&gt;&lt;/div&gt;&lt;/span&gt;</t>
  </si>
  <si>
    <t>&lt;span class="w"&gt;&lt;b&gt;【1221.dye：〜染める】&lt;/b&gt;&lt;/span&gt;
&lt;span class="ml"&gt;古英語deagian（染める）にさかのぼる。
&lt;span class="spacer"&gt;&lt;/span&gt;古英語から意味の変化はほとんどない。同音のdie（死ぬ）と区別するためにdyeというyを使うスペルになっている。dyeの現在分詞がeを残してdyeingとなるのも同様の理由。
&lt;div class="sample_image dye"&gt;&lt;/div&gt;&lt;/span&gt;</t>
    <phoneticPr fontId="1"/>
  </si>
  <si>
    <t>&lt;span class="w"&gt;&lt;b&gt;【782.liberal：自由主義の, 寛大な, 一般教養の】&lt;/b&gt;&lt;/span&gt;
&lt;span class="ml"&gt;ラテン語に由来する語で、以下の2つの要素から成る。
&lt;span class="spacer"&gt;&lt;/span&gt;liber（自由な）
alis（形容詞化）
&lt;span class="spacer"&gt;&lt;/span&gt;この語は「制限に縛られていなくて余裕がある」というイメージ。
&lt;span class="spacer"&gt;&lt;/span&gt;古代ローマでは、奴隷が行う肉体労働や職人が行う専門的な労働に対して、自由な市民が身につけるべき文法や論理学などの教養をartes liberales（自由人の学芸＝リベラル・アーツ）と呼び、そこからliberalは「一般教養の」という意味になった。
&lt;span class="spacer"&gt;&lt;/span&gt;また自由人は、奴隷や労働者のように生活に縛られているわけではないため、何事にも余裕があり、物惜しみしないことが当然とみなされた。そこから態度やお金に関して「寛大な, 気前のよい」という意味になった。
&lt;span class="spacer"&gt;&lt;/span&gt;さらに近現代では、政治的な意味で、自由で改革に開かれている「自由主義の」という意味になった。&lt;/span&gt;</t>
  </si>
  <si>
    <t>&lt;span class="w"&gt;&lt;b&gt;【1271.fraction：わずか, 一部, 分数】&lt;/b&gt;&lt;/span&gt;
&lt;span class="ml"&gt;ラテン語に由来する語で、以下の2つの要素から成る。
&lt;span class="spacer"&gt;&lt;/span&gt;frangere（砕く, 壊す）
io（名詞化）
&lt;span class="spacer"&gt;&lt;/span&gt;この語の核は「全体を壊してバラバラになった部分」。そこから、整数を壊して細かくした「分数」や、壊れてバラバラになった「一部, わずか」という意味になる。
&lt;span class="spacer"&gt;&lt;/span&gt;fractionは、break（壊す）と同じ印欧祖語*bhreg-（壊す）にさかのぼる。
frac (tion)
break
f（フ）＋母音＋c（ク）
b（ブ）＋母音＋k（ク）
&lt;span class="spacer"&gt;&lt;/span&gt;現在でも両者は音の類似性を保持している。&lt;/span&gt;</t>
  </si>
  <si>
    <t>&lt;span class="w"&gt;&lt;b&gt;【1389.fragile：壊れやすい, 虚弱な】&lt;/b&gt;&lt;/span&gt;
&lt;span class="ml"&gt;ラテン語に由来する語で、以下の2つの要素から成る。
&lt;span class="spacer"&gt;&lt;/span&gt;frangere（壊す）
ilis（形容詞化）
&lt;span class="spacer"&gt;&lt;/span&gt;物理的に「壊れやすい」という意味だけではなく、身体的・精神的な崩れやすさから「虚弱な」という意味もある。
&lt;div class="sample_image fragile"&gt;&lt;/div&gt;
&lt;span class="spacer"&gt;&lt;/span&gt;fragileは、break（壊す）と同じ印欧祖語*bhreg-（壊す）にさかのぼる。
frag (ile)
break
f（フ）＋母音＋g（グ）
b（ブ）＋母音＋k（ク）
&lt;span class="spacer"&gt;&lt;/span&gt;現在でも両者は音の類似性を保持している。&lt;/span&gt;</t>
  </si>
  <si>
    <t>&lt;span class="w"&gt;&lt;b&gt;【1449.dairy：乳製品, 酪農業, 乳製品を売る場所, 酪農場】&lt;/b&gt;&lt;/span&gt;
&lt;span class="ml"&gt;中英語にさかのぼり、以下の2つの要素から成る。
&lt;span class="spacer"&gt;&lt;/span&gt;daie（酪農場のメイド, 牛の搾乳を行う人）
erie（場所を示す）
&lt;span class="spacer"&gt;&lt;/span&gt;中英語daie（酪農場のメイド）のもとになったのは、古英語dæge（パンをこねる人, メイド）という語。
&lt;span class="spacer"&gt;&lt;/span&gt;当時の生活においてパン作りは家事の重要な一部であり、やがてこの語はパン作りだけではなく、農場や邸宅で家事全般を行う女性の召使い（メイド）を指すようになった。
&lt;span class="spacer"&gt;&lt;/span&gt;時代が進むにつれて、メイドの主な仕事として、牛の乳搾りや、牛乳からバターやチーズを作る作業が定着していく。その結果daieは酪農場のメイドを指すようになった。
&lt;span class="spacer"&gt;&lt;/span&gt;このdaieに場所を示すerieが付くことで、メイドが働く場所である「酪農場」という意味になった。
&lt;span class="spacer"&gt;&lt;/span&gt;そこからさらに意味が広がり、酪農場で作られる「乳製品」そのものや、産業としての「酪農業」、そして「乳製品を売る場所」といった意味になった。&lt;/span&gt;</t>
  </si>
  <si>
    <t>&lt;span class="w"&gt;&lt;b&gt;【1451.posture：姿勢, 心構え】&lt;/b&gt;&lt;/span&gt;
&lt;span class="ml"&gt;ラテン語に由来する語で、以下の2つの要素から成る。
&lt;span class="spacer"&gt;&lt;/span&gt;ponere（置く）の過去分詞positus
ura（名詞化）
&lt;span class="spacer"&gt;&lt;/span&gt;このまま日本語にすると「置かれた状態」となる。これは何かの位置や配置を表したが、特に身体の各パーツの位置を指すようになり、そこから身体のポジション＝「姿勢」という意味になった。
&lt;span class="spacer"&gt;&lt;/span&gt;さらにそこから比喩的に、状況に対する心理的な姿勢＝「心構え」という意味にもなった。&lt;/span&gt;</t>
  </si>
  <si>
    <t>&lt;span class="w"&gt;&lt;b&gt;【1452.curse：ののしり言葉, 呪い, 災い】&lt;/b&gt;&lt;/span&gt;
&lt;span class="ml"&gt;古英語curs（災いが降りかかるよう祈ること, 呪い）にさかのぼる。
&lt;span class="spacer"&gt;&lt;/span&gt;もともとは、誰かに災いが降りかかるよう祈ることを表し、そこからその願いである「呪い」や、降りかかった「災い」そのものを意味するようになった。
&lt;span class="spacer"&gt;&lt;/span&gt;また呪うときに口から出る悪い言葉から「ののしり言葉（汚い言葉）」という意味にもなった。&lt;/span&gt;</t>
  </si>
  <si>
    <t>&lt;span class="w"&gt;&lt;b&gt;【1453.funeral：葬式】&lt;/b&gt;&lt;/span&gt;
&lt;span class="ml"&gt;ラテン語に由来する語で、以下の2つの要素から成る。
&lt;span class="spacer"&gt;&lt;/span&gt;funus（葬儀, 葬式, 葬列）
alis（形容詞化）
&lt;span class="spacer"&gt;&lt;/span&gt;ラテン語からほとんど意味の変化はない。もともとは形容詞だったが、おそらくfuneral service（葬式のサービス）などの短縮によってfuneralのみで「葬式」という意味になった。&lt;/span&gt;</t>
  </si>
  <si>
    <t>&lt;span class="w"&gt;&lt;b&gt;【1454.census：国勢調査】&lt;/b&gt;&lt;/span&gt;
&lt;span class="ml"&gt;ラテン語censere（評価する）から派生したcensus（全ローマ市民の名前の登録および資産評価）に由来する。
&lt;span class="spacer"&gt;&lt;/span&gt;古代ローマでは、数年ごとに市民を集め、誰がどれだけの財産を持っているか、兵役の義務を果たせるかを評価（censere）し、階級名簿が作成された。
&lt;span class="spacer"&gt;&lt;/span&gt;そこから現代の国家が行う定期的な「国勢調査」という意味で定着していった。&lt;/span&gt;</t>
  </si>
  <si>
    <t>いろいろな知識を
ぐるっと全部（cyclo, サイクロ）
中に入れた（en）
教育の（pedia）
書物（百科事典）
と覚えればよい。</t>
  </si>
  <si>
    <t>&lt;span class="w"&gt;&lt;b&gt;【1455.encyclopedia：百科事典】&lt;/b&gt;&lt;/span&gt;
&lt;span class="ml"&gt;ギリシャ語に由来する語で、以下の3つの要素から成る。
&lt;span class="spacer"&gt;&lt;/span&gt;en（中に）
kyklos（円）
paideia（教育）
&lt;span class="spacer"&gt;&lt;/span&gt;このまま日本語にすると「円の中での教育」となる。「円の中での」とは、全体をぐるっと囲むイメージから、一般的・全般的ということを表す。つまり、もともとのギリシャ語は「一般的な教育（一般教養）」を指した。
&lt;span class="spacer"&gt;&lt;/span&gt;昔のギリシャには、奴隷ではない、政治に参加する自由市民が持つべきとされる一般教養があった（後の自由七科につながる）。この一般教養は、中世から近代にかけての教育の基礎となり、それらをまるっと修める課程が、encyclopediaの本来の意味だった。
&lt;span class="spacer"&gt;&lt;/span&gt;そして一般教養から意味が変化し、様々な分野の知識をぐるっとまとめた書物、すなわち「百科事典」を指すようになった。
&lt;span class="spacer"&gt;&lt;/span&gt;七つの学問
&lt;div class="sample_image encyclopedia_liberal_arts"&gt;&lt;/div&gt;&lt;/span&gt;</t>
  </si>
  <si>
    <t>en（中に）＋kyklos（円）
enkyklios（円の中の, 全体的な, 一般的な）
&lt;span class="spacer"&gt;&lt;/span&gt;これにpaideia（教育）が付いて
enkyklios paideia
円の中での教育
自由人にふさわしい学問の循環的教育
中世から近代にかけての教育の基礎となった7つの学問を修めること</t>
  </si>
  <si>
    <t>1500年頃
enkykliospaideia（一般教育）
&lt;span class="spacer"&gt;&lt;/span&gt;enkyklios paideiaという2語を1語だと誤解して「一般教育」という名詞になる</t>
  </si>
  <si>
    <t>&lt;span class="w"&gt;&lt;b&gt;【1456.cereal：穀物, シリアル（穀物加工食品）】&lt;/b&gt;&lt;/span&gt;
&lt;span class="ml"&gt;ラテン語に由来する語で、以下の2つの要素から成る。
&lt;span class="spacer"&gt;&lt;/span&gt;Ceres（ローマ神話の農業や穀物の女神ケレス）
alis（形容詞化）
&lt;span class="spacer"&gt;&lt;/span&gt;もともとは、ローマ神話における農業や穀物の女神ケレスを表した。そこから「穀物」そのものや、穀物から作られる加工食品「シリアル」という意味になった。
&lt;div class="sample_image cereal"&gt;&lt;/div&gt;&lt;/span&gt;</t>
  </si>
  <si>
    <t>1818年、形容詞で
食用の穀物に関する
&lt;span class="spacer"&gt;&lt;/span&gt;1832年、名詞で
食用の穀物
&lt;span class="spacer"&gt;&lt;/span&gt;1899年、アメリカで
穀物から作られる朝食用の穀物加工食品, シリアル</t>
  </si>
  <si>
    <t>&lt;span class="w"&gt;&lt;b&gt;【1457.fragment：断片】&lt;/b&gt;&lt;/span&gt;
&lt;span class="ml"&gt;ラテン語に由来する語で、以下の2つの要素から成る。
&lt;span class="spacer"&gt;&lt;/span&gt;frangere（壊す）
mentum（名詞化）
&lt;span class="spacer"&gt;&lt;/span&gt;壊れてバラバラになったものから、その「断片」という意味になる。
&lt;span class="spacer"&gt;&lt;/span&gt;fragmentは、break（壊す）と同じ印欧祖語*bhreg-（壊す）にさかのぼる。
frag (ment)
break
f（フ）＋母音＋g（グ）
b（ブ）＋母音＋k（ク）
&lt;span class="spacer"&gt;&lt;/span&gt;現在でも両者は音の類似性を保持している。&lt;/span&gt;</t>
  </si>
  <si>
    <t>&lt;span class="w"&gt;&lt;b&gt;【1458.patch：部分, 斑点, 布のつぎあて, 貼り薬】&lt;/b&gt;&lt;/span&gt;
&lt;span class="ml"&gt;中英語pacche（別の素材を修繕するために用いられる布の一片）にさかのぼる。
&lt;span class="spacer"&gt;&lt;/span&gt;この語の核は「表面が周囲と異なる部分」。そこから「布のつぎあて」や、周囲と異なる「部分, 区域」、「斑点, 貼り薬」などの意味になる。
&lt;div class="sample_image patch"&gt;&lt;/div&gt;&lt;/span&gt;</t>
  </si>
  <si>
    <t>rubbish：イギリス英語のごみ
trash / garbage：アメリカ英語のごみ（この両者の区別はあいまいになり、同義として使われている）</t>
  </si>
  <si>
    <t>&lt;span class="w"&gt;&lt;b&gt;【1459.rubbish：ごみ（英）, つまらないもの】&lt;/b&gt;&lt;/span&gt;
&lt;span class="ml"&gt;中英語にさかのぼり、もともとは建物の解体で出る廃材や瓦礫を指した。そこからイギリスで「ごみ全般」を指すようになり、さらに比喩的に「つまらないもの」という意味にもなった。&lt;/span&gt;</t>
  </si>
  <si>
    <t>&lt;span class="w"&gt;&lt;b&gt;【1460.maze：迷路】&lt;/b&gt;&lt;/span&gt;
&lt;span class="ml"&gt;古英語*mæs（混乱, 当惑）にさかのぼる。
&lt;span class="spacer"&gt;&lt;/span&gt;もともとは頭の中の混乱や当惑を表した。そこから、意図的に人を迷わせるために作られた、複雑に入り組んだ道や構造物そのものを指すようになり、「迷路」という意味になった。
&lt;span class="spacer"&gt;&lt;/span&gt;現代では、迷路そのものから比喩的に「複雑に入り組んだもの」も意味する。
&lt;span class="spacer"&gt;&lt;/span&gt;amazeは、相手の頭が真っ白になるほど完全に混乱させることから「驚かせる」という意味になっている。amaze, mazeともに、根本には「混乱」がある。&lt;/span&gt;</t>
  </si>
  <si>
    <t>&lt;span class="w"&gt;&lt;b&gt;【1462.breakthrough：大発見, 飛躍的進歩】&lt;/b&gt;&lt;/span&gt;
&lt;span class="ml"&gt;中英語にさかのぼり、以下の2つの要素から成る。
&lt;span class="spacer"&gt;&lt;/span&gt;break（壊す）
through（通って）
&lt;span class="spacer"&gt;&lt;/span&gt;この語の核は「障壁を突き破って通り抜けること」。いままで成長や進展を阻み続けた壁を破壊し、通り抜けてさらに先へ進むことから、「大発見, 飛躍的進歩」といった意味になる。
&lt;div class="sample_image breakthrough"&gt;&lt;/div&gt;&lt;/span&gt;</t>
  </si>
  <si>
    <t>&lt;span class="w"&gt;&lt;b&gt;【1463.triumph：勝利】&lt;/b&gt;&lt;/span&gt;
&lt;span class="ml"&gt;ラテン語triumphus（勝利, 成功, 勝利した将軍の祝賀行進）に由来する。
&lt;span class="spacer"&gt;&lt;/span&gt;ラテン語から意味の変化はほとんどない。もともとの核は、戦いで勝利した将軍を讃えるための凱旋式だったが、そこから「勝利」そのものを意味するようになった。&lt;/span&gt;</t>
  </si>
  <si>
    <t>&lt;span class="w"&gt;&lt;b&gt;【1464.ally：同盟国, 援助者】&lt;/b&gt;&lt;/span&gt;
&lt;span class="ml"&gt;ラテン語に由来する語で、以下の2つの要素から成る。
&lt;span class="spacer"&gt;&lt;/span&gt;に由来する語で、以下の2つの要素から成る。
&lt;span class="spacer"&gt;&lt;/span&gt;ad（〜へ）
ligare（結ぶ, 縛る）
&lt;span class="spacer"&gt;&lt;/span&gt;この語の核は「何かへ結びつける」。中世では、結婚によってお互いの家を結びつけて政治的・経済的に強固にすることを表した。そこから婚姻関係による家同士の結びつきに限らず、国家間の同盟へと発展して「同盟国」という意味になった。
&lt;span class="spacer"&gt;&lt;/span&gt;また相手と結びついて助けるということから「援助者」という意味にもなった。
&lt;div class="sample_image ally"&gt;&lt;/div&gt;&lt;/span&gt;</t>
  </si>
  <si>
    <t>&lt;span class="w"&gt;&lt;b&gt;【1465.spectator：観客】&lt;/b&gt;&lt;/span&gt;
&lt;span class="ml"&gt;ラテン語に由来する語で、以下の2つの要素から成る。
&lt;span class="spacer"&gt;&lt;/span&gt;spectare（繰り返し見る, 観察する）
or（〜する人）
&lt;span class="spacer"&gt;&lt;/span&gt;このまま日本語にすると「しっかり見る人, 観察する人」すなわち「観客」という意味になる。
&lt;span class="spacer"&gt;&lt;/span&gt;spectを見たら「見る」系の意味だと覚えておくとよい。&lt;/span&gt;</t>
  </si>
  <si>
    <t>&lt;span class="w"&gt;&lt;b&gt;【1466.sphere：領域, 球体, 天球】&lt;/b&gt;&lt;/span&gt;
&lt;span class="ml"&gt;ギリシャ語sphaira（球体）に由来する。
&lt;span class="spacer"&gt;&lt;/span&gt;この語は主に天文学用語として取り入れられ、地球を取り囲む巨大な球体である「天球」を意味した。
&lt;span class="spacer"&gt;&lt;/span&gt;&lt;span class="obsolete"&gt;当時の宇宙観（天動説）では、地球を中心にして、太陽や月、惑星がそれぞれ透明な球殻（sphere）に埋め込まれて回転していると考えられていた。&lt;/span&gt;
&lt;span class="spacer"&gt;&lt;/span&gt;そこから天文学的な用語に限定されず、広く一般的な「球体」を指すようになった。
&lt;span class="spacer"&gt;&lt;/span&gt;さらに、球という中心から全体へ広がっていく形から比喩的に、活動や知識などの「範囲」や「領域」という意味にもなった。
&lt;div class="sample_image sphere"&gt;&lt;/div&gt;&lt;/span&gt;</t>
  </si>
  <si>
    <t>この語は「郡」や「州」という意味で覚えるよりは、国の一部の地域（行政区画）として覚えればよい。</t>
  </si>
  <si>
    <t>&lt;span class="w"&gt;&lt;b&gt;【1467.county：郡（アメリカ）, 州（イギリス）】&lt;/b&gt;&lt;/span&gt;
&lt;span class="ml"&gt;ラテン語comes（伯爵）から派生したcomitatus（伯爵の管轄区域）に由来する。
&lt;span class="spacer"&gt;&lt;/span&gt;伯爵の管轄区域とは、国を統治する国王から与えられた国の一部を指す。もともとは伯爵の個人的な領地を指したが、時代が下るにつれて、単なる行政上の区画を表すようになった。
&lt;span class="spacer"&gt;&lt;/span&gt;イギリスでは「州」、アメリカでは「郡（州の下に置かれる区画）」を意味する。
&lt;span class="spacer"&gt;&lt;/span&gt;イメージとしては日本の江戸時代の藩（今の県）やその下に置かれる郡という感じ。&lt;/span&gt;</t>
  </si>
  <si>
    <t>この語の核は「誰かのそばに立つこと」。以下の表現で覚えておく。
on one's behalf
on behalf of
in behalf of
「〜に代わって, 〜を代表して, 〜のために」</t>
  </si>
  <si>
    <t>&lt;span class="w"&gt;&lt;b&gt;【1468.behalf：利益, 味方】&lt;/b&gt;&lt;/span&gt;
&lt;span class="ml"&gt;古英語に由来する語で、以下の2つの要素から成る。
&lt;span class="spacer"&gt;&lt;/span&gt;be （byの語源）
healfe（左右の側面：halfの語源）
&lt;span class="spacer"&gt;&lt;/span&gt;もともとbehalfは、現代英語で言えばby halfという2語であり、「何かのそばに」という位置関係を表した。
&lt;span class="spacer"&gt;&lt;/span&gt;そしてそこから比喩的に、誰かのそばに立つ、その人のために行動する、その人を擁護するというニュアンスへと発展して「味方」や「利益」という意味になった。
&lt;span class="spacer"&gt;&lt;/span&gt;on one's behalf
on behalf of ~
in behalf of ~
&lt;span class="spacer"&gt;&lt;/span&gt;これらは誰かのそばに立って行動することから、「〜の代わりに, 〜を代表して」や「〜のために」という意味になる。&lt;/span&gt;</t>
  </si>
  <si>
    <t>healfe（側：halfの語源）
&lt;span class="spacer"&gt;&lt;/span&gt;(one's) be healfe（〜の側で）
&lt;span class="obsolete"&gt;このbeは現代英語のby&lt;/span&gt;
&lt;span class="spacer"&gt;&lt;/span&gt;on (one's) healfe（〜の側で）</t>
  </si>
  <si>
    <t>&lt;span class="w"&gt;&lt;b&gt;【1470.circulation：循環, 流通, 発行部数】&lt;/b&gt;&lt;/span&gt;
&lt;span class="ml"&gt;ラテン語に由来する語で、以下の3つの要素から成る。
&lt;span class="spacer"&gt;&lt;/span&gt;circus（円, 輪）
ulus（小さいことを表す）
io（名詞化）
&lt;span class="spacer"&gt;&lt;/span&gt;この語の核は「円運動」で、circul部分は、サークル・サイクル・円を表す。
&lt;span class="spacer"&gt;&lt;/span&gt;円形にぐるぐる回る運動から、血液・空気・水などの「循環」、物・貨幣・情報などの「流通」、新聞や雑誌の流通量である「発行部数」といった意味になる。
&lt;div class="sample_image circulation"&gt;&lt;/div&gt;&lt;/span&gt;</t>
  </si>
  <si>
    <t>&lt;span class="w"&gt;&lt;b&gt;【1461.outlook：考え方, 見通し, 眺め】&lt;/b&gt;&lt;/span&gt;
&lt;span class="ml"&gt;近代英語にさかのぼり、以下の2つの要素から成る。
&lt;span class="spacer"&gt;&lt;/span&gt;out（外へ）
look（見る）
&lt;span class="spacer"&gt;&lt;/span&gt;もともとは外を見る場所、見張りの場所を表し、そこから、実際に視界に入ってくる外の「眺め」という意味になった。
&lt;span class="spacer"&gt;&lt;/span&gt;また比喩的に、自分の頭や心を通した外の世界（物事・社会）の眺め方、つまり「考え方」という意味にもなった。
&lt;span class="spacer"&gt;&lt;/span&gt;さらに、いま現在の立ち位置から未来を眺めることから、将来の「見通し」という意味にもなった。
&lt;div class="sample_image outlook"&gt;&lt;/div&gt;&lt;/span&gt;</t>
  </si>
  <si>
    <t>&lt;span class="w"&gt;&lt;b&gt;【1471.blade：刃, プロペラなどの羽, 草などの葉】&lt;/b&gt;&lt;/span&gt;
&lt;span class="ml"&gt;古英語blæd（葉, 船のオールなどの葉のような部分）にさかのぼる。
&lt;span class="spacer"&gt;&lt;/span&gt;この語の核は「葉っぱのように薄く平らで縁が鋭い板状のもの」。そこから「葉」や、葉のような形をした「刃, プロペラなどの羽」という意味になる。
&lt;div class="sample_image blade"&gt;&lt;/div&gt;&lt;/span&gt;</t>
  </si>
  <si>
    <t>&lt;span class="w"&gt;&lt;b&gt;【1472.theft：窃盗（罪）】&lt;/b&gt;&lt;/span&gt;
&lt;span class="ml"&gt;古英語þeofð（窃盗）にさかのぼる。
&lt;span class="spacer"&gt;&lt;/span&gt;古英語から意味の変化はほとんどない。英語で泥棒をthiefというが、それに抽象名詞を作る-t(h)が付いた語。&lt;/span&gt;</t>
  </si>
  <si>
    <t>&lt;span class="w"&gt;&lt;b&gt;【1473.vacuum：真空, 空虚, 掃除機】&lt;/b&gt;&lt;/span&gt;
&lt;span class="ml"&gt;ラテン語vacuus（空の, 占有されていない）に由来する。
&lt;span class="spacer"&gt;&lt;/span&gt;この語の核は「空っぽの空間」。もともとは何も存在しない「空虚」を意味したが、そこから物理学において空気のない「真空」という意味にもなった。
&lt;span class="spacer"&gt;&lt;/span&gt;また現代では、vacuum (cleaner)で「掃除機」を意味する。
&lt;span class="spacer"&gt;&lt;/span&gt;同じラテン語からはvacation（休暇）も生まれている。vacationは、仕事から離れて心身が空いている状態を表す。&lt;/span&gt;</t>
  </si>
  <si>
    <t>1903年
vacuum cleaner（電気掃除機）
cleanerが省略されてvacuumのみで掃除機を指す</t>
  </si>
  <si>
    <t>&lt;span class="w"&gt;&lt;b&gt;【1474.collision：衝突】&lt;/b&gt;&lt;/span&gt;
&lt;span class="ml"&gt;ラテン語に由来する語で、以下の3つの要素から成る。
&lt;span class="spacer"&gt;&lt;/span&gt;com（共に）
laedere（打つ）
io（名詞化）
&lt;span class="spacer"&gt;&lt;/span&gt;このまま日本語にすると「共に打つこと」となる。何かと何かがぶつかることから「衝突」という意味になる。&lt;/span&gt;</t>
  </si>
  <si>
    <t>&lt;span class="w"&gt;&lt;b&gt;【1475.bargain：お買い得品, 取引, 契約】&lt;/b&gt;&lt;/span&gt;
&lt;span class="ml"&gt;古フランス語bargaignier（値段について交渉する）に由来する。
&lt;span class="spacer"&gt;&lt;/span&gt;もともとは、ビジネスにおいて交渉することを表し、そこから、交渉の末に結ばれる「取引, 契約」という意味になった。
&lt;span class="spacer"&gt;&lt;/span&gt;この取引や契約には、良い・悪いという評価は含まれていなかったが、次第に自分にとって有利に成立した取引というニュアンスが強まって「お買い得品」そのものを指すようになった。&lt;/span&gt;</t>
  </si>
  <si>
    <t>&lt;span class="w"&gt;&lt;b&gt;【1476.landmark：（ある場所の）目印, 画期的な出来事】&lt;/b&gt;&lt;/span&gt;
&lt;span class="ml"&gt;古英語にさかのぼり、以下の2つの要素から成る。
&lt;span class="spacer"&gt;&lt;/span&gt;land（土地）
mearc（目印）
&lt;span class="spacer"&gt;&lt;/span&gt;もともとは、王国や領地の境目に置かれた物を表した（現在の日本の県境や市町村の境を示す標識のようなもの）。そこから境界を示すものに限らず、ある場所を象徴する「目印」という意味になった。
&lt;span class="spacer"&gt;&lt;/span&gt;さらに象徴的な土地の目印という実際の物から比喩的に、歴史における象徴的な「出来事」という意味にもなった。&lt;/span&gt;</t>
  </si>
  <si>
    <t>&lt;span class="w"&gt;&lt;b&gt;【1477.revenue：歳入, 収入】&lt;/b&gt;&lt;/span&gt;
&lt;span class="ml"&gt;ラテン語に由来する語で、以下の2つの要素から成る。
&lt;span class="spacer"&gt;&lt;/span&gt;re（後ろへ, 戻って）
venire（来る）
&lt;span class="spacer"&gt;&lt;/span&gt;この語の核は「戻ってくるもの」。お金を払って何かを手に入れ、それを使ってお金を得る、つまりお金が戻ってくることから「収入」という意味になった。またそこから、国家の一年間の収入＝「歳入」という意味にもなった。
&lt;div class="sample_image revenue"&gt;&lt;/div&gt;&lt;/span&gt;</t>
  </si>
  <si>
    <t>&lt;span class="w"&gt;&lt;b&gt;【1478.treaty：条約, 協定】&lt;/b&gt;&lt;/span&gt;
&lt;span class="ml"&gt;ラテン語trahere（引っ張る）から派生したtractare（扱う, 管理する）に由来する。
&lt;span class="spacer"&gt;&lt;/span&gt;もともとは、物理的に引っ張るという動作を表したが、そこから比喩的に問題を引き出して扱うこと、議論すること、そして交渉という意味へと発展していった。
&lt;span class="spacer"&gt;&lt;/span&gt;さらに交渉という行為そのものから、それによって結ばれる合意へと発展し、ある集団や国家の間で結ばれる「条約, 協定」という意味になった。&lt;/span&gt;</t>
  </si>
  <si>
    <t>trahere（引っ張る）
&lt;span class="spacer"&gt;&lt;/span&gt;反復形tractare（扱う, 管理する）
&lt;span class="spacer"&gt;&lt;/span&gt;名詞になって
tractatus（議論, 取り扱い, 管理）</t>
  </si>
  <si>
    <t>&lt;span class="w"&gt;&lt;b&gt;【1479.supreme：最高の】&lt;/b&gt;&lt;/span&gt;
&lt;span class="ml"&gt;ラテン語に由来する語で、以下の2つの要素から成る。
&lt;span class="spacer"&gt;&lt;/span&gt;super（上に）
emus（最上級を作る）
&lt;span class="spacer"&gt;&lt;/span&gt;これはsuperの最上級と覚えればよい。物理的な位置として最も上にある状態から、地位、権力、品質、程度などが他のすべてよりも上であるという抽象的な意味へと発展して「最高の」という意味になった。&lt;/span&gt;</t>
  </si>
  <si>
    <t>thoroughは、through（通り抜けて）を強調した語というイメージ。端から端まで完璧に通すように「徹底的な, 完全な」という意味になる。</t>
  </si>
  <si>
    <t>&lt;span class="w"&gt;&lt;b&gt;【1480.thorough：徹底的な, 完全な】&lt;/b&gt;&lt;/span&gt;
&lt;span class="ml"&gt;古英語のþurh（通り抜けて：throughの語源）にさかのぼる。形容詞thorough（徹底的な, 完全な）と前置詞through（通して）は兄弟関係の語。
&lt;span class="spacer"&gt;&lt;/span&gt;前置詞というのは、会話の中では名詞・形容詞・動詞などと比べて伝える内容の重要度が低いので、通常、短く弱く発音される（アクセントを持たない）。そのため、古英語þurh（通り抜けて）は、thの直後に母音とアクセントを持たない、1音節（ひとつの塊）の前置詞through（通って）になっていった。
&lt;span class="spacer"&gt;&lt;/span&gt;一方で中英語期には、thの後に母音とアクセントを保った2音節＝2つの塊からなる語が確立された。これが現代英語のthorough（tho・rough）である。
&lt;span class="spacer"&gt;&lt;/span&gt;物理的に通り抜けてることから比喩的に、端から端まで完璧に通るように「徹底的な, 完全な」という意味になった。&lt;/span&gt;</t>
  </si>
  <si>
    <t>thoro / thorow
&lt;span class="spacer"&gt;&lt;/span&gt;13世紀半ば
thurgh（通り抜けて：throughの語源）の前半部分にアクセントが置かれ、2音節の形容詞になる
&lt;span class="spacer"&gt;&lt;/span&gt;ずっと通り抜けて, 徹底的な, 完全な</t>
  </si>
  <si>
    <t>&lt;span class="w"&gt;&lt;b&gt;【1481.naked：裸の】&lt;/b&gt;&lt;/span&gt;
&lt;span class="ml"&gt;古英語nacod（裸の）にさかのぼる。
&lt;span class="spacer"&gt;&lt;/span&gt;古英語から意味の変化はほとんどない。裸眼・肉眼のことをnaked eyeと言う。&lt;/span&gt;</t>
  </si>
  <si>
    <t>&lt;span class="w"&gt;&lt;b&gt;【1482.sincere：心からの, 誠実な】&lt;/b&gt;&lt;/span&gt;
&lt;span class="ml"&gt;印欧祖語にさかのぼり、以下の2つの要素から成ると考えられる。
&lt;span class="spacer"&gt;&lt;/span&gt;*sem-（1つの）
*ker-（成長する, 作り出す）
&lt;span class="spacer"&gt;&lt;/span&gt;sin部分はsameやsim-（1つ, 同じ）と、cere部分はincreaseのcrease部分（成長）と同じというイメージ。
&lt;span class="spacer"&gt;&lt;/span&gt;単一のものから成長して不純物が一切混じっていないことから、純粋であるというイメージが生まれて「心からの, 誠実な」という意味になった。&lt;/span&gt;</t>
  </si>
  <si>
    <t>*sem-（1つの）
*ker-（成長する, 作り出す）</t>
  </si>
  <si>
    <t>家畜になった野生動物は、飼い慣らされて人に慣れている。
それと同じように人が従順である、物事が面白みがなく退屈となる。</t>
  </si>
  <si>
    <t>&lt;span class="w"&gt;&lt;b&gt;【1483.tame：飼い慣らされた, 人に慣れた, おとなしい, 退屈な】&lt;/b&gt;&lt;/span&gt;
&lt;span class="ml"&gt;古英語tam（飼い慣らされた）にさかのぼる。
&lt;span class="spacer"&gt;&lt;/span&gt;もともとは野生動物を家畜化することを表す言葉で、そこから「飼い慣らされた」や「人に慣れた」という意味になった。
&lt;span class="spacer"&gt;&lt;/span&gt;さらに動物に対してだけでなく、人・性格・アイデア・批判などが「おとなしい, 刺激がない」や、物事・状況が牙を抜かれた動物のように面白みがなく「退屈な」という意味にもなった。&lt;/span&gt;</t>
  </si>
  <si>
    <t>&lt;span class="w"&gt;&lt;b&gt;【1484.insufficient：不十分な】&lt;/b&gt;&lt;/span&gt;
&lt;span class="ml"&gt;ラテン語に由来する語で、以下の2つの要素から成る。
&lt;span class="spacer"&gt;&lt;/span&gt;in（否定）
sufficientem（十分な）
&lt;span class="spacer"&gt;&lt;/span&gt;十分であることを否定するので「不十分な」という意味になる。
&lt;span class="spacer"&gt;&lt;/span&gt;sufficientは関連語を参照。&lt;/span&gt;</t>
  </si>
  <si>
    <t>&lt;span class="w"&gt;&lt;b&gt;【1485.dim：薄暗い, ぼんやりした】&lt;/b&gt;&lt;/span&gt;
&lt;span class="ml"&gt;古英語dimm（暗い, 薄暗い, 不明瞭な, ぼんやりした）にさかのぼる。
&lt;span class="spacer"&gt;&lt;/span&gt;古英語から意味の変化はなく、光が「薄暗い」や記憶・イメージが「ぼんやりしている」という意味になる。&lt;/span&gt;</t>
  </si>
  <si>
    <t>&lt;span class="w"&gt;&lt;b&gt;【1486.acute：痛みや感情などが激しい, 知覚などが鋭い, 急性の】&lt;/b&gt;&lt;/span&gt;
&lt;span class="ml"&gt;ラテン語acuere（鋭くする）の過去分詞actus（鋭い, 尖った）に由来する。
&lt;span class="spacer"&gt;&lt;/span&gt;この語の核は「鋭い」。物理的に鋭い・尖っているということから比喩的に、病気が一気に進展する様子を表して「急性の」という意味になった。
&lt;span class="spacer"&gt;&lt;/span&gt;また、知覚や洞察などが「鋭い」、痛みや感情が尖っていて「激しい」という意味になった。
&lt;div class="sample_image acute"&gt;&lt;/div&gt;&lt;/span&gt;</t>
  </si>
  <si>
    <t>&lt;span class="w"&gt;&lt;b&gt;【1487.disabled：障害のある】&lt;/b&gt;&lt;/span&gt;
&lt;span class="ml"&gt;近代英語に由来する語で、以下の2つの要素から成る。
&lt;span class="spacer"&gt;&lt;/span&gt;dis（否定）
ablen（可能にする）
ed（過去分詞化）
&lt;span class="spacer"&gt;&lt;/span&gt;この語の核は「能力や機能が失われた状態」。そこから身体的・精神的・感覚的な「障害のある」という意味になった。&lt;/span&gt;</t>
  </si>
  <si>
    <t>15世紀後期
dis（否定）＋ablen（可能にする）
〜できない状態にする
能力を弱める</t>
  </si>
  <si>
    <t>disableの過去分詞形容詞
&lt;span class="spacer"&gt;&lt;/span&gt;1630年代
能力を失った, 行動不能になった</t>
  </si>
  <si>
    <t>&lt;span class="w"&gt;&lt;b&gt;【1488.metropolitan：大都市の, 首都圏の】&lt;/b&gt;&lt;/span&gt;
&lt;span class="ml"&gt;ギリシャ語に由来する語で、以下の2つの要素から成る。
&lt;span class="spacer"&gt;&lt;/span&gt;meter（母）
polis（都市）
&lt;span class="spacer"&gt;&lt;/span&gt;このまま日本語にすると「母なる都市」となる。これは最も中心的な都市である大都市や首都圏を表し、「大都市の, 首都圏の」という意味になる。&lt;/span&gt;</t>
  </si>
  <si>
    <t>&lt;span class="w"&gt;&lt;b&gt;【1489.monetary：金銭的な】&lt;/b&gt;&lt;/span&gt;
&lt;span class="ml"&gt;ラテン語に由来する語で、以下の2つの要素から成る。
&lt;span class="spacer"&gt;&lt;/span&gt;moneta（造幣所, 貨幣, 鋳造された硬貨）
arius（形容詞化）
&lt;span class="spacer"&gt;&lt;/span&gt;これはmoneyの形容詞として考えればよい。お金に関する＝「金銭的な」という意味になる。&lt;/span&gt;</t>
  </si>
  <si>
    <t>alter部分はラテン語由来だが
other（他の）と同じ印欧祖語にさかのぼる。</t>
  </si>
  <si>
    <t>&lt;span class="w"&gt;&lt;b&gt;【1490.alternate：交互の, 代わりの】&lt;/b&gt;&lt;/span&gt;
&lt;span class="ml"&gt;印欧祖語に由来する語で、以下の2つの要素から成る。
&lt;span class="spacer"&gt;&lt;/span&gt;*al-（〜の向こうに）
tero（比較級を作る）
&lt;span class="spacer"&gt;&lt;/span&gt;印欧祖語*al-tero-は、こちら側と向こう側を比較して（結果的に）向こう側というイメージから、2つのうちの他方を指す。
&lt;span class="spacer"&gt;&lt;/span&gt;AとBがあるときに、Aから見た向こう側B、Bから見た向こう側Aを繰り返す、すなわちA→B→A→B→…となることから「交互の」という意味になった。
I visit my grandmother on alternate weekends.
訪れる週→訪れない週→…（つまり隔週）
&lt;span class="spacer"&gt;&lt;/span&gt;また現在あるものが使えない場合に、他方を使うという発想から、「代わりの」という意味にもなった。
&lt;div class="sample_image alternate"&gt;&lt;/div&gt;&lt;/span&gt;</t>
  </si>
  <si>
    <t>&lt;span class="w"&gt;&lt;b&gt;【1491.partial：部分的な, 不公平な】&lt;/b&gt;&lt;/span&gt;
&lt;span class="ml"&gt;ラテン語に由来する語で、以下の2つの要素から成る。
&lt;span class="spacer"&gt;&lt;/span&gt;pars（部分）
alis（形容詞化）
&lt;span class="spacer"&gt;&lt;/span&gt;これはpart（部分）の形容詞として考えればよい。「部分的な」という意味だけではなく、全体的に公平ではなくある一部分に偏っているという発想から「不公平な」という意味にもなる。&lt;/span&gt;</t>
  </si>
  <si>
    <t>このineはmarine, genuineなどと同じで形容詞を作る要素。
devは「神」と覚えておくとよい。</t>
  </si>
  <si>
    <t>&lt;span class="w"&gt;&lt;b&gt;【1492.divine：神の】&lt;/b&gt;&lt;/span&gt;
&lt;span class="ml"&gt;ラテン語に由来する語で、以下の2つの要素から成る。
&lt;span class="spacer"&gt;&lt;/span&gt;deus（神, デウス）に関連するdivus（神の, 神格化された者）
inus（形容詞化）
&lt;span class="spacer"&gt;&lt;/span&gt;ラテン語で神を表すデウスが形容詞になったと考えればよい。意味はそのまま「神の」となる。
&lt;span class="spacer"&gt;&lt;/span&gt;また日常会話では、神という最高の存在から比喩的に、食べ物・ファッション・香り・景色など様々なものに対して「最高に素晴らしい」という意味でも使われる。&lt;/span&gt;</t>
  </si>
  <si>
    <t>deus（神, デウス）に関連する
&lt;span class="spacer"&gt;&lt;/span&gt;divus（神の）
&lt;span class="spacer"&gt;&lt;/span&gt;形容詞を作る-inusが付いて
devinus（神の, 神に属する, 予言的な）</t>
  </si>
  <si>
    <t>drāo（行う, 強力に行う）
&lt;span class="spacer"&gt;&lt;/span&gt;drasteon（なされるべきこと）
&lt;span class="spacer"&gt;&lt;/span&gt;形容詞を作る-ikosが付いて
drastikos（効果的な, 有効な, 活発な, 激しい）</t>
  </si>
  <si>
    <t>&lt;span class="w"&gt;&lt;b&gt;【1494.fierce：どう猛な, 強烈な, 激しい】&lt;/b&gt;&lt;/span&gt;
&lt;span class="ml"&gt;ラテン語ferus（野生の, 耕されていない, 野蛮な）に由来する。
&lt;span class="spacer"&gt;&lt;/span&gt;この語の核は「どう猛な野生動物」。もともとは人間に飼いならされていない野生動物や、そのどう猛な性質を指す言葉であり、そこから動物が「どう猛な」や、人が野生動物のように「怖い」という意味になった。
&lt;span class="spacer"&gt;&lt;/span&gt;さらに発展して、感情や性格、自然現象、競争や議論などが、コントロールが効かないほど激しく荒々しい状態であることを表すようになり、感情や態度が「強烈な」や、自然現象や競争などが「激しい」という意味にもなった。
&lt;div class="sample_image fierce"&gt;&lt;/div&gt;&lt;/span&gt;</t>
  </si>
  <si>
    <t>&lt;span class="w"&gt;&lt;b&gt;【1495.sole：唯一の, たったひとつの】&lt;/b&gt;&lt;/span&gt;
&lt;span class="ml"&gt;ラテン語solus（単独の, 唯一の）に由来する。
&lt;span class="spacer"&gt;&lt;/span&gt;ラテン語から意味の変化はほとんどない。このラテン語からはソロ（単独の）も生まれているので関連させて覚えるとよい。&lt;/span&gt;</t>
  </si>
  <si>
    <t>&lt;span class="w"&gt;&lt;b&gt;【1496.spontaneous：自然発生的な, 自発的な】&lt;/b&gt;&lt;/span&gt;
&lt;span class="ml"&gt;ラテン語のフレーズsua（自分の）sponte（意志で）に由来する。
&lt;span class="spacer"&gt;&lt;/span&gt;このまま日本語にすると「自分の意志で」となる。この語の核は「内側から自然にそうなる感じ」。
&lt;span class="spacer"&gt;&lt;/span&gt;そこから、外部から促されるのではなく「自発的な」や、物事について「自然発生的な」という意味になった。&lt;/span&gt;</t>
  </si>
  <si>
    <t>&lt;span class="w"&gt;&lt;b&gt;【1497.spatial：空間の】&lt;/b&gt;&lt;/span&gt;
&lt;span class="ml"&gt;近代英語にさかのぼり、以下の2つの要素から成る。
&lt;span class="spacer"&gt;&lt;/span&gt;space（空間）
al（形容詞化）
&lt;span class="spacer"&gt;&lt;/span&gt;apace（空間）を形容詞化した語であり、「空間の」という意味になる。&lt;/span&gt;</t>
  </si>
  <si>
    <t>&lt;span class="w"&gt;&lt;b&gt;【1498.neat：きちんとした, （外見的に）きれいな】&lt;/b&gt;&lt;/span&gt;
&lt;span class="ml"&gt;ラテン語に由来する語で、以下の2つの要素から成る。
&lt;span class="spacer"&gt;&lt;/span&gt;nitere（輝く）
idus（形容詞化）
&lt;span class="spacer"&gt;&lt;/span&gt;この語の核は「ピカピカ輝くようにきちんとしている」。もともとは光輝いている状態を表したが、そこから汚れがなくすっきり整っている様子を表すようになった。
&lt;span class="spacer"&gt;&lt;/span&gt;そこから整っていて外見的に「きちんとした, きれいな」という意味になった。
&lt;span class="spacer"&gt;&lt;/span&gt;&lt;span class="obsolete"&gt;一方tidy（きちんとした, 片付いている）は、古英語tid（時間, 時期）にさかのぼる。「時期に合って適切」というイメージから、物があるべき適切な場所に整頓してあって「片付いている」や、人について「きちんとしている」という意味になった。&lt;/span&gt;&lt;/span&gt;</t>
  </si>
  <si>
    <t>&lt;span class="w"&gt;&lt;b&gt;【1500.loyal：忠実な】&lt;/b&gt;&lt;/span&gt;
&lt;span class="ml"&gt;ラテン語に由来する語で、以下の2つの要素から成る。
&lt;span class="spacer"&gt;&lt;/span&gt;lex（法）
alis（形容詞化）
&lt;span class="spacer"&gt;&lt;/span&gt;もともとは、法に従う・法を守ることを表す語だったが、そこから、君主や政府などに対して誓いや義務を守り、忠誠を尽くすことを表すようになった。そしてさらに一般的に、相手を裏切らず支え続ける「忠実な」という意味になった。&lt;/span&gt;</t>
    <phoneticPr fontId="1"/>
  </si>
  <si>
    <t>&lt;span class="w"&gt;&lt;b&gt;【102.refer：言及する, 参照する】&lt;/b&gt;&lt;/span&gt;
&lt;span class="ml"&gt;ラテン語に由来する語で、以下の2つの要素から成る。
&lt;span class="spacer"&gt;&lt;/span&gt;re（戻る）
ferre（運ぶ）
&lt;span class="spacer"&gt;&lt;/span&gt;このまま日本語にすると「運んで戻る」となる。離れた場所にある情報を取りに行き、それを運んで戻って来ることから「参照する」という意味になる。
&lt;span class="spacer"&gt;&lt;/span&gt;また別の場所へ行って再び元の場所に戻るというイメージから、会話の中である話題に立ち寄る＝何かに「言及する」という意味になる。
&lt;div class="sample_image refer"&gt;&lt;/div&gt;&lt;/span&gt;</t>
  </si>
  <si>
    <t>&lt;span class="w"&gt;&lt;b&gt;【138.suffer：苦しむ, 患う】&lt;/b&gt;&lt;/span&gt;
&lt;span class="ml"&gt;ラテン語に由来する語で、以下の2つの要素から成る。
&lt;span class="spacer"&gt;&lt;/span&gt;sub（下に）
ferre（運ぶ）
&lt;span class="spacer"&gt;&lt;/span&gt;このまま日本語にすると「下に運ぶ」となる。もともとは、物理的に重いものがのしかかることを表したが、そこからその苦しみの表現へ発展し、苦痛を受けて「苦しむ」や病気を「患う」という意味になった。
&lt;div class="sample_image suffer"&gt;&lt;/div&gt;&lt;/span&gt;</t>
  </si>
  <si>
    <t>sub（下から）+ferre（運ぶ）
sufferre（下に運ぶ, 受ける, 耐える）</t>
  </si>
  <si>
    <t>&lt;span class="w"&gt;&lt;b&gt;【312.engage：～を従事させる, ～を雇う】&lt;/b&gt;&lt;/span&gt;
&lt;span class="ml"&gt;古フランス語のフレーズen（中に）＋gage（誓い）に由来する。
&lt;span class="spacer"&gt;&lt;/span&gt;この語の核は「誓いの中に相手を置いて縛り付け、何かをさせる」。契約（誓い）によって労働させることから「雇う」という意味になる。また誓い自体よりも何かをさせるということに重点が置かれて、何かに「従事させる」という意味になる。&lt;/span&gt;</t>
  </si>
  <si>
    <t>&lt;span class="w"&gt;&lt;b&gt;【336.complain：不平不満を言う, 苦痛や不調を訴える】&lt;/b&gt;&lt;/span&gt;
&lt;span class="ml"&gt;ラテン語に由来する語で、以下の2つの要素から成る。
&lt;span class="spacer"&gt;&lt;/span&gt;com（強意）
plangere（打つ, 胸を打つ）
&lt;span class="spacer"&gt;&lt;/span&gt;このまま日本語にすると「強く胸を打つ」となる。古代ギリシャや古代ローマでは、深い悲しみや嘆きの表現方法として、自分の胸を強く打ついう風習があった。ここから何かを嘆き悲しむという意味になる。
&lt;span class="spacer"&gt;&lt;/span&gt;しかし時代を経るにつれて、complainは、深い悲しみや嘆きというやり場のない感情表現から、苦痛や不満の表現へと変化する。こうして「不平不満を言う, 苦痛や不調を訴える」という意味になる。
&lt;div class="sample_image complain"&gt;&lt;/div&gt;&lt;/span&gt;</t>
  </si>
  <si>
    <t>&lt;span class="w"&gt;&lt;b&gt;【1.a piece of 不可算名詞：ひとつの～, ～のひとつ】&lt;/b&gt;&lt;/span&gt;
&lt;span class="ml"&gt;&lt;span class="explanation_tag"&gt;イメージ&lt;/span&gt;
パズルのピースと同じで「全体をの中のひとつ」というイメージ。&lt;/span&gt;</t>
    <phoneticPr fontId="1"/>
  </si>
  <si>
    <t>&lt;span class="w"&gt;&lt;b&gt;【8.in time：間に合って, やがて, そのうち】&lt;/b&gt;&lt;/span&gt;
&lt;span class="ml"&gt;&lt;span class="explanation_tag"&gt;イメージ&lt;/span&gt;
inは範囲を表す。予定時刻があり、それまでの一定の時間内だと「間に合って」という意味になる。
&lt;span class="spacer"&gt;&lt;/span&gt;ある時点から先の一定の時間内という場合は「やがて, そのうち」という意味になる。&lt;/span&gt;</t>
    <phoneticPr fontId="1"/>
  </si>
  <si>
    <t>&lt;span class="w"&gt;&lt;b&gt;【9.in fashion：流行して】&lt;/b&gt;&lt;/span&gt;
&lt;span class="ml"&gt;&lt;span class="explanation_tag"&gt;語源&lt;/span&gt;
fashionは、ラテン語facere（行う, 作る）が名詞になって「やり方, 作り方」という意味になった。日本語でもオールドファッションという言葉があるが、これは、昔ながらのやり方・作り方という意味。
&lt;span class="spacer"&gt;&lt;/span&gt;その後15世紀になると、上流階級において、多くの人がする服装や装飾のやり方を指すようになり、そこから「流行」という意味に発展した。
&lt;span class="spacer"&gt;&lt;/span&gt;&lt;span class="explanation_tag"&gt;イメージ&lt;/span&gt;
［in fashion］は、まさに流行の中にあるというイメージから「流行して」という意味になる。
&lt;span class="spacer"&gt;&lt;/span&gt;&lt;span class="explanation_tag"&gt;補足&lt;/span&gt;
in fashionの反対は、out of fashion（流行遅れで）となる。流行（fashion）の（of）外（out）と考えればよい。&lt;/span&gt;</t>
    <phoneticPr fontId="1"/>
  </si>
  <si>
    <t>&lt;span class="w"&gt;&lt;b&gt;【10.on time：時間通りに】&lt;/b&gt;&lt;/span&gt;
&lt;span class="ml"&gt;&lt;span class="explanation_tag"&gt;イメージ&lt;/span&gt;
onは接触を表す。時刻を数直線上で表し、予定時刻の上に乗るイメージから「時間通りに」という意味になる。&lt;/span&gt;</t>
    <phoneticPr fontId="1"/>
  </si>
  <si>
    <t>&lt;span class="w"&gt;&lt;b&gt;【11.on duty：当番で, 勤務時間中で】&lt;/b&gt;&lt;/span&gt;
&lt;span class="ml"&gt;&lt;span class="explanation_tag"&gt;語源&lt;/span&gt;
dutyは、ラテン語de（離れて）と、habere（持つ）が合わさってできた語。本来の持ち主から離れて持っている、つまり何かを借りている状態であることから、返却すべきであるという義務へと発展した。
&lt;span class="spacer"&gt;&lt;/span&gt;その義務感から、広い意味で何かをすべき「義務」、自分がなすべき「職務」、何かをすべき状態であることを表す「当番, 職務中」という意味になった。
&lt;span class="spacer"&gt;&lt;/span&gt;&lt;span class="explanation_tag"&gt;イメージ&lt;/span&gt;
duty（義務, 当番, 職務）の上にいる（on）という意味で「当番で, 勤務中で」という意味になる。&lt;/span&gt;</t>
    <phoneticPr fontId="1"/>
  </si>
  <si>
    <t>&lt;span class="w"&gt;&lt;b&gt;【12.on schedule：予定通りで, 定時に】&lt;/b&gt;&lt;/span&gt;
&lt;span class="ml"&gt;&lt;span class="explanation_tag"&gt;イメージ&lt;/span&gt;
スケジュールの上（on）を進行しているというイメージから「予定通りで, 定時に」という意味になる。&lt;/span&gt;</t>
    <phoneticPr fontId="1"/>
  </si>
  <si>
    <t>&lt;span class="w"&gt;&lt;b&gt;【14.be aware of ~：～に気づいている, ～を知っている】&lt;/b&gt;&lt;/span&gt;
&lt;span class="ml"&gt;&lt;span class="explanation_tag"&gt;語源&lt;/span&gt;
awareは、印欧祖語の語根*wer-（注意深く見る）にさかのぼり、もともとは「注意を向けている状態」を表した。
&lt;span class="spacer"&gt;&lt;/span&gt;&lt;span class="explanation_tag"&gt;イメージ&lt;/span&gt;
［S be aware of A］は、Aに注意が向いている、つまり「Aがしっかりと意識の上にある」というイメージになる。そこから「SはAに気づいている」や「SはAを知っている」という日本語訳になる。&lt;/span&gt;</t>
    <phoneticPr fontId="1"/>
  </si>
  <si>
    <t>&lt;span class="w"&gt;&lt;b&gt;【15.be made of A：Aでできている】&lt;/b&gt;&lt;/span&gt;
&lt;span class="ml"&gt;&lt;span class="explanation_tag"&gt;イメージ&lt;/span&gt;
of Aは、Aが質的に変化していない（＝完成品がAという素材そのもの）のときに使われる。例えば「木でできている机」は完成品である机が木という素材感を残している。
&lt;span class="spacer"&gt;&lt;/span&gt;日本語では「〜でできている」という素材を示すイメージとなる。&lt;/span&gt;
&lt;span class="spacer"&gt;&lt;/span&gt;&lt;span class="w"&gt;&lt;b&gt;【be made from A：Aからできている】&lt;/b&gt;&lt;/span&gt;
&lt;span class="ml"&gt;&lt;span class="explanation_tag"&gt;イメージ&lt;/span&gt;
from Aは、Aが質的に変化している。例えば「チーズはミルクからつくられる」はチーズは牛乳そのものとは言えない。
&lt;span class="spacer"&gt;&lt;/span&gt;日本語では「〜からできている」という原料を示すイメージとなる。&lt;/span&gt;</t>
    <phoneticPr fontId="1"/>
  </si>
  <si>
    <t>&lt;span class="w"&gt;&lt;b&gt;【17.be afraid of ~：～を恐れる, ～を心配している】&lt;/b&gt;&lt;/span&gt;
&lt;span class="ml"&gt;&lt;span class="explanation_tag"&gt;語源&lt;/span&gt;
afraidは、a＋fraidから成る語。aはラテン語ex（外へ）に、fraidは印欧祖語*pri-（友好, 平和）に由来する。2つを合わせると「友好や平和の外」となり、そこから、何が起こるかわからない、危険がある状態だから「恐ろしい, 心配な」という意味になる。
&lt;span class="spacer"&gt;&lt;/span&gt;&lt;span class="explanation_tag"&gt;関連語&lt;/span&gt;
印欧祖語*pri-（友好, 平和）からは、friend（友人, 友好的な人）も生まれている。
&lt;span class="spacer"&gt;&lt;/span&gt;&lt;span class="explanation_tag"&gt;イメージ&lt;/span&gt;
語源的に考えれば、afraidのfraidと、friendは兄弟関係と言える。そのためafraidは、フレンド（友好関係）の外（a）だから「恐れている」というイメージで覚えればよい。&lt;/span&gt;</t>
    <phoneticPr fontId="1"/>
  </si>
  <si>
    <t>&lt;span class="w"&gt;&lt;b&gt;【19.be composed of ~：～で構成されている】&lt;/b&gt;&lt;/span&gt;
&lt;span class="ml"&gt;&lt;span class="explanation_tag"&gt;語源&lt;/span&gt;
composeは、ラテン語com（共に）と、ponere（置く）が合わさってできた語。複数のものを一緒に置いてひとつにすることから「構成する」という意味になる。
&lt;span class="spacer"&gt;&lt;/span&gt;&lt;span class="explanation_tag"&gt;イメージ&lt;/span&gt;
composeを使った受け身の表現なので「構成されている」となる。ofは構成要素を示すが、これはbe made ofと同じだと考えればよい。&lt;/span&gt;</t>
    <phoneticPr fontId="1"/>
  </si>
  <si>
    <t>&lt;span class="w"&gt;&lt;b&gt;【21.be different from ~：～とは違っている】&lt;/b&gt;&lt;/span&gt;
&lt;span class="ml"&gt;&lt;span class="explanation_tag"&gt;語源&lt;/span&gt;
differentは、ラテン語のdis（離れて）と、ferre（運ぶ）が合わさってできた語。あるものを離れたところに運んで差別化することから「違う, 異なる」という意味になる。
&lt;span class="spacer"&gt;&lt;/span&gt;［A is different from B］は、AがBから離れたところに運ばれているというイメージで「AはBと違っている」という意味になる。
&lt;span class="spacer"&gt;&lt;/span&gt;&lt;span class="explanation_tag"&gt;補足&lt;/span&gt;
differentの反対のindifferent（無関心な）は、［A is indifferent to B］となる。fromに対してtoを使うところも反対になっている。&lt;/span&gt;</t>
    <phoneticPr fontId="1"/>
  </si>
  <si>
    <t>&lt;span class="w"&gt;&lt;b&gt;【23.be engaged in ~：～に従事している, 忙しく～している】&lt;/b&gt;&lt;/span&gt;
&lt;span class="ml"&gt;&lt;span class="explanation_tag"&gt;語源&lt;/span&gt;
engageは、古フランス語のフレーズen gage（誓いの中に）に由来する。誓いの中に相手を置いて縛り付け、何かに関与させることから、何かに「従事させる」という意味になった。
&lt;span class="spacer"&gt;&lt;/span&gt;&lt;span class="explanation_tag"&gt;イメージ&lt;/span&gt;
engage（従事させる）の受け身なので「従事している」という状態を表す。何に従事しているかはinを使って示す。
&lt;span class="spacer"&gt;&lt;/span&gt;&lt;span class="explanation_tag"&gt;補足&lt;/span&gt;
［S be engaged in A］は、すでにAに縛り付けられている・没頭中である感じ。
He is engaged in the secret project.
彼はその秘密のプロジェクトに従事していた。
&lt;span class="spacer"&gt;&lt;/span&gt;［S engage in A］は、Aという活動へ自ら入っていく感じ。
He engaged in the secret project.
彼はその秘密のプロジェクトに参加した。&lt;/span&gt;</t>
    <phoneticPr fontId="1"/>
  </si>
  <si>
    <t>&lt;span class="w"&gt;&lt;b&gt;【24.be responsible for 物事 / to 人：～に責任がある】&lt;/b&gt;&lt;/span&gt;
&lt;span class="ml"&gt;&lt;span class="explanation_tag"&gt;語源&lt;/span&gt;
responsibleは、相手の問いかけに対して当然応答する（respond）べきであるというニュアンスから発展して、一般的に「何かに対して責任がある」という意味になった。&lt;/span&gt;</t>
    <phoneticPr fontId="1"/>
  </si>
  <si>
    <t>&lt;span class="w"&gt;&lt;b&gt;【25.be married（to ~）：（〜と）結婚している】&lt;/b&gt;&lt;/span&gt;
&lt;span class="ml"&gt;marriedは「結婚している」という過去分詞形容詞。&lt;/span&gt;</t>
    <phoneticPr fontId="1"/>
  </si>
  <si>
    <t>&lt;span class="w"&gt;&lt;b&gt;【26.be satisfied with ~：～に満足している】&lt;/b&gt;&lt;/span&gt;
&lt;span class="ml"&gt;&lt;span class="explanation_tag"&gt;語源&lt;/span&gt;
satisfy（満足させる）は、ラテン語satis（十分に）と、facere（する, 作る）が合わさってできた語。十分な状態にすることから「満足させる」という意味になる。
&lt;span class="spacer"&gt;&lt;/span&gt;&lt;span class="explanation_tag"&gt;イメージ&lt;/span&gt;
satisfy（満足させる）の過去分詞形容詞satisfiedは「満足している」という意味になる。何で満たされているかをwithで示す。&lt;/span&gt;</t>
    <phoneticPr fontId="1"/>
  </si>
  <si>
    <t>&lt;span class="w"&gt;&lt;b&gt;【27.be curious about ~：～を知りたがる, ～に好奇心が強い】&lt;/b&gt;&lt;/span&gt;
&lt;span class="ml"&gt;&lt;span class="explanation_tag"&gt;補足&lt;/span&gt;
curiousは、ラテン語cura（注意, 心配）と、ous（形容詞化：〜に満ちている）が合わさってできた語。何かに関する注意で満ちている状態を表すことから、気持ちが対象でいっぱいになって「好奇心が強い」や「知りたがっている」という意味になる。&lt;/span&gt;</t>
    <phoneticPr fontId="1"/>
  </si>
  <si>
    <t>&lt;span class="w"&gt;&lt;b&gt;【28.be well off：裕福である】&lt;/b&gt;&lt;/span&gt;
&lt;span class="ml"&gt;&lt;span class="explanation_tag"&gt;語源&lt;/span&gt;
形容詞wellには、1200年頃に「幸運な, 恵まれた」という意味があった。この表現のwellはその名残り。そしてoffは「分離」を表す。
&lt;span class="spacer"&gt;&lt;/span&gt;&lt;span class="explanation_tag"&gt;イメージ&lt;/span&gt;
［be well off］は、ある状態から離れ（off）て、恵まれた（well）状態にある（be）というイメージ。そこから「裕福である」という意味になる。
&lt;span class="spacer"&gt;&lt;/span&gt;［be well off］の反対は［be bad / badly off］で「貧しい, 状況が悪い」といった意味になる。&lt;/span&gt;</t>
    <phoneticPr fontId="1"/>
  </si>
  <si>
    <t>&lt;span class="w"&gt;&lt;b&gt;【29.be likely to do ~：～しそうである】&lt;/b&gt;&lt;/span&gt;
&lt;span class="ml"&gt;&lt;span class="explanation_tag"&gt;イメージ&lt;/span&gt;
likelyは、前置詞like（〜のように）と関係している。あることが「真実や事実のような」というイメージから「実際にありそうな」という意味になる。
&lt;span class="spacer"&gt;&lt;/span&gt;［be likely to do］は、to do（〜すること）が実際にありそう、つまり「〜しそうである」という意味になる。&lt;/span&gt;</t>
    <phoneticPr fontId="1"/>
  </si>
  <si>
    <t>&lt;span class="w"&gt;&lt;b&gt;【30.be willing to do ~：～するのをいとわない】&lt;/b&gt;&lt;/span&gt;
&lt;span class="ml"&gt;&lt;span class="explanation_tag"&gt;語源&lt;/span&gt;
willと聞くと助動詞が思い浮かぶが、もともとは古英語の動詞willan（望む, したいと思う）という願望や意志を表す言葉だった。
&lt;span class="spacer"&gt;&lt;/span&gt;willingは、この動詞willの現在分詞で、「意思を持っている状態, 望んでいる状態」を表す。
&lt;span class="spacer"&gt;&lt;/span&gt;&lt;span class="explanation_tag"&gt;イメージ&lt;/span&gt;
［be willing to do］は、何かをすること（to do）に対して、前向きな意志を持っている（be willing）イメージ。そこから「〜することをいとわない」という意味になる。&lt;/span&gt;</t>
    <phoneticPr fontId="1"/>
  </si>
  <si>
    <t>&lt;span class="w"&gt;&lt;b&gt;【32.lead to ~：～を引き起こす, ～へ通じる】&lt;/b&gt;&lt;/span&gt;
&lt;span class="ml"&gt;&lt;span class="explanation_tag"&gt;イメージ&lt;/span&gt;
leadは「〜へ導く, つながる」という意味。
［lead to 結果］で、その結果を「引き起こす」、その結果へ「通じる」という意味になる。&lt;/span&gt;</t>
    <phoneticPr fontId="1"/>
  </si>
  <si>
    <t>&lt;span class="w"&gt;&lt;b&gt;【33.refer to ~：～に言及する, ～を参照する】&lt;/b&gt;&lt;/span&gt;
&lt;span class="ml"&gt;&lt;span class="explanation_tag"&gt;語源&lt;/span&gt;
referは、ラテン語re（再び）とfer（運ぶ）が合わさってできた語。「何かを運んで元の場所に戻る」が核となる。
&lt;span class="spacer"&gt;&lt;/span&gt;&lt;span class="explanation_tag"&gt;イメージ&lt;/span&gt;
今のようにネットがなく本が貴重だった時代は、書物がある場所へ人を行かせ、そこに書かれた情報を持ち帰らせた。そこからtoで向かうべき情報源を示し、［refer to］で「～を参照する」という意味になる。
&lt;span class="spacer"&gt;&lt;/span&gt;また、実際に何かを取り行って元の場所に戻るという物理的な移動から、比喩的に、話の流れの中である話題へ立ち寄ること、すなわち「言及する」という意味になる。&lt;/span&gt;</t>
    <phoneticPr fontId="1"/>
  </si>
  <si>
    <t>&lt;span class="w"&gt;&lt;b&gt;【34.contribute to ~：～の一因となる, ～に貢献する, ～に寄付する】&lt;/b&gt;&lt;/span&gt;
&lt;span class="ml"&gt;&lt;span class="explanation_tag"&gt;語源&lt;/span&gt;
contributeは、ラテン語con（共に）と、tribuere（割り当てる）が合わさってできた語。他の人や物と一緒になって何かを与えることから「一因となる, 貢献する, 寄付する」といった意味になる。与える対象はtoで示す。
&lt;span class="spacer"&gt;&lt;/span&gt;&lt;span class="explanation_tag"&gt;イメージ&lt;/span&gt;
［contribute to 結果］なら他の原因と一緒になって結果に至ることから「〜の一因となる, 〜に貢献する」となる。
&lt;span class="spacer"&gt;&lt;/span&gt;また他の人と一緒にお金や物を与えるなら「寄付する」という意味になる。&lt;/span&gt;</t>
    <phoneticPr fontId="1"/>
  </si>
  <si>
    <t>&lt;span class="w"&gt;&lt;b&gt;【36.depend on / upon ~：～に頼る, ～次第である】&lt;/b&gt;&lt;/span&gt;
&lt;span class="ml"&gt;&lt;span class="explanation_tag"&gt;語源&lt;/span&gt;
dependは、ラテン語de（下に）と、pendere（吊るす）が合わさってできた語。対象にぶら下がるということから、何かに「頼る, 依存する, 次第である」という意味になる。
&lt;span class="spacer"&gt;&lt;/span&gt;&lt;span class="explanation_tag"&gt;イメージ&lt;/span&gt;
［depend on 対象］で、対象にぶら下がっている、つまり対象に「依存している」や対象「次第である」という意味になる。
&lt;span class="spacer"&gt;&lt;/span&gt;on/uponは接触を意味し、ぶら下がる対象を示す。&lt;/span&gt;</t>
    <phoneticPr fontId="1"/>
  </si>
  <si>
    <t>&lt;span class="w"&gt;&lt;b&gt;【38.rely on / upon ~：～に頼る】&lt;/b&gt;&lt;/span&gt;
&lt;span class="ml"&gt;relyは、ラテン語re（強意）と、ligere（結ぶ）が合わさってできた語。何かにしっかりと結びついてそれを支えとすることから「頼る」という意味になる。
&lt;span class="spacer"&gt;&lt;/span&gt;on/uponは接触を意味し、結びつく対象を示す。
&lt;span class="spacer"&gt;&lt;/span&gt;&lt;span class="explanation_tag"&gt;イメージ&lt;/span&gt;
［rely on 対象］で、信頼や自信をもって対象にしっかり結びついて支えにする、つまり対象に「頼る」という意味になる。&lt;/span&gt;</t>
    <phoneticPr fontId="1"/>
  </si>
  <si>
    <t>&lt;span class="w"&gt;&lt;b&gt;【39.get on ~：～に乗る, 仲良くやっていく】&lt;/b&gt;&lt;/span&gt;
&lt;span class="ml"&gt;&lt;span class="explanation_tag"&gt;イメージ&lt;/span&gt;
getは「何らかの状態になる」ことを表し、onは接触を表す。そこからget onは「何かに接触した状態になる」というイメージ。
&lt;span class="spacer"&gt;&lt;/span&gt;［get on 乗り物］なら、乗り物に接触した状態になることから「～に乗る」という意味になる。
&lt;span class="spacer"&gt;&lt;/span&gt;また［get on with 人］で、乗り物や流れていく時間に誰かと一緒に接触するイメージになり、Aと一緒に何かに乗って進んでいくことから「Aと仲良くやっていく」という意味になる。
&lt;span class="spacer"&gt;&lt;/span&gt;&lt;span class="explanation_tag"&gt;補足&lt;/span&gt;
［get on with 物事］で、物事を「進めていく」という意味にもなる。&lt;/span&gt;</t>
    <phoneticPr fontId="1"/>
  </si>
  <si>
    <t>&lt;span class="w"&gt;&lt;b&gt;【40.insist on / upon ~：～を主張する】&lt;/b&gt;&lt;/span&gt;
&lt;span class="ml"&gt;&lt;span class="explanation_tag"&gt;語源&lt;/span&gt;
insistは、ラテン語in（中に, 上に）と、sistere（立つ）が合わさってできた語。ある立場に立ち続けて譲らないことから、何かを強く「主張する」という意味になった。
&lt;span class="spacer"&gt;&lt;/span&gt;&lt;span class="explanation_tag"&gt;イメージ&lt;/span&gt;
［insist on 対象］で、対象の上に（on）立ち続けて譲らない、つまり対象を強く「主張する」という意味になる。&lt;/span&gt;</t>
    <phoneticPr fontId="1"/>
  </si>
  <si>
    <t>&lt;span class="w"&gt;&lt;b&gt;【42.look for ~：〜を探す】&lt;/b&gt;&lt;/span&gt;
&lt;span class="ml"&gt;&lt;span class="explanation_tag"&gt;イメージ&lt;/span&gt;
lookは視線を動かすイメージ。
lookのあとに点を示すatが続けば、視線を一点に向ける＝「見る」となる。
対象を求めるforが続けば、視線を向ける対象を求める＝「探す」という意味になる。&lt;/span&gt;</t>
    <phoneticPr fontId="1"/>
  </si>
  <si>
    <t>&lt;span class="w"&gt;&lt;b&gt;【43.search for ~：〜を捜す】&lt;/b&gt;&lt;/span&gt;
&lt;span class="ml"&gt;&lt;span class="explanation_tag"&gt;イメージ&lt;/span&gt;
searchの後に対象を求めるforが続いて、対象を「探す」という意味になる。&lt;/span&gt;</t>
    <phoneticPr fontId="1"/>
  </si>
  <si>
    <t>&lt;span class="w"&gt;&lt;b&gt;【44.prepare for ~：～の準備をする】&lt;/b&gt;&lt;/span&gt;
&lt;span class="ml"&gt;&lt;span class="explanation_tag"&gt;語源&lt;/span&gt;
prepareは、ラテン語prae（前もって）と、parare（整える）が合わさってできた語。あらかじめ何かを用意しておくことから「準備する」という意味になる。
&lt;span class="spacer"&gt;&lt;/span&gt;&lt;span class="explanation_tag"&gt;イメージ&lt;/span&gt;
［prepare for］で、何かに対して（for）前もって（pre）整える（parare）ことから「〜の準備をする」という意味になる。&lt;/span&gt;</t>
    <phoneticPr fontId="1"/>
  </si>
  <si>
    <t>&lt;span class="w"&gt;&lt;b&gt;【48.die of / from ~：〜で死ぬ】&lt;/b&gt;&lt;/span&gt;
&lt;span class="ml"&gt;&lt;span class="explanation_tag"&gt;イメージ&lt;/span&gt;
ofとfromのイメージの違いは、be made of / fromと似ている。be made ofは素材と完成品が直接結びついているイメージだが、be made fromは素材が変化して完成品になっているイメージ。
&lt;span class="spacer"&gt;&lt;/span&gt;同様に、ofは「〜で死ぬ」という直接的な原因を示し、fromは死という結果へたどり着く始まりを示す。ただし両者の使い分けは必ずしも厳密ではない。&lt;/span&gt;</t>
    <phoneticPr fontId="1"/>
  </si>
  <si>
    <t>&lt;span class="w"&gt;&lt;b&gt;【49.suffer from ~：〜で苦しむ】&lt;/b&gt;&lt;/span&gt;
&lt;span class="ml"&gt;&lt;span class="explanation_tag"&gt;語源&lt;/span&gt;
sufferは、ラテン語sub（下に）と、ferre（運ぶ）が合わさってできた語。物理的に重荷がのしかかることから、比喩的に何かに「苦しむ」という意味になった。
&lt;span class="explanation_tag"&gt;イメージ&lt;/span&gt;
［suffer from A］は、Aから（from）苦しみが運ばれてのしかかってくる（suffer）イメージで「Aで苦しむ」という意味になる。&lt;/span&gt;</t>
    <phoneticPr fontId="1"/>
  </si>
  <si>
    <t>&lt;span class="w"&gt;&lt;b&gt;【50.result from ~：〜から起こる】&lt;/b&gt;&lt;/span&gt;
&lt;span class="ml"&gt;&lt;span class="explanation_tag"&gt;語源&lt;/span&gt;
resultは、ラテン語re（戻る）＋salire（跳ぶ）が合わさってできた語。物理的に何かが跳ね返ってくることから、比喩的に、ある原因から跳ね返るようにして生じた「結果」を指すようになった。
&lt;span class="spacer"&gt;&lt;/span&gt;&lt;span class="explanation_tag"&gt;イメージ&lt;/span&gt;
［S result from A］は、SがAから飛び出てくるイメージで「〜から起こる」という意味になる。
&lt;span class="spacer"&gt;&lt;/span&gt;&lt;span class="explanation_tag"&gt;補足&lt;/span&gt;
［S result in A］は、SがAの中に飛び込んでいくイメージで「〜の結果に終わる」という意味になる。&lt;/span&gt;</t>
    <phoneticPr fontId="1"/>
  </si>
  <si>
    <t>&lt;span class="w"&gt;&lt;b&gt;【51.graduate from ~：〜から卒業する】&lt;/b&gt;&lt;/span&gt;
&lt;span class="ml"&gt;graduateは、ラテン語gradus（一歩）に由来する。学問の階段を一歩ずつ進んでいって次の段階に進むことから「学位を取得する, 卒業する」という意味になる。
&lt;span class="spacer"&gt;&lt;/span&gt;&lt;span class="explanation_tag"&gt;イメージ&lt;/span&gt;
［graduate from A］で、Aから一歩進んで次の段階に入るイメージから「〜から卒業する」という意味になる。&lt;/span&gt;</t>
    <phoneticPr fontId="1"/>
  </si>
  <si>
    <t>&lt;span class="w"&gt;&lt;b&gt;【52.differ from ~：～と異なる】&lt;/b&gt;&lt;/span&gt;
&lt;span class="ml"&gt;&lt;span class="explanation_tag"&gt;語源&lt;/span&gt;
differは、ラテン語dis（離れて）と、ferre（運ぶ）が合わさってできた語。あるものを離れたところに運んで差別化することから「異なる」という意味になる。
&lt;span class="spacer"&gt;&lt;/span&gt;&lt;span class="explanation_tag"&gt;イメージ&lt;/span&gt;
［S differ from A］で、SはAから離れたところに運ばれる、つまり「SはAと異なる」という意味になる。これはbe different from の動詞バージョンと考えればよい。&lt;/span&gt;</t>
    <phoneticPr fontId="1"/>
  </si>
  <si>
    <t>&lt;span class="w"&gt;&lt;b&gt;【53.recover from ~：～から回復する】&lt;/b&gt;&lt;/span&gt;
&lt;span class="ml"&gt;&lt;span class="explanation_tag"&gt;語源&lt;/span&gt;
recoverは、ラテン語re（再び）と、capere（取る）が合わさってできた語。何かを再び取り戻すことから「回復する」という意味になる。
&lt;span class="spacer"&gt;&lt;/span&gt;&lt;span class="explanation_tag"&gt;イメージ&lt;/span&gt;
［recover from A］で、「Aから回復する」という意味になる。&lt;/span&gt;</t>
    <phoneticPr fontId="1"/>
  </si>
  <si>
    <t>&lt;span class="w"&gt;&lt;b&gt;【54.hear from ~：～から便りがある】&lt;/b&gt;&lt;/span&gt;
&lt;span class="ml"&gt;&lt;span class="explanation_tag"&gt;イメージ&lt;/span&gt;
［hear from A］は、直訳すると「〜から聞く」となる。これは、Aから言葉が届くというイメージをもてばよい。&lt;/span&gt;</t>
    <phoneticPr fontId="1"/>
  </si>
  <si>
    <t>&lt;span class="w"&gt;&lt;b&gt;【55.believe in ~：～を信じる】&lt;/b&gt;&lt;/span&gt;
&lt;span class="ml"&gt;&lt;span class="explanation_tag"&gt;イメージ&lt;/span&gt;
in（〜の中）は、信じる対象全体を示す。
［believe in A］は、Aという存在・価値・性格・能力などを丸ごと信じるというイメージ。
［believe A］は、Aの発言・言葉を信じるというイメージ。
&lt;span class="spacer"&gt;&lt;/span&gt;［Believe in me.］は、私という人間全体を信じてくれ。
［Believe me.］は、私の言葉を信じてくれ。これは、listen to me.（私の言うことを聞いて）と同じ。&lt;/span&gt;</t>
    <phoneticPr fontId="1"/>
  </si>
  <si>
    <t>&lt;span class="w"&gt;&lt;b&gt;【56.succeed in ~：～に成功する】&lt;/b&gt;&lt;/span&gt;
&lt;span class="ml"&gt;&lt;span class="explanation_tag"&gt;語源&lt;/span&gt;
succeedは、ラテン語sub（下に, 後に）と、cedere（行く, 進む）が合わさってできた語。後に続いて進んでいくことから「跡を継ぐ」や、行為の後に続く結果、特に「成功する」を意味するようになった。
&lt;span class="spacer"&gt;&lt;/span&gt;&lt;span class="explanation_tag"&gt;イメージ&lt;/span&gt;
［S succeed in A］は、SがAという範囲において「成功する」という意味になる。
&lt;span class="spacer"&gt;&lt;/span&gt;&lt;span class="explanation_tag"&gt;補足&lt;/span&gt;
［S succeed to A］は、Sが後に続いていってAに至ることを表して、「Aの跡を継ぐ」という意味になる。&lt;/span&gt;</t>
    <phoneticPr fontId="1"/>
  </si>
  <si>
    <t>&lt;span class="w"&gt;&lt;b&gt;【57.major in ~：（大学生が）～を専攻する】&lt;/b&gt;&lt;/span&gt;
&lt;span class="ml"&gt;&lt;span class="explanation_tag"&gt;イメージ&lt;/span&gt;
majorは、形容詞では「より大きい, より重要な」を意味する。そこから、学生が自分の学生生活の大部分を割り当てるものとして、名詞で「専門分野」、動詞で「専門にする, 専攻する」という意味になる。
&lt;span class="spacer"&gt;&lt;/span&gt;［major in A］で、Aという範囲を専門とすることから「Aを専攻する」という意味になる。&lt;/span&gt;</t>
    <phoneticPr fontId="1"/>
  </si>
  <si>
    <t>&lt;span class="w"&gt;&lt;b&gt;【59.care about ~：～を気にかける】&lt;/b&gt;&lt;/span&gt;
&lt;span class="ml"&gt;&lt;span class="explanation_tag"&gt;イメージ&lt;/span&gt;
日本語のケアする＝気にかけると同じ。aboutで何について気にかけるかを示す。&lt;/span&gt;</t>
    <phoneticPr fontId="1"/>
  </si>
  <si>
    <t>&lt;span class="w"&gt;&lt;b&gt;【62.go through ~：～を通過する, 〜を経験する】&lt;/b&gt;&lt;/span&gt;
&lt;span class="ml"&gt;&lt;span class="explanation_tag"&gt;イメージ&lt;/span&gt;
直訳すると「通って行く」なので「通過する」となる。また、この物理的な通過から比喩的に、人生における通過＝「経験する」という意味になる。
&lt;span class="spacer"&gt;&lt;/span&gt;他にも「見直す, 説明する, 使い切る」といった使われ方をするが、大事なのは「通って最後まで行く」というイメージ。&lt;/span&gt;</t>
  </si>
  <si>
    <t>&lt;span class="w"&gt;&lt;b&gt;【63.give up ~：～を諦める, 〜を捨てる】&lt;/b&gt;&lt;/span&gt;
&lt;span class="ml"&gt;&lt;span class="explanation_tag"&gt;イメージ&lt;/span&gt;
日本語のギブアップと同じ。「〜することを諦める」の場合はgive up &lt;strong&gt;doing&lt;/strong&gt;なので注意。&lt;/span&gt;</t>
  </si>
  <si>
    <t>&lt;span class="w"&gt;&lt;b&gt;【64.grow up：成長する, 発生する】&lt;/b&gt;&lt;/span&gt;
&lt;span class="ml"&gt;&lt;span class="explanation_tag"&gt;語源&lt;/span&gt;
&lt;strong&gt;gr&lt;/strong&gt;ow（成長する）は、印欧祖語*ghre-（成長する, 緑色になる）にさかのぼる。この印欧祖語からは&lt;strong&gt;gr&lt;/strong&gt;eenも生まれており、植物が地面から芽を出し伸びていき（up）、鮮やかな緑色になっていくことから、植物の成長を表していた。
&lt;span class="spacer"&gt;&lt;/span&gt;そこから植物に限らず。人・動物の成長、感情・関係・規模などの抽象的なものの成長も意味するようになった。
&lt;span class="spacer"&gt;&lt;/span&gt;&lt;span class="explanation_tag"&gt;イメージ&lt;/span&gt;
内部で成長して、その結果が表に現れるイメージから、問題や物事が「発生する」という意味にもなる。&lt;/span&gt;</t>
  </si>
  <si>
    <t>&lt;span class="w"&gt;&lt;b&gt;【65.pick up ~：〜を乗せる, 〜を拾う】&lt;/b&gt;&lt;/span&gt;
&lt;span class="ml"&gt;&lt;span class="spacer"&gt;&lt;/span&gt;&lt;span class="explanation_tag"&gt;イメージ&lt;/span&gt;
pickは指でつまむというイメージ。up（上に）が付いて、つまみ上げる＝「拾う」という意味になる。さらに乗り物で誰かを拾う場合は「乗せる」という意味になる。&lt;/span&gt;</t>
  </si>
  <si>
    <t>&lt;span class="w"&gt;&lt;b&gt;【66.set up ~：〜を建てる, 〜を始める, 〜を創設する】&lt;/b&gt;&lt;/span&gt;
&lt;span class="ml"&gt;&lt;span class="explanation_tag"&gt;イメージ&lt;/span&gt;
何かを準備して（set）、上に（up）築き上げ、しっかり機能するようにして完成させるイメージ。
&lt;span class="spacer"&gt;&lt;/span&gt;会社・制度・組織などをset upするなら、立ち上げて機能させることから「創設する」という意味になる。
&lt;span class="spacer"&gt;&lt;/span&gt;テント・シェルターなどを準備して築き上げることから「建てる」という意味になる。
&lt;span class="spacer"&gt;&lt;/span&gt;システム・ビジネスなどの土台を準備して機能するようにすることから「始める」という意味になる。
&lt;span class="spacer"&gt;&lt;/span&gt;繰り返しになるが、重要なのは「何かを準備して（set）、上に（up）築き上げ、しっかり機能するようにして完成させる」というイメージ。ここから様々な訳になる。&lt;/span&gt;</t>
  </si>
  <si>
    <t>&lt;span class="w"&gt;&lt;b&gt;【67.wake up (~)：目が覚める, 目を覚まさせる】&lt;/b&gt;&lt;/span&gt;
&lt;span class="ml"&gt;&lt;span class="explanation_tag"&gt;イメージ&lt;/span&gt;
wakeは目を覚ます、覚まさせるという覚醒を表す。upは起き上がって活動に入るイメージ。&lt;/span&gt;</t>
  </si>
  <si>
    <t>&lt;span class="w"&gt;&lt;b&gt;【68.brush up (on ~)：やり直して磨きをかける】&lt;/b&gt;&lt;/span&gt;
&lt;span class="ml"&gt;&lt;span class="explanation_tag"&gt;イメージ&lt;/span&gt;
名詞brush（ブラシ）から派生した動詞brushは、ブラシをかけて綺麗に磨くというイメージ。upは、上にあがって頂上に到達して完全になる感じ。そこからbrush upは、既にあるものをより良い状態に「磨きをかける」という意味になる。&lt;/span&gt;</t>
  </si>
  <si>
    <t>&lt;span class="w"&gt;&lt;b&gt;【69.find out ~：（調査により）を見つけ出す, （真相）を知る】&lt;/b&gt;&lt;/span&gt;
&lt;span class="ml"&gt;&lt;span class="explanation_tag"&gt;イメージ&lt;/span&gt;
find outは、隠れていたことを外に出して（out）明らかにするというイメージ。&lt;/span&gt;</t>
  </si>
  <si>
    <t>&lt;span class="w"&gt;&lt;b&gt;【70.carry out ~：〜を実行する】&lt;/b&gt;&lt;/span&gt;
&lt;span class="ml"&gt;carry outは、頭の中の考えや計画を外に運び出す＝実行するというイメージ。
&lt;span class="spacer"&gt;&lt;/span&gt;&lt;span class="explanation_tag"&gt;語源&lt;/span&gt;
carryは、ラテン語carrum（二輪の戦車）に由来する。もともとは車両で何かを運ぶことを表したが、そこから車両に限らず、一般的に何かを「運ぶ」という行為を意味するようになった。
&lt;span class="explanation_tag"&gt;イメージ&lt;/span&gt;
carry outは、運んで（carry）完全に外に出す（out）イメージから、何かを「遂行する, 実行する」という意味になる。
&lt;span class="spacer"&gt;&lt;/span&gt;&lt;span class="explanation_tag"&gt;補足&lt;/span&gt;
ラテン語carrumからは、以下の語も生まれている。
car（車）
charge（責任, サービスの料金）&lt;/span&gt;</t>
  </si>
  <si>
    <t>&lt;span class="w"&gt;&lt;b&gt;【71.point out ~：〜を指摘する】&lt;/b&gt;&lt;/span&gt;
&lt;span class="ml"&gt;&lt;span class="explanation_tag"&gt;イメージ&lt;/span&gt;
point outは、相手が気づいていないポイントや隠れているポイントを指差して外に出し、明らかにするイメージ。そこから「指摘する」という意味になる。&lt;/span&gt;</t>
  </si>
  <si>
    <t>&lt;span class="w"&gt;&lt;b&gt;【75.pick out ~：〜を選び出す】&lt;/b&gt;&lt;/span&gt;
&lt;span class="ml"&gt;&lt;span class="explanation_tag"&gt;イメージ&lt;/span&gt;
指でつまんで（pick）外に出す（out）ことから、選択肢の中から「選び出す」という意味になる。&lt;/span&gt;</t>
  </si>
  <si>
    <t>&lt;span class="w"&gt;&lt;b&gt;【76.put on ~：〜を身につける, （電気など）をつける】&lt;/b&gt;&lt;/span&gt;
&lt;span class="ml"&gt;&lt;span class="explanation_tag"&gt;イメージ&lt;/span&gt;
put onは何かの表面に置くイメージ。ここから様々な使い方をされる。
&lt;span class="spacer"&gt;&lt;/span&gt;身体の上に衣服や装飾を置くなら「身につける」となる。システムなどを作動状態にのせるなら「（電気など）をつける」となる。
&lt;span class="spacer"&gt;&lt;/span&gt;また本来とは違う様子を自分自身にのせるなら「ふりをする」となり、体重が自分の体にのるなら「体重が増える」となる。
&lt;span class="spacer"&gt;&lt;/span&gt;とにかく何かの表面に接触させて置く、何かの上に置くというイメージが大切。&lt;/span&gt;</t>
  </si>
  <si>
    <t>&lt;span class="w"&gt;&lt;b&gt;【78.try on ~：〜を試着する】&lt;/b&gt;&lt;/span&gt;
&lt;span class="ml"&gt;&lt;span class="explanation_tag"&gt;イメージ&lt;/span&gt;
try onは、試しに（try）身につける（on）から「試着する」と考える。&lt;/span&gt;</t>
  </si>
  <si>
    <t>&lt;span class="w"&gt;&lt;b&gt;【79.turn on ~：（オン側に）する】&lt;/b&gt;&lt;/span&gt;
&lt;span class="ml"&gt;&lt;span class="explanation_tag"&gt;イメージ&lt;/span&gt;
turnは、向きを変えるというイメージ。onとoffがあるものをon側に向かせることから「（スイッチなど）をつける, 水を出す」という意味になる。&lt;/span&gt;</t>
  </si>
  <si>
    <t>&lt;span class="w"&gt;&lt;b&gt;【80.turn off ~：（オフ側に）する】&lt;/b&gt;&lt;/span&gt;
&lt;span class="ml"&gt;&lt;span class="explanation_tag"&gt;イメージ&lt;/span&gt;
turnは、向きを変えるというイメージ。onとoffがあるものをoff側に向かせることから「（スイッチなど）を消す, 水を止める」という意味になる。&lt;/span&gt;</t>
  </si>
  <si>
    <t>&lt;span class="w"&gt;&lt;b&gt;【81.take off ~：〜を脱ぐ, 〜を取り除く, 離陸する, 〜を休暇として取る】&lt;/b&gt;&lt;/span&gt;
&lt;span class="ml"&gt;&lt;span class="explanation_tag"&gt;イメージ&lt;/span&gt;
takeは「対象をグッとつかむ」イメージで、offは「分離」を表す。つまりtake offは、何かをつかんでそこから離すイメージとなる。
&lt;span class="spacer"&gt;&lt;/span&gt;服をつかんで離すなら「脱ぐ」となり、物をつかんで離すなら「取り除く」という意味になる。
&lt;span class="spacer"&gt;&lt;/span&gt;飛行機などが（まるでつかまれて）地面から離れる様子は「離陸する」という意味になる。
&lt;span class="spacer"&gt;&lt;/span&gt;日常のルーティンや仕事のスケジュールなどから、ある一定の期間を取って離すなら、その期間を「休みとして取る」という意味になる。
&lt;span class="spacer"&gt;&lt;/span&gt;このように様々な使われ方があるため、核となる「つかんで離す」というイメージから意味を持っておくとよい。&lt;/span&gt;</t>
  </si>
  <si>
    <t>&lt;span class="w"&gt;&lt;b&gt;【82.get along：暮らす, （なんとか）やっていく, （with 相手）仲良くやっていく, 進展する】&lt;/b&gt;&lt;/span&gt;
&lt;span class="ml"&gt;&lt;span class="explanation_tag"&gt;イメージ&lt;/span&gt;
getは「ある状態になる」ことを表し、alongは「長いラインに沿って途絶えることなく進み続ける」というイメージ。そこからget alongは、今の状態のまま途切れることなく、スムーズに進んでいくことを表して「暮らす, （なんとか）やっていく, 仲良くやっていく, 進展する」といった意味になる。&lt;/span&gt;</t>
  </si>
  <si>
    <t>&lt;span class="w"&gt;&lt;b&gt;【83.get together：集まる, （get O together）〜を集める】&lt;/b&gt;&lt;/span&gt;
&lt;span class="ml"&gt;&lt;span class="explanation_tag"&gt;イメージ&lt;/span&gt;
getは「ある状態になる」ことを表す。バラバラなものが一緒に（together）なる（get）ことから「集まる, 集める」という意味になる。&lt;/span&gt;</t>
  </si>
  <si>
    <t>&lt;span class="w"&gt;&lt;b&gt;【84.calm down：落ち着く, 落ち着かせる】&lt;/b&gt;&lt;/span&gt;
&lt;span class="ml"&gt;&lt;span class="explanation_tag"&gt;語源&lt;/span&gt;
calmは、後期ラテン語cauma（真昼の太陽の熱＝全てのものが休み静止する時間）に由来する。真昼の最も暑い時間帯は活動を控えて休むことから、動きがない穏やかな状態を表すようになった。
&lt;span class="spacer"&gt;&lt;/span&gt;&lt;span class="explanation_tag"&gt;イメージ&lt;/span&gt;
calm downは、calm（穏やかにする）と、downという沈静化のイメージが組み合わさって、荒れた心・状態・自然などに関して「落ち着く, 落ち着かせる」という意味になる。&lt;/span&gt;</t>
  </si>
  <si>
    <t>&lt;span class="w"&gt;&lt;b&gt;【87.take place：起こる, 開催される】&lt;/b&gt;&lt;/span&gt;
&lt;span class="ml"&gt;&lt;span class="explanation_tag"&gt;イメージ&lt;/span&gt;
ある出来事が、現実世界の中に自分の場所（place）をガシッとつかむ（take）イメージから「起こる, 開催される」という意味になる。&lt;/span&gt;</t>
  </si>
  <si>
    <t>&lt;span class="w"&gt;&lt;b&gt;【86.keep doing：〜し続ける】&lt;/b&gt;&lt;/span&gt;
&lt;span class="ml"&gt;&lt;span class="explanation_tag"&gt;イメージ&lt;/span&gt;
doing（〜すること）を維持する（keep）ので「〜し続ける」という意味になる。&lt;/span&gt;</t>
    <phoneticPr fontId="1"/>
  </si>
  <si>
    <t>&lt;span class="w"&gt;&lt;b&gt;【88.play a role / part （in ~）：（〜で）役割を演じる, 果たす】&lt;/b&gt;&lt;/span&gt;
&lt;span class="ml"&gt;&lt;span class="explanation_tag"&gt;語源&lt;/span&gt;
role（役, 役割）は、古フランス語rolle（巻物）に由来する。語源としては、動詞roll（巻く）と同じ。昔は巻物に役者のセリフが書かれていたことから、roleが「役, 役割」という意味になった。
&lt;span class="spacer"&gt;&lt;/span&gt;&lt;span class="explanation_tag"&gt;イメージ&lt;/span&gt;
play a role / partが「役割を演じる, 果たす」という意味になり、inで「何において役割を果たすか」を示す。&lt;/span&gt;</t>
    <phoneticPr fontId="1"/>
  </si>
  <si>
    <t>&lt;span class="w"&gt;&lt;b&gt;【89.make sure（~）：（～を）確かめる, 確実に～する】&lt;/b&gt;&lt;/span&gt;
&lt;span class="ml"&gt;&lt;span class="explanation_tag"&gt;語源&lt;/span&gt;
sureは、ラテン語se（離れて）と、cura（心配）が合わさってできた語。心配から離れているということは、危険がなく安全なので「確信, 自信」という意味へ発展した。
&lt;span class="spacer"&gt;&lt;/span&gt;&lt;span class="explanation_tag"&gt;イメージ&lt;/span&gt;
make sureは、心配や不安から離れた状態にするというイメージで「確かめる, 確実に～する」という意味になる。
&lt;span class="explanation_tag"&gt;補足&lt;/span&gt;
make sureは、以下のように使われる。
make sure (that) S V
make sure to do
make sure of A
いずれにしてもmake sureの後に続く要素に対して、心配や不安がない状態にすることから「～を確かめる, 確実に～する」という意味になる。&lt;/span&gt;</t>
    <rPh sb="40" eb="41">
      <t>タシ</t>
    </rPh>
    <rPh sb="46" eb="48">
      <t>カクジツ</t>
    </rPh>
    <rPh sb="131" eb="132">
      <t>ゴ</t>
    </rPh>
    <rPh sb="135" eb="136">
      <t>ハナ</t>
    </rPh>
    <rPh sb="146" eb="148">
      <t>シンパイ</t>
    </rPh>
    <rPh sb="150" eb="151">
      <t>ア</t>
    </rPh>
    <rPh sb="158" eb="159">
      <t>ゴ</t>
    </rPh>
    <rPh sb="287" eb="289">
      <t>シンパイ</t>
    </rPh>
    <rPh sb="290" eb="292">
      <t>フアン</t>
    </rPh>
    <rPh sb="294" eb="295">
      <t>ハナ</t>
    </rPh>
    <rPh sb="297" eb="299">
      <t>ジョウタイ</t>
    </rPh>
    <rPh sb="311" eb="312">
      <t>タシ</t>
    </rPh>
    <rPh sb="317" eb="319">
      <t>カクジツ</t>
    </rPh>
    <rPh sb="327" eb="329">
      <t>イミ</t>
    </rPh>
    <rPh sb="385" eb="387">
      <t>イカ</t>
    </rPh>
    <rPh sb="391" eb="392">
      <t>ツカ</t>
    </rPh>
    <rPh sb="466" eb="467">
      <t>ゴ</t>
    </rPh>
    <rPh sb="468" eb="469">
      <t>ツヅ</t>
    </rPh>
    <rPh sb="470" eb="472">
      <t>ヨウソ</t>
    </rPh>
    <rPh sb="473" eb="474">
      <t>タイ</t>
    </rPh>
    <rPh sb="477" eb="479">
      <t>シンパイ</t>
    </rPh>
    <rPh sb="480" eb="482">
      <t>フアン</t>
    </rPh>
    <rPh sb="485" eb="487">
      <t>ジョウタイ</t>
    </rPh>
    <rPh sb="497" eb="498">
      <t>タシ</t>
    </rPh>
    <rPh sb="503" eb="505">
      <t>カクジツ</t>
    </rPh>
    <rPh sb="513" eb="515">
      <t>イミ</t>
    </rPh>
    <phoneticPr fontId="1"/>
  </si>
  <si>
    <t>&lt;span class="w"&gt;&lt;b&gt;【42.accord：一致, 合意, 協定】&lt;/b&gt;&lt;/span&gt;
&lt;span class="ml"&gt;ラテン語に由来する語で、以下の2つの要素から成る。
&lt;span class="spacer"&gt;&lt;/span&gt;ad（～へ）
cor（心）
&lt;span class="spacer"&gt;&lt;/span&gt;このまま日本語にすると「～へ心」となる。相手の心に自分の心を合わせるイメージから「合意, 一致」、そして合意の末に結ばれる「協定」という意味になる。
&lt;div class="sample_image accord"&gt;&lt;/div&gt;
&lt;span class="spacer"&gt;&lt;/span&gt;動詞accord（一致する）から派生したaccording to A（Aによれば, Aに従って）は以下のように考えればよい。
&lt;span class="spacer"&gt;&lt;/span&gt;①Aと一致するならB
＝AによるとB
&lt;span class="spacer"&gt;&lt;/span&gt;②Aに一致してB
＝Aに従ってB&lt;/span&gt;</t>
  </si>
  <si>
    <t>&lt;span class="w"&gt;&lt;b&gt;【96.due：予定された, （何かの）期日で, しかるべき】&lt;/b&gt;&lt;/span&gt;
&lt;span class="ml"&gt;ラテン語に由来する語で、以下の2つの要素から成る。
&lt;span class="spacer"&gt;&lt;/span&gt;dē（離れて）
habēre（持つ）
&lt;span class="spacer"&gt;&lt;/span&gt;このまま日本語にすると「離れて持つ」となる。これは誰かから何かを引き離して持っている、つまり借りている状態を表す。
&lt;span class="spacer"&gt;&lt;/span&gt;借りを返すのは当然なので、「当然何かが行われるだろう」「ある時間内に何かが行われるだろう」という感覚になる。ここから「予定された, しかるべき, 期日で」という意味になる。&lt;/span&gt;</t>
  </si>
  <si>
    <t>&lt;span class="w"&gt;&lt;b&gt;【61.deal with ~：～を扱う, 〜を対処する】&lt;/b&gt;&lt;/span&gt;
&lt;span class="ml"&gt;&lt;span class="explanation_tag"&gt;語源&lt;/span&gt;
dealは、古英語dælan（分ける, 分配する）にさかのぼる。トランプを配る人をディーラー（dealer）と呼ぶのは、ここから来ている。
&lt;span class="spacer"&gt;&lt;/span&gt;ある人たちが何かを分配するということは、当然その人たちは相互に関わりを持っている。そこから、「分配」ではなく「関わり」へと意味の焦点が移り、ある人物や物事と関わりを持つことを表すようになった。
&lt;span class="spacer"&gt;&lt;/span&gt;さらに、人物や物事と関わるとき、問題や厄介なことがあれば、それらに対して行動しなければならない。そこから、何かに関わって「扱う, 対処する」という意味になった。
&lt;span class="spacer"&gt;&lt;/span&gt;&lt;span class="explanation_tag"&gt;イメージ&lt;/span&gt;
分配する
&lt;span class="arrow"&gt;→&lt;/span&gt;分け合うのは関係者たち
&lt;span class="arrow"&gt;→&lt;/span&gt;人や物事と関係を持つ
&lt;span class="arrow"&gt;→&lt;/span&gt;関わるものに対して行動する
&lt;span class="arrow"&gt;→&lt;/span&gt;色々な人や物事を「扱う, 対処する」&lt;/span&gt;</t>
  </si>
  <si>
    <t>&lt;span class="w"&gt;&lt;b&gt;【91.make a difference：違いが生じる, 重要である】&lt;/b&gt;&lt;/span&gt;
&lt;span class="ml"&gt;&lt;span class="explanation_tag"&gt;イメージ&lt;/span&gt;
difference（違い, 差異）を作る（make）ので「違いが生じる」という意味になる。
&lt;span class="spacer"&gt;&lt;/span&gt;また［S make a difference］で、Sが違いを生むということは、Sがある場合とない場合で差が生じるということ。つまりSの存在は「重要である」という意味になる。&lt;/span&gt;</t>
  </si>
  <si>
    <t>&lt;span class="w"&gt;&lt;b&gt;【92.make a mistake：間違いをする】&lt;/b&gt;&lt;/span&gt;
&lt;span class="ml"&gt;&lt;span class="explanation_tag"&gt;イメージ&lt;/span&gt;
mistake（間違い）を作る（make）ので「間違いをする」という意味になる。&lt;/span&gt;</t>
  </si>
  <si>
    <t>&lt;span class="w"&gt;&lt;b&gt;【94.make up one's mind：決心する】&lt;/b&gt;&lt;/span&gt;
&lt;span class="ml"&gt;&lt;span class="explanation_tag"&gt;イメージ&lt;/span&gt;
その人のマインド（one's mind）を作り上げる（make up）ことから「決心する」という意味になる。&lt;/span&gt;</t>
  </si>
  <si>
    <t>&lt;span class="w"&gt;&lt;b&gt;【95.do one's best：最善を尽くす】&lt;/b&gt;&lt;/span&gt;
&lt;span class="ml"&gt;&lt;span class="explanation_tag"&gt;イメージ&lt;/span&gt;
その人のベスト（one's best）を行う（do）ことから「最善を尽くす, ベストを尽くす」という意味になる。&lt;/span&gt;</t>
  </si>
  <si>
    <t>&lt;span class="w"&gt;&lt;b&gt;【96.keep one's promise / word：約束を守る】&lt;/b&gt;&lt;/span&gt;
&lt;span class="ml"&gt;&lt;span class="explanation_tag"&gt;イメージ&lt;/span&gt;
その人の約束（one's promise / word）をキープするので「約束を守る」という意味になる。&lt;/span&gt;</t>
  </si>
  <si>
    <t>&lt;span class="w"&gt;&lt;b&gt;【97.get lost：道に迷う】&lt;/b&gt;&lt;/span&gt;
&lt;span class="ml"&gt;&lt;span class="explanation_tag"&gt;イメージ&lt;/span&gt;
getは「ある状態になる」を意味し、lost（失われた）は「見失われた, 迷子の」を意味する。そこから迷子の状態になる、すなわち「道に迷う」という意味になる。&lt;/span&gt;</t>
  </si>
  <si>
    <t>&lt;span class="w"&gt;&lt;b&gt;【98.enjoy oneself：楽しい時を過ごす】&lt;/b&gt;&lt;/span&gt;
&lt;span class="ml"&gt;&lt;span class="explanation_tag"&gt;イメージ&lt;/span&gt;
直訳すると「自分自身を楽しむ」だが、自分自身がいる場所とその時間の全体を楽しむというイメージになる。&lt;/span&gt;</t>
  </si>
  <si>
    <t>&lt;span class="w"&gt;&lt;b&gt;【99.have ~ off：〜を休みとして取る】&lt;/b&gt;&lt;/span&gt;
&lt;span class="ml"&gt;&lt;span class="explanation_tag"&gt;イメージ&lt;/span&gt;
offは「分離」を表す。日常のルーティンや仕事のスケジュールなどから、ある一定の期間を取って（have）離す（off）ことから「〜を休みとして取る」という意味になる。&lt;/span&gt;</t>
  </si>
  <si>
    <t>&lt;span class="w"&gt;&lt;b&gt;【102.look forward to 名詞 / 動名詞：〜を楽しみに待つ】&lt;/b&gt;&lt;/span&gt;
&lt;span class="ml"&gt;&lt;span class="explanation_tag"&gt;イメージ&lt;/span&gt;
［look forward］は、前方へ視線を向けることを表す。
［to 名詞］は視線の到達点＝視線が向かう対象を示す。
&lt;span class="spacer"&gt;&lt;/span&gt;［S look forward to 名詞］になると、Sは視線を前方に向け、その先にある対象（名詞）を見るというイメージになる。つまり、いま目の前にあることではなく、これから待ち受けている対象を見ていて「楽しみにしている」という意味になる。&lt;/span&gt;</t>
    <rPh sb="45" eb="48">
      <t>ドウメイシ</t>
    </rPh>
    <phoneticPr fontId="1"/>
  </si>
  <si>
    <t>&lt;span class="w"&gt;&lt;b&gt;【105.fall in love with ~：〜を大好きになる, 〜と恋に落ちる】&lt;/b&gt;&lt;/span&gt;
&lt;span class="ml"&gt;&lt;span class="explanation_tag"&gt;イメージ&lt;/span&gt;
［fall in A］は、Aの中に落ちることを表す。ここでは、落ちる対象が［love with A（Aと結びついたlove）］なので、Aが大好きという状況に落ちていくというイメージ。そこから「Aを大好きになる, Aと恋に落ちる」という意味になる。&lt;/span&gt;</t>
  </si>
  <si>
    <t>&lt;span class="w"&gt;&lt;b&gt;【107.had better do：〜した方がよい】&lt;/b&gt;&lt;/span&gt;
&lt;span class="ml"&gt;&lt;span class="explanation_tag"&gt;語源&lt;/span&gt;
&lt;strong&gt;me&lt;/strong&gt; were betere［古英語］
（it would be better for me.）
&lt;span class="spacer"&gt;&lt;/span&gt;meが主格Iへ変化
&lt;strong&gt;I&lt;/strong&gt; were betere［中英語］
&lt;span class="spacer"&gt;&lt;/span&gt;wereがhadへ変化
I &lt;strong&gt;had&lt;/strong&gt; better［近代英語］
&lt;span class="spacer"&gt;&lt;/span&gt;古英語で用いられていた表現は、仮定法過去wereが使われて「（何かがあれば / なければ）〜にとってより良いだろう」ということを表した。
&lt;span class="spacer"&gt;&lt;/span&gt;古英語の時代は、現代英語のI - my - me - mineのような格変化が各品詞で存在しており、文のどこに置いてもその単語の役割が明らかであったため、語順が今のように厳格ではなかった。
&lt;span class="spacer"&gt;&lt;/span&gt;しかし中英語期になると、格変化が消失し、［主語＋動詞］という語順が基本の言語へと変化していく。そのため古英語のme（私にとって）は、中英語で主格のI（私は）に変化した。
&lt;span class="spacer"&gt;&lt;/span&gt;近代英語期になると、I were betterでは「私がより良い」という違和感のある意味に捉えられたせいなのか、仮定法過去wereが、仮定法過去hadへと置き換えられて［had better］になっていった。
&lt;span class="spacer"&gt;&lt;/span&gt;&lt;span class="explanation_tag"&gt;イメージ&lt;/span&gt;
［had better］は、もともとは仮定法過去のhadだが、仮定法であるという意識は既に消えており、この1セットで助動詞として使われる。
そのため［had better &lt;strong&gt;do&lt;/strong&gt;］のように原形doが続く。
&lt;span class="spacer"&gt;&lt;/span&gt;また否定文では［had better &lt;strong&gt;not&lt;/strong&gt; do］のように、had betterの後にnotを置く。
&lt;span class="spacer"&gt;&lt;/span&gt;&lt;span class="explanation_tag"&gt;補足&lt;/span&gt;
［had better do］のhadは、もともとは仮定法過去。そのため「〜した方がよい」という裏には「〜しなかった場合はよくない」というニュアンスが隠れていた。
&lt;span class="spacer"&gt;&lt;/span&gt;現代では「had＝仮定法過去」という&lt;strong&gt;意識はない&lt;/strong&gt;が、このニュアンスが残っている。そのため単なるアドバイスではなく、「しないとよくない」という警告感がある。&lt;/span&gt;</t>
  </si>
  <si>
    <t>had better do</t>
    <phoneticPr fontId="1"/>
  </si>
  <si>
    <t>&lt;span class="w"&gt;&lt;b&gt;【108.help A with B：AをBに関して助ける】&lt;/b&gt;&lt;/span&gt;
&lt;span class="ml"&gt;&lt;span class="explanation_tag"&gt;イメージ&lt;/span&gt;
withは「一緒に」や「付帯」を表す機能があるが、核になるのは「くっついている」感じ。
&lt;span class="spacer"&gt;&lt;/span&gt;［help A with B］は、BがくっついているAを助けるというイメージから「Bに関してAを助ける」という意味になる。&lt;/span&gt;</t>
  </si>
  <si>
    <t>help A with B</t>
    <phoneticPr fontId="1"/>
  </si>
  <si>
    <t>prefer A to B</t>
    <phoneticPr fontId="1"/>
  </si>
  <si>
    <t>&lt;span class="w"&gt;&lt;b&gt;【110.turn A into B：AをBに変える】&lt;/b&gt;&lt;/span&gt;
&lt;span class="ml"&gt;&lt;span class="explanation_tag"&gt;イメージ&lt;/span&gt;
［turn A into B］は、Aの向きを変えてBの中へ入れるイメージから「AをBに変える」という意味になる。&lt;/span&gt;</t>
  </si>
  <si>
    <t>turn A into B</t>
    <phoneticPr fontId="1"/>
  </si>
  <si>
    <t>prevent A from B</t>
    <phoneticPr fontId="1"/>
  </si>
  <si>
    <t>&lt;span class="w"&gt;&lt;b&gt;【112.remind A of / about B：AにBを思い出させる】&lt;/b&gt;&lt;/span&gt;
&lt;span class="ml"&gt;&lt;span class="explanation_tag"&gt;語源&lt;/span&gt;
remindは、近代においてre（再び）と、mind（気にかける）が合わさってできた語。忘れていたことに対して再び注意が向くことから「思い出させる」という意味になった。
&lt;span class="spacer"&gt;&lt;/span&gt;&lt;span class="explanation_tag"&gt;イメージ&lt;/span&gt;
［remind A of B］のofは「分離」を表す。頭の中の記憶全体やイメージ全体からＢがポンと分離されて、それに注意が向くイメージから、「ＡにＢを思い出させる」という意味になる。
&lt;span class="spacer"&gt;&lt;/span&gt;［remind A about B］のaboutは「関すること」を表す。Bに関することに注意を向けさせることから、「AにBを思い出させる, 念を押す」という意味になる。&lt;/span&gt;</t>
    <rPh sb="50" eb="51">
      <t>オモ</t>
    </rPh>
    <rPh sb="52" eb="53">
      <t>ダ</t>
    </rPh>
    <rPh sb="134" eb="136">
      <t>キンダイ</t>
    </rPh>
    <rPh sb="143" eb="144">
      <t>フタタ</t>
    </rPh>
    <rPh sb="153" eb="154">
      <t>キ</t>
    </rPh>
    <rPh sb="160" eb="161">
      <t>ア</t>
    </rPh>
    <rPh sb="168" eb="169">
      <t>ゴ</t>
    </rPh>
    <rPh sb="170" eb="171">
      <t>ワス</t>
    </rPh>
    <rPh sb="178" eb="179">
      <t>タイ</t>
    </rPh>
    <rPh sb="181" eb="182">
      <t>フタタ</t>
    </rPh>
    <rPh sb="301" eb="303">
      <t>ブンリ</t>
    </rPh>
    <rPh sb="305" eb="306">
      <t>アラワ</t>
    </rPh>
    <rPh sb="308" eb="309">
      <t>アタマ</t>
    </rPh>
    <rPh sb="310" eb="311">
      <t>ナカ</t>
    </rPh>
    <rPh sb="312" eb="314">
      <t>キオク</t>
    </rPh>
    <rPh sb="314" eb="316">
      <t>ゼンタイ</t>
    </rPh>
    <rPh sb="321" eb="323">
      <t>ゼンタイ</t>
    </rPh>
    <rPh sb="330" eb="332">
      <t>ブンリ</t>
    </rPh>
    <rPh sb="339" eb="341">
      <t>チュウイ</t>
    </rPh>
    <rPh sb="342" eb="343">
      <t>ム</t>
    </rPh>
    <rPh sb="356" eb="357">
      <t>オモ</t>
    </rPh>
    <rPh sb="358" eb="359">
      <t>ダ</t>
    </rPh>
    <rPh sb="366" eb="368">
      <t>イミ</t>
    </rPh>
    <rPh sb="427" eb="428">
      <t>カン</t>
    </rPh>
    <rPh sb="439" eb="440">
      <t>カン</t>
    </rPh>
    <rPh sb="445" eb="447">
      <t>チュウイ</t>
    </rPh>
    <rPh sb="448" eb="449">
      <t>ム</t>
    </rPh>
    <rPh sb="463" eb="464">
      <t>オモ</t>
    </rPh>
    <rPh sb="465" eb="466">
      <t>ダ</t>
    </rPh>
    <rPh sb="471" eb="472">
      <t>ネン</t>
    </rPh>
    <rPh sb="473" eb="474">
      <t>オ</t>
    </rPh>
    <rPh sb="479" eb="481">
      <t>イミ</t>
    </rPh>
    <phoneticPr fontId="1"/>
  </si>
  <si>
    <t>remind A of / about B</t>
    <phoneticPr fontId="1"/>
  </si>
  <si>
    <t>&lt;span class="w"&gt;&lt;b&gt;【113.regard A as B：AをBと見なす】&lt;/b&gt;&lt;/span&gt;
&lt;span class="ml"&gt;&lt;span class="explanation_tag"&gt;語源&lt;/span&gt;
regardは、古フランス語re（強意）と、garder（見る, 注意する）が合わさってできた語。このgard部分は、監視員・警備員・警戒を表すguard（ガード）と同じ。どちらも「（注意して）見る」が核になっている。
&lt;span class="spacer"&gt;&lt;/span&gt;&lt;span class="explanation_tag"&gt;イメージ&lt;/span&gt;
regardのgardが「見る」なので「AをBとして見なす」という意味になる。&lt;/span&gt;</t>
    <rPh sb="42" eb="43">
      <t>ミ</t>
    </rPh>
    <rPh sb="123" eb="124">
      <t>コ</t>
    </rPh>
    <rPh sb="128" eb="129">
      <t>ゴ</t>
    </rPh>
    <rPh sb="132" eb="134">
      <t>キョウイ</t>
    </rPh>
    <rPh sb="144" eb="145">
      <t>ミ</t>
    </rPh>
    <rPh sb="148" eb="150">
      <t>チュウイ</t>
    </rPh>
    <rPh sb="154" eb="155">
      <t>ア</t>
    </rPh>
    <rPh sb="162" eb="163">
      <t>ゴ</t>
    </rPh>
    <rPh sb="170" eb="172">
      <t>ブブン</t>
    </rPh>
    <rPh sb="174" eb="177">
      <t>カンシイン</t>
    </rPh>
    <rPh sb="178" eb="181">
      <t>ケイビイン</t>
    </rPh>
    <rPh sb="182" eb="184">
      <t>ケイカイ</t>
    </rPh>
    <rPh sb="185" eb="186">
      <t>アラワ</t>
    </rPh>
    <rPh sb="198" eb="199">
      <t>オナ</t>
    </rPh>
    <rPh sb="207" eb="209">
      <t>チュウイ</t>
    </rPh>
    <rPh sb="212" eb="213">
      <t>ミ</t>
    </rPh>
    <rPh sb="216" eb="217">
      <t>カク</t>
    </rPh>
    <rPh sb="308" eb="309">
      <t>ミ</t>
    </rPh>
    <rPh sb="321" eb="322">
      <t>ミ</t>
    </rPh>
    <rPh sb="328" eb="330">
      <t>イミ</t>
    </rPh>
    <phoneticPr fontId="1"/>
  </si>
  <si>
    <t>regard A as B</t>
    <phoneticPr fontId="1"/>
  </si>
  <si>
    <t>&lt;span class="w"&gt;&lt;b&gt;【114.associate A with B：AをBと結び付けて考える】&lt;/b&gt;&lt;/span&gt;
&lt;span class="ml"&gt;&lt;span class="explanation_tag"&gt;語源&lt;/span&gt;
associateは、ラテン語ad（〜へ）と、sociare（仲間にする, 結びつける）が合わさってできた語。後者は、現代英語societyとも関連する。
&lt;span class="spacer"&gt;&lt;/span&gt;人と人が結びついて一つの集団となることで形成されるのがsociety（社会）。
&lt;span class="spacer"&gt;&lt;/span&gt;あるものを何かへ（ad）結びつける（sociare）行為がassociate（結びつける）。
&lt;span class="spacer"&gt;&lt;/span&gt;&lt;span class="explanation_tag"&gt;イメージ&lt;/span&gt;
［associate A with B］は、語源の通り「AをBと結びつける」という意味になる。&lt;/span&gt;</t>
  </si>
  <si>
    <t>associate A with B</t>
    <phoneticPr fontId="1"/>
  </si>
  <si>
    <t>&lt;span class="w"&gt;&lt;b&gt;【115.inform A of / about B：AにBを知らせる】&lt;/b&gt;&lt;/span&gt;
&lt;span class="ml"&gt;&lt;span class="explanation_tag"&gt;語源&lt;/span&gt;
informは、ラテン語in（中に）と、formare（形作る）が合わさってできた語。対象の中に形を与えるということから、相手の中に知識の形を作ることへと発展して「知らせる」という意味になった。
&lt;span class="spacer"&gt;&lt;/span&gt;&lt;span class="explanation_tag"&gt;イメージ&lt;/span&gt;
［inform A of / about B］は、Bの / に関する情報をAの中に形作る、つまり「BをAに知らせる」という意味になる。
&lt;span class="spacer"&gt;&lt;/span&gt;&lt;span class="explanation_tag"&gt;補足&lt;/span&gt;
医療において、患者が治療などに関して十分な説明を受けた上で同意することをinformed consent（インフォームド・コンセント）と言う。&lt;/span&gt;</t>
  </si>
  <si>
    <t>inform A of / about B</t>
    <phoneticPr fontId="1"/>
  </si>
  <si>
    <t>&lt;span class="w"&gt;&lt;b&gt;【116.after all：結局】&lt;/b&gt;&lt;/span&gt;
&lt;span class="ml"&gt;&lt;span class="explanation_tag"&gt;イメージ&lt;/span&gt;
すべて（all）の後（after）なので、最終的であることを表して「結局」という意味になる。&lt;/span&gt;</t>
  </si>
  <si>
    <t>after all</t>
    <phoneticPr fontId="1"/>
  </si>
  <si>
    <t>&lt;span class="w"&gt;&lt;b&gt;【117.all the time：いつも, 常に】&lt;/b&gt;&lt;/span&gt;
&lt;span class="ml"&gt;&lt;span class="explanation_tag"&gt;イメージ&lt;/span&gt;
無冠詞timeはすべての時間＝史上を表すが、定冠詞付きのthe timeは、話し手と聞き手の間で暗黙に限定される時間を指す。
&lt;span class="spacer"&gt;&lt;/span&gt;その限定される時間（the time）すべて（all）なので「いつも, 常に」という意味になる。&lt;/span&gt;</t>
  </si>
  <si>
    <t>all the time</t>
    <phoneticPr fontId="1"/>
  </si>
  <si>
    <t>&lt;span class="w"&gt;&lt;b&gt;【118.all the way：ずっと, はるばる】&lt;/b&gt;&lt;/span&gt;
&lt;span class="ml"&gt;&lt;span class="explanation_tag"&gt;イメージ&lt;/span&gt;
一定の物理的な道のり・過程・時間（the way）の全部（all）なので「ずっと」という意味になる。
&lt;span class="spacer"&gt;&lt;/span&gt;またやってきた距離や労力を強調して「はるばる」という意味になる。&lt;/span&gt;</t>
  </si>
  <si>
    <t>all the way</t>
    <phoneticPr fontId="1"/>
  </si>
  <si>
    <t>~ and so on / forth</t>
    <phoneticPr fontId="1"/>
  </si>
  <si>
    <t>&lt;span class="w"&gt;&lt;b&gt;【120.and yet：それにも関わらず】&lt;/b&gt;&lt;/span&gt;
&lt;span class="ml"&gt;&lt;span class="explanation_tag"&gt;イメージ&lt;/span&gt;
yetは「いま現在まで」という継続が核のイメージ。中学英語では現在完了形の否定文と疑問文で登場し、「まだ」「もう」という訳で覚えるが、なぜそうなるのかは「yet＝いま現在まで」という核から理解できる。
&lt;span class="spacer"&gt;&lt;/span&gt;I haven't done it yet.
私は&lt;strong&gt;いま現在まで&lt;/strong&gt;それをしていない。
＝&lt;strong&gt;まだ&lt;/strong&gt;していない
&lt;span class="spacer"&gt;&lt;/span&gt;Have you done it yet?
あなたは&lt;strong&gt;いま現在まで&lt;/strong&gt;それをしましたか？
＝&lt;strong&gt;もう&lt;/strong&gt;しましたか？
&lt;span class="spacer"&gt;&lt;/span&gt;このようにyetは、いま現在までという「継続性」を表している。
&lt;span class="spacer"&gt;&lt;/span&gt;［A, and yet B］は、Aがそのまま（and）継続（yet）していながら、Aと反する内容のBが続くことから「それにもかかわらず」という日本語訳になる。
&lt;span class="spacer"&gt;&lt;/span&gt;つまりand yetは、前の部分から考えたら出る結論とは逆のBを導く。&lt;/span&gt;</t>
  </si>
  <si>
    <t>and yet</t>
    <phoneticPr fontId="1"/>
  </si>
  <si>
    <t>&lt;span class="w"&gt;&lt;b&gt;【121.as ~ as possible / one can：できるだけ〜】&lt;/b&gt;&lt;/span&gt;
&lt;span class="ml"&gt;&lt;span class="explanation_tag"&gt;イメージ&lt;/span&gt;
これはas ~ as …（…と同じくらい〜）の同等比較。比較対象はpossible / one canという可能性や能力の限界なので、可能な状態と同じくらい＝「可能な限り」という意味になる。&lt;/span&gt;</t>
  </si>
  <si>
    <t>as ~ as possible / one can</t>
    <phoneticPr fontId="1"/>
  </si>
  <si>
    <t>&lt;span class="w"&gt;&lt;b&gt;【122.as a result （of A）：（Aの）結果として】&lt;/b&gt;&lt;/span&gt;
&lt;span class="ml"&gt;そのまま日本語訳すれば「結果として」となる。&lt;/span&gt;</t>
  </si>
  <si>
    <t>&lt;span class="w"&gt;&lt;b&gt;【123.as a whole：全体として】&lt;/b&gt;&lt;/span&gt;
&lt;span class="ml"&gt;そのまま日本語訳すれば「全体として」となる。&lt;/span&gt;</t>
  </si>
  <si>
    <t>as a whole</t>
    <phoneticPr fontId="1"/>
  </si>
  <si>
    <t>&lt;span class="w"&gt;&lt;b&gt;【124.as usual：いつものように】&lt;/b&gt;&lt;/span&gt;
&lt;span class="ml"&gt;&lt;span class="explanation_tag"&gt;イメージ&lt;/span&gt;
as it is usualからit isが消えたと考えれば「いつものように」という意味になることがわかる。&lt;/span&gt;</t>
  </si>
  <si>
    <t>as usual</t>
    <phoneticPr fontId="1"/>
  </si>
  <si>
    <t>&lt;span class="w"&gt;&lt;b&gt;【125.at best：よくても, せいぜい】&lt;/b&gt;&lt;/span&gt;
&lt;span class="ml"&gt;&lt;span class="explanation_tag"&gt;イメージ&lt;/span&gt;
atは「点」を示す前置詞で、bestは「最高」を意味する。
at bestは「最も良くてもその点まで」という超えることのできない点を示して「よくても, せいぜい」という意味になる。&lt;/span&gt;</t>
  </si>
  <si>
    <t>at best</t>
    <phoneticPr fontId="1"/>
  </si>
  <si>
    <t>&lt;span class="w"&gt;&lt;b&gt;【126.at least：少なくとも】&lt;/b&gt;&lt;/span&gt;
&lt;span class="ml"&gt;&lt;span class="explanation_tag"&gt;イメージ&lt;/span&gt;
atは「点」を示す前置詞で、leastは「最も少ない」を意味する。
at leastは「最も少なくてもその点まで」という最低点を示して「少なくとも」という意味になる。&lt;/span&gt;</t>
  </si>
  <si>
    <t>at least</t>
    <phoneticPr fontId="1"/>
  </si>
  <si>
    <t>&lt;span class="w"&gt;&lt;b&gt;【127.at most：多くても】&lt;/b&gt;&lt;/span&gt;
&lt;span class="ml"&gt;&lt;span class="explanation_tag"&gt;イメージ&lt;/span&gt;
atは「点」を示す前置詞で、mostは「最も多い」を意味する。
at mostは「最も多くてもその点まで」という超えられない点を示して「多くても」という意味になる。&lt;/span&gt;</t>
  </si>
  <si>
    <t>at most</t>
    <phoneticPr fontId="1"/>
  </si>
  <si>
    <t>&lt;span class="w"&gt;&lt;b&gt;【128.at a time：一度に, 一回に】&lt;/b&gt;&lt;/span&gt;
&lt;span class="ml"&gt;このまま日本語にすると「一度 / 一回（a time）に（at）」という意味になる。three times（3回）のときのtimeだと考えればよい。
&lt;/span&gt;</t>
  </si>
  <si>
    <t>at a time</t>
    <phoneticPr fontId="1"/>
  </si>
  <si>
    <t>&lt;span class="w"&gt;&lt;b&gt;【129.at once：①同時に, ②すぐに】&lt;/b&gt;&lt;/span&gt;
&lt;span class="ml"&gt;&lt;span class="explanation_tag"&gt;語源&lt;/span&gt;
at onceは、13世紀初頭は「同時に」という意味で、その後1530年代から「すぐに」という意味が確認される。つまりat onceを理解する上で重要なのは「同時に」という意味の核。
&lt;span class="explanation_tag"&gt;イメージ&lt;/span&gt;
onceは「一回, 一つの瞬間」を意味する。ここに点を示すatが付くことで、その一回のピンポイントで何かを行う、あるいは何かが起こることを表して「同時に」という意味になる。
&lt;span class="spacer"&gt;&lt;/span&gt;また、何かを時間をかけて行うのではなく、その一回のピンポイントで全てを行うことから「すぐに」という意味になる。&lt;/span&gt;</t>
  </si>
  <si>
    <t>at once</t>
    <phoneticPr fontId="1"/>
  </si>
  <si>
    <t>at all</t>
    <phoneticPr fontId="1"/>
  </si>
  <si>
    <t>at any rate</t>
    <phoneticPr fontId="1"/>
  </si>
  <si>
    <t>&lt;span class="w"&gt;&lt;b&gt;【132.at random：ランダムに, 無作為に】&lt;/b&gt;&lt;/span&gt;
&lt;span class="ml"&gt;このまま日本語にすると「ランダムに」という意味になる。
&lt;span class="spacer"&gt;&lt;/span&gt;&lt;span class="explanation_tag"&gt;語源&lt;/span&gt;
randomは、古フランス語randir（速く走る）に由来するが、さらにさかのぼると現代英語runと同じ印欧祖語にたどり着く。
&lt;span class="spacer"&gt;&lt;/span&gt;at rondomは1560年代に見られ、当時は「非常な速さで」という意味だった。コントロールが効かずどうなるかわからないくらい速い速度で移動する様子から「無作為に」という意味へと発展した。
&lt;span class="spacer"&gt;&lt;/span&gt;馬が暴走して全速力で走る様子を想像するとわかりやすい。&lt;/span&gt;</t>
  </si>
  <si>
    <t>at random</t>
    <phoneticPr fontId="1"/>
  </si>
  <si>
    <t>more or less</t>
    <phoneticPr fontId="1"/>
  </si>
  <si>
    <t>&lt;span class="w"&gt;&lt;b&gt;【134.at times：ときどき】&lt;/b&gt;&lt;/span&gt;
&lt;span class="ml"&gt;&lt;span class="explanation_tag"&gt;イメージ&lt;/span&gt;
at timesは、一本の時間の流れを複数に切り分けて（times）、それを点（at）で指し示すイメージ。そこから「ときどき」という意味になる。&lt;/span&gt;</t>
  </si>
  <si>
    <t>between you and me</t>
    <phoneticPr fontId="1"/>
  </si>
  <si>
    <t>&lt;span class="w"&gt;&lt;b&gt;【135.between you and me：ここだけの話だが】&lt;/b&gt;&lt;/span&gt;
&lt;span class="ml"&gt;&lt;span class="explanation_tag"&gt;イメージ&lt;/span&gt;
何かの話をするときに「（この話は）あなたと私の間だけ」つまり他言NGであることを表して「ここだけの話」という意味になる。&lt;/span&gt;</t>
  </si>
  <si>
    <t>by hand</t>
    <phoneticPr fontId="1"/>
  </si>
  <si>
    <t>&lt;span class="w"&gt;&lt;b&gt;【136.by hand：手で】&lt;/b&gt;&lt;/span&gt;
&lt;span class="ml"&gt;手段を表すby（〜で, 〜によって）なので、そのまま「手で」という意味になる。&lt;/span&gt;</t>
  </si>
  <si>
    <t>by mistake</t>
    <phoneticPr fontId="1"/>
  </si>
  <si>
    <t>&lt;span class="w"&gt;&lt;b&gt;【137.by mistake：間違って】&lt;/b&gt;&lt;/span&gt;
&lt;span class="ml"&gt;そのまま日本語にすれば「間違い（mistake）によって（by）」＝「間違えて」という意味になる。&lt;/span&gt;</t>
  </si>
  <si>
    <t>by no means</t>
    <phoneticPr fontId="1"/>
  </si>
  <si>
    <t>&lt;span class="w"&gt;&lt;b&gt;【138.by no means：全然〜ない】&lt;/b&gt;&lt;/span&gt;
&lt;span class="ml"&gt;&lt;span class="explanation_tag"&gt;語源&lt;/span&gt;
meansは、ラテン語medius（中間に）に由来する。行動と目的の間にあるものとして「手段」という意味になった。
&lt;span class="spacer"&gt;&lt;/span&gt;by no meansという表現は、15世紀後期から見られる。
&lt;span class="spacer"&gt;&lt;/span&gt;&lt;span class="explanation_tag"&gt;イメージ&lt;/span&gt;
noはゼロを意味するので、by no meansはゴール（結論）へ至る手段が一つもないことを表す。どんな手段を取ってもありえないということから「全然〜ない, 決して〜ない」という強い否定を意味する。
&lt;span class="spacer"&gt;&lt;/span&gt;It’s by no means easy.
＝It's easyに至るmeansはない（no）
＝全然簡単ではない&lt;/span&gt;</t>
  </si>
  <si>
    <t>by the way</t>
    <phoneticPr fontId="1"/>
  </si>
  <si>
    <t>far from ~</t>
    <phoneticPr fontId="1"/>
  </si>
  <si>
    <t>for a while</t>
    <phoneticPr fontId="1"/>
  </si>
  <si>
    <t>&lt;span class="w"&gt;&lt;b&gt;【141.for a while：しばらくの間】&lt;/b&gt;&lt;/span&gt;
&lt;span class="ml"&gt;&lt;span class="explanation_tag"&gt;語源&lt;/span&gt;
whileは、いまでは接続詞（〜の間）として使われるが、古英語では名詞として「時間」や「ある一定の期間」を表す語だった。
&lt;span class="spacer"&gt;&lt;/span&gt;この名詞としての意味は、ほとんどtimeに代わられてしまったが、一部のフレーズに残っている。その一つがfor a whileである。
&lt;span class="spacer"&gt;&lt;/span&gt;&lt;span class="explanation_tag"&gt;イメージ&lt;/span&gt;
期間を示すforとa while（ある一定の時間）が合わさることで「しばらくの間」という意味になる。&lt;/span&gt;</t>
  </si>
  <si>
    <t>for example / instance</t>
    <phoneticPr fontId="1"/>
  </si>
  <si>
    <t>for one thing</t>
    <phoneticPr fontId="1"/>
  </si>
  <si>
    <t>&lt;span class="w"&gt;&lt;b&gt;【143.for one thing：ひとつには】&lt;/b&gt;&lt;/span&gt;
&lt;span class="ml"&gt;これは文字通り、理由をひとつ挙げる表現。&lt;/span&gt;</t>
  </si>
  <si>
    <t>in a hurry</t>
    <phoneticPr fontId="1"/>
  </si>
  <si>
    <t>&lt;span class="w"&gt;&lt;b&gt;【144.in a hurry：急いで】&lt;/b&gt;&lt;/span&gt;
&lt;span class="ml"&gt;&lt;span class="explanation_tag"&gt;語源&lt;/span&gt;
［in a hurry］は1700年頃から見られる表現。急いでいる状態（a hurry）の中に（in）いることから「急いで」という意味になる。&lt;/span&gt;</t>
  </si>
  <si>
    <t>&lt;span class="w"&gt;&lt;b&gt;【145.in addition（to 名詞）：（〜に）加えて, さらに】&lt;/b&gt;&lt;/span&gt;
&lt;span class="ml"&gt;&lt;span class="explanation_tag"&gt;イメージ&lt;/span&gt;
additionは、add（加える）の名詞で「加えること, 追加」を意味する。「何かに対して（to）追加すること（addition）において（in）」というイメージ。&lt;/span&gt;</t>
    <rPh sb="39" eb="41">
      <t>メイシ</t>
    </rPh>
    <phoneticPr fontId="1"/>
  </si>
  <si>
    <t>in any case / event</t>
    <phoneticPr fontId="1"/>
  </si>
  <si>
    <t>in detail</t>
    <phoneticPr fontId="1"/>
  </si>
  <si>
    <t>in fact</t>
    <phoneticPr fontId="1"/>
  </si>
  <si>
    <t>&lt;span class="w"&gt;&lt;b&gt;【148.in fact：①実際には, ②ところが実際には】&lt;/b&gt;&lt;/span&gt;
&lt;span class="ml"&gt;このまま日本語にすると「実際には」となる。文脈によって事実の補強や逆接的な表現となる。&lt;/span&gt;</t>
  </si>
  <si>
    <t>in general</t>
    <phoneticPr fontId="1"/>
  </si>
  <si>
    <t>&lt;span class="w"&gt;&lt;b&gt;【149.in general：①一般に, ②一般の＜名詞＞】&lt;/b&gt;&lt;/span&gt;
&lt;span class="ml"&gt;&lt;span class="explanation_tag"&gt;語源&lt;/span&gt;
generalは、印欧祖語*gene-（生む）、そしてラテン語genus（種, 種類）に由来する。同じ種の中に生まれた全体を指して「一般の」や「全般の」という意味になった。
&lt;span class="spacer"&gt;&lt;/span&gt;&lt;span class="explanation_tag"&gt;イメージ&lt;/span&gt;
in generalは、（種）全体に目を向けて「一般に, 一般の」という一般論を形成する。&lt;/span&gt;</t>
  </si>
  <si>
    <t>in other words</t>
    <phoneticPr fontId="1"/>
  </si>
  <si>
    <t>&lt;span class="w"&gt;&lt;b&gt;【150.in other words：言い換えれば, つまり】&lt;/b&gt;&lt;/span&gt;
&lt;span class="ml"&gt;そのまま日本語にすると「他の言葉では」となる。［A in other words B］は、Aを別の言葉Bで表現しなおすので「言い換えれば, つまり」という意味になる。&lt;/span&gt;</t>
  </si>
  <si>
    <t>in public</t>
    <phoneticPr fontId="1"/>
  </si>
  <si>
    <t>&lt;span class="w"&gt;&lt;b&gt;【151.in public：人前で, 公で】&lt;/b&gt;&lt;/span&gt;
&lt;span class="ml"&gt;&lt;span class="explanation_tag"&gt;語源&lt;/span&gt;
publicは、ラテン語populus（人々）に由来する。このラテン語はpeopleの語源でもあり、特定の個人ではなく人々全体に開かれていることから「公の」という意味になった。
&lt;span class="spacer"&gt;&lt;/span&gt;&lt;span class="explanation_tag"&gt;イメージ&lt;/span&gt;
publicは、private（プライベート）の反対で「公」を表す。そこから「公で, 人前で」という意味になる。&lt;/span&gt;</t>
  </si>
  <si>
    <t>in reality</t>
    <phoneticPr fontId="1"/>
  </si>
  <si>
    <t>&lt;span class="w"&gt;&lt;b&gt;【152.in reality：実際には, 現実に】&lt;/b&gt;&lt;/span&gt;
&lt;span class="ml"&gt;これは想像・印象・理論に対して現実を提示する表現。そこから「（ところが）実際には」や「（想像ではなく）現実に」という意味になる。&lt;/span&gt;</t>
  </si>
  <si>
    <t>in the end</t>
    <phoneticPr fontId="1"/>
  </si>
  <si>
    <t>&lt;span class="w"&gt;&lt;b&gt;【153.in the end：結局は, ついには】&lt;/b&gt;&lt;/span&gt;
&lt;span class="ml"&gt;endは「終わり, 最後」なので、そのまま日本語にすれば「結局は, ついには」という最後を表す表現になる。&lt;/span&gt;</t>
  </si>
  <si>
    <t>in the future</t>
    <phoneticPr fontId="1"/>
  </si>
  <si>
    <t>&lt;span class="w"&gt;&lt;b&gt;【154.in the future：将来は, 今後は】&lt;/b&gt;&lt;/span&gt;
&lt;span class="ml"&gt;&lt;span class="explanation_tag"&gt;語源&lt;/span&gt;
futureは、ラテン語ease（存在する, 〜である）の未来分詞futurus（これから存在するだろう, 起ころうとしている）に由来する。
&lt;span class="spacer"&gt;&lt;/span&gt;&lt;span class="explanation_tag"&gt;イメージ&lt;/span&gt;
現代英語で考えると、be動詞の未来形が名詞として「将来, 未来」になったという感じ。
［in the future］は、そのまま「将来は」という意味になる。&lt;/span&gt;</t>
  </si>
  <si>
    <t>in the long run</t>
    <phoneticPr fontId="1"/>
  </si>
  <si>
    <t>&lt;span class="w"&gt;&lt;b&gt;【155.in the long run：長い目で見れば】&lt;/b&gt;&lt;/span&gt;
&lt;span class="ml"&gt;&lt;span class="explanation_tag"&gt;イメージ&lt;/span&gt;
名詞runは、動詞から派生したもの。
動詞runは「走る」だけではなく、川が流れる・液体が流れる・範囲が及ぶ・時間が流れるといった意味があるが、［in the long run］の名詞runは、時間が流れて続くこと＝「期間」を意味する。
&lt;span class="spacer"&gt;&lt;/span&gt;［in the long run］は、直訳すると「長い期間では」となる。長期的に捉えることを表して「長い目で見れば」という意味になる。
&lt;span class="spacer"&gt;&lt;/span&gt;&lt;span class="explanation_tag"&gt;補足&lt;/span&gt;
舞台などが長い期間にわたって公演されることを、日本語でも「ロングラン公演」と言う。&lt;/span&gt;</t>
  </si>
  <si>
    <t>no doubt</t>
    <phoneticPr fontId="1"/>
  </si>
  <si>
    <t>&lt;span class="w"&gt;&lt;b&gt;【156.no doubt：おそらく, たぶん】&lt;/b&gt;&lt;/span&gt;
&lt;span class="ml"&gt;&lt;span class="explanation_tag"&gt;イメージ&lt;/span&gt;
［no doubt］は、疑い（doubt）がゼロ（no）であることを表す。日本語訳は「おそらく, たぶん」となっているが、その核は疑いがないこと。「まず間違いなく」＝「おそらく」という推量表現だと覚えればよい。&lt;/span&gt;</t>
  </si>
  <si>
    <t>no longer ~</t>
    <phoneticPr fontId="1"/>
  </si>
  <si>
    <t>&lt;span class="w"&gt;&lt;b&gt;【157.no longer ~：もはや〜ない】&lt;/b&gt;&lt;/span&gt;
&lt;span class="ml"&gt;&lt;span class="explanation_tag"&gt;イメージ&lt;/span&gt;
［no longer］は、比較級longerの前にno（ゼロ）が付いているので、「より長い」が打ち消されて「もう長くならない」となる。
&lt;span class="spacer"&gt;&lt;/span&gt;以前の状態がこれより長くなることはない、すなわち「もはや〜ない」という意味になる。&lt;/span&gt;</t>
  </si>
  <si>
    <t>not always ~</t>
    <phoneticPr fontId="1"/>
  </si>
  <si>
    <t>&lt;span class="w"&gt;&lt;b&gt;【158.not always ~：いつも〜とは限らない】&lt;/b&gt;&lt;/span&gt;
&lt;span class="ml"&gt;&lt;span class="explanation_tag"&gt;イメージ&lt;/span&gt;
［always ~］は「いつも〜」という100％を表す。
これをnotで否定するわけだが、その際、100％のすべてを否定する必要はない。つまり「いつも〜ない」という否定にしなくてもよい。
&lt;span class="spacer"&gt;&lt;/span&gt;100％であることを否定するには、その中の一つを否定し、100％とは限らない＝「いつも〜とは限らない」とすればよい。
&lt;span class="spacer"&gt;&lt;/span&gt;たとえば「丸はいつも白色である」という文があるとする。
◯◯◯◯◯ …
これを否定するとき、すべてを黒丸に変えるのではなく、一つを黒丸にすれば、「いつも〜」は否定（not）される。
◯◯●◯◯ …&lt;/span&gt;</t>
  </si>
  <si>
    <t>on earth</t>
    <phoneticPr fontId="1"/>
  </si>
  <si>
    <t>&lt;span class="w"&gt;&lt;b&gt;【159.on earth：①（疑問文で）一体全体, ②（最上級で）世界中で】&lt;/b&gt;&lt;/span&gt;
&lt;span class="ml"&gt;&lt;span class="explanation_tag"&gt;イメージ&lt;/span&gt;
on earth・in the world・the hellなど、圧倒的なスケールの言葉を使って疑問の程度を強調する。
&lt;span class="spacer"&gt;&lt;/span&gt;最上級の強調表現は、文字通りの意味。
&lt;/span&gt;</t>
  </si>
  <si>
    <t>on the other hand</t>
    <phoneticPr fontId="1"/>
  </si>
  <si>
    <t>&lt;span class="w"&gt;&lt;b&gt;【160.on the other hand：他方では】&lt;/b&gt;&lt;/span&gt;
&lt;span class="ml"&gt;&lt;span class="explanation_tag"&gt;イメージ&lt;/span&gt;
［one ~ , the other …］（一方は〜、他方は…）と関連させて考えればよい。
［on the other hand］は、両手のうち、一方の手である事柄を指し示し、他方の手で別の事柄を指し示す感じ。最初の「一方の手（one hand）」は、既に述べられている事柄を指す。&lt;/span&gt;</t>
  </si>
  <si>
    <t>so far</t>
    <phoneticPr fontId="1"/>
  </si>
  <si>
    <t>sooner or later</t>
    <phoneticPr fontId="1"/>
  </si>
  <si>
    <t>&lt;span class="w"&gt;&lt;b&gt;【162.sooner or later：遅かれ早かれ, そのうち】&lt;/b&gt;&lt;/span&gt;
&lt;span class="ml"&gt;そのまま日本語にすれば「早くても遅くても（いずれそうなる）」ということから「遅かれ早かれ, そのうち」という意味になる。&lt;/span&gt;</t>
  </si>
  <si>
    <t>these days</t>
    <phoneticPr fontId="1"/>
  </si>
  <si>
    <t>&lt;span class="w"&gt;&lt;b&gt;【163.these days：最近は】&lt;/b&gt;&lt;/span&gt;
&lt;span class="ml"&gt;&lt;span class="explanation_tag"&gt;語源&lt;/span&gt;
これは、1936年までに見られる新しい言葉。
&lt;span class="spacer"&gt;&lt;/span&gt;&lt;span class="explanation_tag"&gt;イメージ&lt;/span&gt;
話し手から近い距離のものを指すtheseを使うことで、いま現在に近い日々を指して「最近は」という意味になる。
&lt;span class="spacer"&gt;&lt;/span&gt;&lt;span class="explanation_tag"&gt;補足&lt;/span&gt;
距離の遠いthoseを使ったin those daysは「当時」という意味になる。&lt;/span&gt;</t>
  </si>
  <si>
    <t>according to ~</t>
    <phoneticPr fontId="1"/>
  </si>
  <si>
    <t>owing / due to ~</t>
    <phoneticPr fontId="1"/>
  </si>
  <si>
    <t>thanks to ~</t>
    <phoneticPr fontId="1"/>
  </si>
  <si>
    <t>&lt;span class="w"&gt;&lt;b&gt;【166.thanks to ~：〜のおかげで】&lt;/b&gt;&lt;/span&gt;
&lt;span class="ml"&gt;これは「〜に対しての感謝」という表現から「〜のおかげ」という意味になる。
&lt;span class="spacer"&gt;&lt;/span&gt;名詞thanksは常に複数形。
&lt;span class="spacer"&gt;&lt;/span&gt;良い原因だけではなく、皮肉で悪いことに対しても使用する。
Thanks to the traffic, I missed my train.
渋滞のおかげで（せいで）電車に乗り遅れた。&lt;/span&gt;</t>
  </si>
  <si>
    <t>in spite of ~</t>
    <phoneticPr fontId="1"/>
  </si>
  <si>
    <t>all over (~)</t>
    <phoneticPr fontId="1"/>
  </si>
  <si>
    <t>apart from ~</t>
    <phoneticPr fontId="1"/>
  </si>
  <si>
    <t>aside from ~</t>
    <phoneticPr fontId="1"/>
  </si>
  <si>
    <t>ahead of ~</t>
    <phoneticPr fontId="1"/>
  </si>
  <si>
    <t>in preparation for ~</t>
    <phoneticPr fontId="1"/>
  </si>
  <si>
    <t>each other</t>
    <phoneticPr fontId="1"/>
  </si>
  <si>
    <t>A as well as B</t>
    <phoneticPr fontId="1"/>
  </si>
  <si>
    <t>Something is wrong with ~ .</t>
    <phoneticPr fontId="1"/>
  </si>
  <si>
    <t>come about</t>
    <phoneticPr fontId="1"/>
  </si>
  <si>
    <t>come by ~</t>
    <phoneticPr fontId="1"/>
  </si>
  <si>
    <t>find fault with ~</t>
    <phoneticPr fontId="1"/>
  </si>
  <si>
    <t>get over ~</t>
    <phoneticPr fontId="1"/>
  </si>
  <si>
    <t>hand in ~</t>
    <phoneticPr fontId="1"/>
  </si>
  <si>
    <t>learn ~ by heart</t>
    <phoneticPr fontId="1"/>
  </si>
  <si>
    <t>look into ~</t>
    <phoneticPr fontId="1"/>
  </si>
  <si>
    <t>look over ~</t>
    <phoneticPr fontId="1"/>
  </si>
  <si>
    <t>put together ~</t>
    <phoneticPr fontId="1"/>
  </si>
  <si>
    <t>put up ~</t>
    <phoneticPr fontId="1"/>
  </si>
  <si>
    <t>put up with ~</t>
    <phoneticPr fontId="1"/>
  </si>
  <si>
    <t>set about ~</t>
    <phoneticPr fontId="1"/>
  </si>
  <si>
    <t>set in</t>
    <phoneticPr fontId="1"/>
  </si>
  <si>
    <t>of importance</t>
    <phoneticPr fontId="1"/>
  </si>
  <si>
    <t>compensate for ~</t>
    <phoneticPr fontId="1"/>
  </si>
  <si>
    <t>&lt;span class="w"&gt;&lt;b&gt;【168.all over (~)：①（～の）至る所で, ②一面に, 全面に】&lt;/b&gt;&lt;/span&gt;
&lt;span class="ml"&gt;&lt;span class="explanation_tag"&gt;イメージ&lt;/span&gt;
overは上から覆うことを表し、それにall（全て）が付くので、全体を覆うイメージになる。そこから、ある対象の「至る所」や、何かの「一面に, 全面に」という意味になる。
&lt;span class="spacer"&gt;&lt;/span&gt;&lt;span class="explanation_tag"&gt;補足&lt;/span&gt;
overには、Game overのように「終わり」という意味もある。その意味の場合、all overは「すべて終わった」という意味になる。&lt;/span&gt;</t>
    <rPh sb="42" eb="43">
      <t>イタル</t>
    </rPh>
    <rPh sb="44" eb="45">
      <t>トコロ</t>
    </rPh>
    <rPh sb="49" eb="51">
      <t>イチメン</t>
    </rPh>
    <rPh sb="54" eb="56">
      <t>ゼンメン</t>
    </rPh>
    <rPh sb="142" eb="143">
      <t>アラワ</t>
    </rPh>
    <rPh sb="152" eb="153">
      <t>スベ</t>
    </rPh>
    <rPh sb="181" eb="183">
      <t>タイショウ</t>
    </rPh>
    <rPh sb="191" eb="192">
      <t>ナニ</t>
    </rPh>
    <rPh sb="195" eb="197">
      <t>イチメン</t>
    </rPh>
    <rPh sb="310" eb="312">
      <t>イミ</t>
    </rPh>
    <rPh sb="318" eb="320">
      <t>イミ</t>
    </rPh>
    <rPh sb="321" eb="323">
      <t>バアイ</t>
    </rPh>
    <phoneticPr fontId="1"/>
  </si>
  <si>
    <t>&lt;span class="w"&gt;&lt;b&gt;【171.ahead of ~：〜の先に, 〜の前に, 〜より進歩して】&lt;/b&gt;&lt;/span&gt;
&lt;span class="ml"&gt;&lt;span class="explanation_tag"&gt;語源&lt;/span&gt;
aheadは、1620年代にa（〜に）と、head（頭, 先頭）が合わさってできた語。もともとは航海用語で、船の先端方向に進ことを表した。
&lt;span class="spacer"&gt;&lt;/span&gt;空間的な「前方」だけではなく、時間的な「先」や、他のものに対する「先行, 進歩」も意味するようになった。
&lt;span class="spacer"&gt;&lt;/span&gt;&lt;span class="explanation_tag"&gt;イメージ&lt;/span&gt;
［ahead of A］は「Aの前方」というイメージを持っておけばよい。&lt;/span&gt;</t>
  </si>
  <si>
    <t>&lt;span class="w"&gt;&lt;b&gt;【172.in search of ~：〜を探して. 〜を求めて】&lt;/b&gt;&lt;/span&gt;
&lt;span class="ml"&gt;&lt;span class="explanation_tag"&gt;イメージ&lt;/span&gt;
［in search of A］は、Aという対象を（of）探索（search）している状態の中に（in）いるというイメージ。そこから「Aを探して, 求めて」という意味になる。&lt;/span&gt;</t>
  </si>
  <si>
    <t>&lt;span class="w"&gt;&lt;b&gt;【173.in preparation for ~：〜の準備して, 〜の準備中で】&lt;/b&gt;&lt;/span&gt;
&lt;span class="ml"&gt;&lt;span class="explanation_tag"&gt;イメージ&lt;/span&gt;
［in preparation for A］は、Aへの（for）準備（preparation）している状態の中に（in）いるというイメージ。そこから「Aの準備して, 準備中で」という意味になる。&lt;/span&gt;</t>
  </si>
  <si>
    <t>&lt;span class="w"&gt;&lt;b&gt;【174.each other：お互い】&lt;/b&gt;&lt;/span&gt;
&lt;span class="ml"&gt;&lt;span class="explanation_tag"&gt;イメージ&lt;/span&gt;
［each other］は、それぞれ（each）にとって他の方（other）と考えればよい。
&lt;span class="spacer"&gt;&lt;/span&gt;AとBがいるとき、AにとってのotherはB、BにとってのotherはAなので「お互い」という意味になる。&lt;/span&gt;</t>
  </si>
  <si>
    <t>&lt;span class="w"&gt;&lt;b&gt;【175.so 形容詞 / 副詞 that S V：とても〜なのでS V】&lt;/b&gt;&lt;/span&gt;
&lt;span class="ml"&gt;&lt;span class="explanation_tag"&gt;イメージ&lt;/span&gt;
読解においては「なので」という訳で覚える必要はなく、that前後で分けて考えればよい。［so 形容詞 / 副詞］が表す「とても〜」の結果や程度を「that S V」が示す。
&lt;span class="spacer"&gt;&lt;/span&gt;［He ran so fast］［that nobody could catch him］.
［彼はとても速く走った］
その結果 …
［誰も彼を捕まえられなかった］
&lt;span class="spacer"&gt;&lt;/span&gt;［It’s so hot］［that I can’t sleep］.
［とても暑い］
どのくらい暑いかと言うと …
［寝られない］&lt;/span&gt;</t>
  </si>
  <si>
    <t>&lt;span class="w"&gt;&lt;b&gt;【176.A as well as B：BだけではなくAも】&lt;/b&gt;&lt;/span&gt;
&lt;span class="ml"&gt;&lt;span class="explanation_tag"&gt;語源&lt;/span&gt;
［as well as］は、14世紀後期までに見られる表現。このwellは、may wellと同じで意味はなく、単なる強調の役割しか持たない。
&lt;span class="spacer"&gt;&lt;/span&gt;&lt;span class="explanation_tag"&gt;イメージ&lt;/span&gt;
このwellは特定の意味を持たないので、as ~ as（同等比較）による追加表現と考えればよい。
&lt;span class="spacer"&gt;&lt;/span&gt;［A as well as B］は「BとA（の程度）は同じ」&lt;span class="arrow"&gt;→&lt;/span&gt;「BだけではなくAも」と言っているだけ。
&lt;span class="spacer"&gt;&lt;/span&gt;&lt;span class="explanation_tag"&gt;補足&lt;/span&gt;
［A as well as B］は、Bは脇役でAが主役。「BだけではなくAも〜なんだ」と、Aに関することを伝える表現。そのため［A as well as B］全体が主語になる場合、動詞はAに合わせる。
&lt;span class="spacer"&gt;&lt;/span&gt;I as well as you &lt;strong&gt;am&lt;/strong&gt; ~.&lt;/span&gt;</t>
  </si>
  <si>
    <t>&lt;span class="w"&gt;&lt;b&gt;【177.not only A but (also) B：AだけでなくBも】&lt;/b&gt;&lt;/span&gt;
&lt;span class="ml"&gt;&lt;span class="explanation_tag"&gt;イメージ&lt;/span&gt;
これは直訳通り「AだけでなくBも」となる。
&lt;span class="spacer"&gt;&lt;/span&gt;&lt;span class="explanation_tag"&gt;補足&lt;/span&gt;
［not only A but (also) B］は、Aは脇役でBが主役。「AだけではなくBも〜なんだ」と、Bに関することを伝える表現。そのため［not only A but (also) B］全体が主語になる場合、動詞はBに合わせる。
&lt;span class="spacer"&gt;&lt;/span&gt;Not only you but (also) I &lt;strong&gt;am&lt;/strong&gt; ~.&lt;/span&gt;</t>
  </si>
  <si>
    <t>&lt;span class="w"&gt;&lt;b&gt;【178.as if / though ~：まるで〜のように】&lt;/b&gt;&lt;/span&gt;
&lt;span class="ml"&gt;&lt;span class="explanation_tag"&gt;thoughの語源&lt;/span&gt;
thoughには、古英語から1200年頃にかけて「〜だとしても, たとえ〜でも」という仮定のような意味合いがあった。
&lt;span class="spacer"&gt;&lt;/span&gt;&lt;span class="explanation_tag"&gt;イメージ&lt;/span&gt;
asは「〜のように」という意味で、if / thoughはどちらも「仮定」を表す。二つが合わさって「〜の仮定のように…」というところから「まるで〜のように」という意味になる。
&lt;span class="spacer"&gt;&lt;/span&gt;He talks as if he knew everything.
彼は全部知っているという仮定（if / though）
そのように（as）
彼は話す
＝彼はまるで全部知っているかのように話す
&lt;/span&gt;</t>
  </si>
  <si>
    <t>&lt;span class="w"&gt;&lt;b&gt;【179.as soon as S V：SがVするやいなや】&lt;/b&gt;&lt;/span&gt;
&lt;span class="ml"&gt;&lt;span class="explanation_tag"&gt;イメージ&lt;/span&gt;
A as ~ as Bの同等比較は、AとBが同じくらい「〜」であることを表す。そこから［S V as soon as S' V'］は、前半のSVと後半のS'V'の時差がない（どちらも同じくらいsoonである）ことを表す。&lt;/span&gt;</t>
  </si>
  <si>
    <t>&lt;span class="w"&gt;&lt;b&gt;【183.carry on (~)：（〜を）続ける】&lt;/b&gt;&lt;/span&gt;
&lt;span class="ml"&gt;&lt;span class="explanation_tag"&gt;イメージ&lt;/span&gt;
このonは「継続」を表す。物を運び（carry）続ける（on）ことから比喩的に、何かの物事を「続ける」という意味になる。
&lt;span class="spacer"&gt;&lt;/span&gt;&lt;span class="explanation_tag"&gt;補足&lt;/span&gt;
carry ~ onの語順にもなる。
&lt;span class="spacer"&gt;&lt;/span&gt;&lt;span class="explanation_tag"&gt;関連語&lt;/span&gt;
continue&lt;/span&gt;</t>
  </si>
  <si>
    <t>&lt;span class="w"&gt;&lt;b&gt;【194.人 pass away：人が亡くなる】&lt;/b&gt;&lt;/span&gt;
&lt;span class="ml"&gt;&lt;span class="explanation_tag"&gt;イメージ&lt;/span&gt;
［pass away］は、この世から遠くへ離れて（away）行ってしまう（pass）ことから、人が「亡くなる」という意味になる。&lt;/span&gt;</t>
  </si>
  <si>
    <t>&lt;span class="w"&gt;&lt;b&gt;【196.put together ~：（部品など）を組み立てる, （考えなど）をまとめる】&lt;/b&gt;&lt;/span&gt;
&lt;span class="ml"&gt;&lt;span class="explanation_tag"&gt;イメージ&lt;/span&gt;
［put together A］は、Aを一緒に（together）置く（put）ことから、Aを一つにする、つまり「Aを組み立てる, Aをまとめる」という意味になる。
&lt;span class="spacer"&gt;&lt;/span&gt;&lt;span class="explanation_tag"&gt;補足&lt;/span&gt;
put ~ togetherの語順にもなる。&lt;/span&gt;</t>
  </si>
  <si>
    <t>&lt;span class="w"&gt;&lt;b&gt;【202.of importance：重要な】&lt;/b&gt;&lt;/span&gt;
&lt;span class="ml"&gt;&lt;span class="explanation_tag"&gt;イメージ&lt;/span&gt;
［of + 抽象名詞］は形容詞的に機能する。
［of importance］は、importantと同じく「重要な」という意味になる。
&lt;span class="spacer"&gt;&lt;/span&gt;&lt;span class="explanation_tag"&gt;関連語&lt;/span&gt;
of interest（≒interesting）
of use（≒useful）
of value（≒valuable）&lt;/span&gt;</t>
  </si>
  <si>
    <t>&lt;span class="w"&gt;&lt;b&gt;【209.all of a sudden：突然に】&lt;/b&gt;&lt;/span&gt;
&lt;span class="ml"&gt;&lt;span class="explanation_tag"&gt;語源&lt;/span&gt;
suddenは、ラテン語sub（〜まで）と、ire（来る）が合わさってできた形容詞。こっそりやって来ることから、何の前触れもなく現れる＝「突然の」という意味になった。
&lt;span class="spacer"&gt;&lt;/span&gt;形容詞として生まれたsuddenから派生した名詞のsuddenは、現代では、このall of a suddenという表現にのみ残っている。
&lt;span class="spacer"&gt;&lt;/span&gt;［all of a sudden］は、1680年代にはその存在が確認されるが、それ以前は［of a sudden］という表現だった。
&lt;span class="spacer"&gt;&lt;/span&gt;&lt;span class="explanation_tag"&gt;イメージ&lt;/span&gt;
［of a sudden］は、突然（a sudden）の状態（of）を意味する。
［all of a sudden］は、程度を強調するallが付いただけ。そのため意味は、突然の状態＝「突然に」となる。&lt;/span&gt;</t>
  </si>
  <si>
    <t>&lt;span class="w"&gt;&lt;b&gt;【216.for the most part：大部分は】&lt;/b&gt;&lt;/span&gt;
&lt;span class="ml"&gt;これは直訳通り「ほとんどの部分にとっては」という意味になる。&lt;/span&gt;</t>
  </si>
  <si>
    <t>&lt;span class="w"&gt;&lt;b&gt;【217.from time to time：ときどき】&lt;/b&gt;&lt;/span&gt;
&lt;span class="ml"&gt;&lt;span class="explanation_tag"&gt;イメージ&lt;/span&gt;
［from time to time］は、ある時（a time）から他の時（another time）へ飛び飛びで進んでいくイメージ。
&lt;span class="spacer"&gt;&lt;/span&gt;ある時&lt;span class="arrow"&gt;→&lt;/span&gt;他の時&lt;span class="arrow"&gt;→&lt;/span&gt;またある時&lt;span class="arrow"&gt;→&lt;/span&gt;他の時 … という感じから「ときどき」という意味になる。&lt;/span&gt;</t>
  </si>
  <si>
    <t>&lt;span class="w"&gt;&lt;b&gt;【219.in all：全部で】&lt;/b&gt;&lt;/span&gt;
&lt;span class="ml"&gt;これは直訳通り「全部の中で＝全部で」という意味になる。&lt;/span&gt;</t>
  </si>
  <si>
    <t>&lt;span class="w"&gt;&lt;b&gt;【223.over and over (again)：何度も繰り返し】&lt;/b&gt;&lt;/span&gt;
&lt;span class="ml"&gt;&lt;span class="explanation_tag"&gt;イメージ&lt;/span&gt;
［over and over (again)］は、一度全体的に何かをして（over）そして（and）また全体的に何かをする（over）ことから、何かを「何度も繰り返す」という意味になる。&lt;/span&gt;</t>
  </si>
  <si>
    <t>&lt;span class="w"&gt;&lt;b&gt;【224.right away：今すぐ】&lt;/b&gt;&lt;/span&gt;
&lt;span class="ml"&gt;&lt;span class="explanation_tag"&gt;語源&lt;/span&gt;
［right away］は、16世紀にright（まっすぐに）とaway（離れて）からできた表現。まっすぐに離れるという物理的な動きから発展して、時間的にまっすぐ先へ進むことを表した。
&lt;span class="spacer"&gt;&lt;/span&gt;まっすぐ進めば無駄な時間がかからないため、無駄に遅れることなく「今すぐ」という意味になった。&lt;/span&gt;</t>
  </si>
  <si>
    <t>&lt;span class="w"&gt;&lt;b&gt;【230.remember to do：忘れずにーする, 〜するのを覚えている】&lt;/b&gt;&lt;/span&gt;
&lt;span class="ml"&gt;&lt;span class="explanation_tag"&gt;イメージ&lt;/span&gt;
to不定詞はその方向に向かうイメージがある。
&lt;span class="spacer"&gt;&lt;/span&gt;［remember to do］は、ある動作に向かうイメージ（to do）が頭の中にある（remember）という感じ。そこから、後で何かをすることを覚えている＝「忘れずに〜する」という意味になる。
&lt;span class="spacer"&gt;&lt;/span&gt;&lt;span class="explanation_tag"&gt;関連語&lt;/span&gt;
［remember doing］は、リアルな動作のイメージ（doing）が頭の中にある（remember）という感じ。そこから、実際に行われたことを覚えている＝「〜したのを覚えている」という意味になる。&lt;/span&gt;</t>
  </si>
  <si>
    <t>&lt;span class="w"&gt;&lt;b&gt;【18.be sure of / about ~：～を確信している】&lt;/b&gt;&lt;/span&gt;
&lt;span class="ml"&gt;&lt;span class="explanation_tag"&gt;語源&lt;/span&gt;
sureは、ラテン語se（離れて）と、cura（心配）が合わさってできた語。心配から離れているということは、危険がなく安全なので「確信, 自信」という意味へ発展した。
&lt;span class="spacer"&gt;&lt;/span&gt;&lt;span class="explanation_tag"&gt;関連語&lt;/span&gt;
ラテン語se＋curaからは、以下も生まれている。
&lt;span class="spacer"&gt;&lt;/span&gt;secure（確保する, 保証する, 安全な, 危険のない）
security（セキュリティ）&lt;/span&gt;</t>
    <phoneticPr fontId="1"/>
  </si>
  <si>
    <t>&lt;span class="w"&gt;&lt;b&gt;【41.concentrate on ~：〜に集中する】&lt;/b&gt;&lt;/span&gt;
&lt;span class="ml"&gt;&lt;span class="explanation_tag"&gt;語源&lt;/span&gt;
concentrateは、ラテン語のcon（共に）と、centrum（中心）が合わさった語。共に一つの中心に向かわせることから「集中する」という意味になる。
&lt;span class="spacer"&gt;&lt;/span&gt;&lt;span class="explanation_tag"&gt;イメージ&lt;/span&gt;
［concentrate on 対象］で、対象の上に（on）意識や注意をまとめて集めることから「集中する」という意味になる。
&lt;span class="spacer"&gt;&lt;/span&gt;&lt;span class="explanation_tag"&gt;関連語&lt;/span&gt;
ラテン語centrumからは、以下の語も生まれている。
&lt;span class="spacer"&gt;&lt;/span&gt;center（中心, センター）&lt;/span&gt;</t>
    <phoneticPr fontId="1"/>
  </si>
  <si>
    <t>&lt;span class="w"&gt;&lt;b&gt;【93.make progress：進歩する】&lt;/b&gt;&lt;/span&gt;
&lt;span class="ml"&gt;&lt;span class="explanation_tag"&gt;語源&lt;/span&gt;
progressは、ラテン語pro（前に）と、gradus（一歩）が合わさってできた語。前に一歩一歩進むことから「進歩, 前身」という意味になった。
&lt;span class="spacer"&gt;&lt;/span&gt;&lt;span class="explanation_tag"&gt;イメージ&lt;/span&gt;
progress（進歩, 前身）を作る（make）ことから「進歩する」という意味になる。
&lt;span class="spacer"&gt;&lt;/span&gt;&lt;span class="explanation_tag"&gt;関連語&lt;/span&gt;
ラテン語gradus（一歩）からは、以下の語も生まれている。
&lt;span class="spacer"&gt;&lt;/span&gt;aggressive（相手に対して一歩踏む込んでいく＝攻撃的な）
graduate（学問において次の段階へ一歩進む＝卒業する）
gradually（一歩一歩＝段階的に, 徐々に）&lt;/span&gt;</t>
    <phoneticPr fontId="1"/>
  </si>
  <si>
    <t>&lt;span class="w"&gt;&lt;b&gt;【131.at any rate：とにかく, いずれにしても】&lt;/b&gt;&lt;/span&gt;
&lt;span class="ml"&gt;&lt;span class="explanation_tag"&gt;語源&lt;/span&gt;
rateは、ラテン語reri（計算する, 考える）に由来する。核は「計算されたもの」であり、そこから評価額・価値・費用・割合などの意味になった。
&lt;span class="spacer"&gt;&lt;/span&gt;［at any rate］は、1610年代から見られ、そのときは「どんな犠牲（費用）を払ってでも」という意味で使われた。
&lt;span class="spacer"&gt;&lt;/span&gt;&lt;span class="explanation_tag"&gt;イメージ&lt;/span&gt;
［at any rate］は「どんな費用を払ってでも」&lt;span class="arrow"&gt;→&lt;/span&gt;何をしてでも&lt;span class="arrow"&gt;→&lt;/span&gt;「とにかく, いずれにしても」というように発展したと考えればよい。
&lt;span class="spacer"&gt;&lt;/span&gt;&lt;span class="explanation_tag"&gt;関連語&lt;/span&gt;
［in any case / event］も考え方は同じ。
どんな出来事があっても
&lt;span class="arrow"&gt;→&lt;/span&gt;何があっても（どうでもいい）
&lt;span class="arrow"&gt;→&lt;/span&gt;「とにかく, いずれにしても」&lt;/span&gt;</t>
    <phoneticPr fontId="1"/>
  </si>
  <si>
    <t>&lt;span class="w"&gt;&lt;b&gt;【142.for example / instance：たとえば】&lt;/b&gt;&lt;/span&gt;
&lt;span class="ml"&gt;&lt;span class="explanation_tag"&gt;exampleの語源&lt;/span&gt;
exampleは、ラテン語ex（外に）と、emere（取る）が合わさってできた語。この語の核は「全体から外に取り出されたもの」であり、そこから説明における「具体例」という意味になった。
&lt;span class="spacer"&gt;&lt;/span&gt;&lt;span class="explanation_tag"&gt;instanceの語源&lt;/span&gt;
instanceは、ラテン語in（中に, 近くに）と、stare（立つ）が合わさってできた語。「実際に目の前に立つ事実」ということから、論理学の用語として「実例, 事例」という意味で使われた。
&lt;span class="obsolete"&gt;（ギリシャ語の論理学用語enstasisの翻訳語として使われたことによる）&lt;/span&gt;
&lt;span class="spacer"&gt;&lt;/span&gt;［for instance］は1650年代から使われている。
&lt;span class="spacer"&gt;&lt;/span&gt;&lt;span class="explanation_tag"&gt;イメージ&lt;/span&gt;
forは「〜として」という意味。そしてexample / instanceは、どちらも「例」という意味になっている。
［for example / instance］は、「例としては〜」というように、具体例を提示する表現として覚えればよい。
&lt;span class="spacer"&gt;&lt;/span&gt;&lt;span class="explanation_tag"&gt;関連語&lt;/span&gt;
ラテン語ex（外に）emere（取る）からは、以下の語も生まれている。
&lt;span class="spacer"&gt;&lt;/span&gt;sample（サンプル, 標本）：exampleは議論や説明における具体例であり、sampleは実物としての見本例。
&lt;span class="spacer"&gt;&lt;/span&gt;ラテン語in（中に, 近くに）stare（立つ）からは、以下の語も生まれている。
&lt;span class="spacer"&gt;&lt;/span&gt;instant（即座の, 差し迫った, 瞬時）：インスタントコーヒーのインスタント。&lt;/span&gt;</t>
    <phoneticPr fontId="1"/>
  </si>
  <si>
    <t>&lt;span class="w"&gt;&lt;b&gt;【146.in any case / event：とにかく, いずれにしても】&lt;/b&gt;&lt;/span&gt;
&lt;span class="ml"&gt;&lt;span class="explanation_tag"&gt;イメージ&lt;/span&gt;
［in any case / event］は「どんな出来事があっても」&lt;span class="arrow"&gt;→&lt;/span&gt;何があっても（どうでもいい）&lt;span class="arrow"&gt;→&lt;/span&gt;「とにかく, いずれにしても」というように発展したと考えればよい。
&lt;span class="spacer"&gt;&lt;/span&gt;&lt;span class="explanation_tag"&gt;関連語&lt;/span&gt;
［at any rate］も考え方は同じ。
どんな費用を払ってでも
&lt;span class="arrow"&gt;→&lt;/span&gt;何をしてでも
&lt;span class="arrow"&gt;→&lt;/span&gt;「とにかく, いずれにしても」&lt;/span&gt;</t>
    <phoneticPr fontId="1"/>
  </si>
  <si>
    <t>&lt;span class="w"&gt;&lt;b&gt;【147.in detail：詳細に】&lt;/b&gt;&lt;/span&gt;
&lt;span class="ml"&gt;&lt;span class="spacer"&gt;&lt;/span&gt;&lt;span class="explanation_tag"&gt;語源&lt;/span&gt;
detailは、古フランス語de（完全に）と、taillier（細かく切る）が合わさってできた語。物理的に細かく切り刻むことから、物事の全体をざっと見るのではなく、細部を見ることへと発展して「詳細」という意味になった。
&lt;span class="spacer"&gt;&lt;/span&gt;&lt;span class="explanation_tag"&gt;イメージ&lt;/span&gt;
［in detail］は、ひとつひとつ細かく切り分けた状態において、という感じ。そこから「詳細に」という意味になる。
&lt;span class="spacer"&gt;&lt;/span&gt;&lt;span class="explanation_tag"&gt;関連語&lt;/span&gt;
tail部分が共通する語。
&lt;span class="spacer"&gt;&lt;/span&gt;retail（小売り）：大量に仕入れた商品を細かく分けて売る&lt;/span&gt;</t>
    <phoneticPr fontId="1"/>
  </si>
  <si>
    <t>&lt;span class="w"&gt;&lt;b&gt;【169.apart from ~：①〜を除いて（除外）, ②〜のほかに（追加）】&lt;/b&gt;&lt;/span&gt;
&lt;span class="ml"&gt;&lt;span class="spacer"&gt;&lt;/span&gt;&lt;span class="explanation_tag"&gt;語源&lt;/span&gt;
apartは、ラテン語ad（〜へ）と、pars（部分）が合わさってできた語。全体から切り離されて部分（part）になる感じから「離れて」という意味になった。
&lt;span class="spacer"&gt;&lt;/span&gt;&lt;span class="explanation_tag"&gt;イメージ&lt;/span&gt;
［apart from A］は、ある話題全体に関して、AとA以外に分けてAを脇へ置き、そこから残りの部分に目を向ける感じ。この表現で大切なのは「Aは一旦置いといて」というイメージ。
&lt;span class="spacer"&gt;&lt;/span&gt;脇に置いたAは、除外するパターンと、Aを前提に追加するパターンがある。どちらにしても「Aを一旦置いといて」と考えればよい。
&lt;span class="spacer"&gt;&lt;/span&gt;①除外
Apart from the price, I like the bag.
［値段］［他の特徴］に分ける。
値段は&lt;strong&gt;脇に置き&lt;/strong&gt;、バッグを気に入っている。
＝値段&lt;strong&gt;を除けば&lt;/strong&gt;、バッグを気に入っている。
&lt;span class="spacer"&gt;&lt;/span&gt;②追加
Apart from the price, this bag is too heavy.
［値段］［他の特徴］に分ける。
値段は&lt;strong&gt;脇に置き&lt;/strong&gt;、バッグは重すぎる。
＝値段（が高いこと）&lt;strong&gt;のほかに&lt;/strong&gt;、重すぎる。
&lt;span class="spacer"&gt;&lt;/span&gt;&lt;span class="explanation_tag"&gt;関連語&lt;/span&gt;
［aside from A］も考え方と意味は同じ。&lt;/span&gt;</t>
    <phoneticPr fontId="1"/>
  </si>
  <si>
    <t>&lt;span class="w"&gt;&lt;b&gt;【170.aside from ~：①〜を除いて（除外）, ②〜のほかに（追加）】&lt;/b&gt;&lt;/span&gt;
&lt;span class="ml"&gt;&lt;/span&gt;&lt;span class="explanation_tag"&gt;イメージ&lt;/span&gt;
［aside from A］は、ある話題全体に関して、AとA以外に分けてAを脇（サイド）へ置き、そこから残りの部分に目を向ける感じ。この表現で大切なのは「Aは一旦置いといて」というイメージ。
&lt;span class="spacer"&gt;&lt;/span&gt;脇に置いたAは、除外するパターンと、Aを前提に追加するパターンがある。どちらにしても「Aを一旦置いといて」と考えればよい。
&lt;span class="spacer"&gt;&lt;/span&gt;①除外
Aside from the price, I like the bag.
［値段］［他の特徴］に分ける。
値段は&lt;strong&gt;脇に置き&lt;/strong&gt;、バッグを気に入っている。
＝値段&lt;strong&gt;を除けば&lt;/strong&gt;、バッグを気に入っている。
&lt;span class="spacer"&gt;&lt;/span&gt;②追加
Aside from the price, this bag is too heavy.
［値段］［他の特徴］に分ける。
値段は&lt;strong&gt;脇に置き&lt;/strong&gt;、バッグは重すぎる。
＝値段（が高いこと）&lt;strong&gt;のほかに&lt;/strong&gt;、重すぎる。
&lt;span class="spacer"&gt;&lt;/span&gt;&lt;span class="explanation_tag"&gt;関連語&lt;/span&gt;
［apart from A］も考え方と意味は同じ。&lt;/span&gt;</t>
    <phoneticPr fontId="1"/>
  </si>
  <si>
    <t>&lt;span class="w"&gt;&lt;b&gt;【229.remember doing：〜したのを覚えている】&lt;/b&gt;&lt;/span&gt;
&lt;span class="ml"&gt;&lt;span class="explanation_tag"&gt;イメージ&lt;/span&gt;
現在分詞 ~ingは進行形に使われるが、リアルな動作のイメージがある。
&lt;span class="spacer"&gt;&lt;/span&gt;［remember doing］は、リアルな動作のイメージ（doing）が頭の中にある（remember）という感じ。そこから、実際に行われたことを覚えている＝「〜したのを覚えている」という意味になる。
&lt;span class="spacer"&gt;&lt;/span&gt;&lt;span class="explanation_tag"&gt;関連語&lt;/span&gt;
［remember to do］は、ある動作に向かうイメージ（to do）が頭の中にある（remember）という感じ。そこから、後で何かをすることを覚えている＝「忘れずに〜する」という意味になる。&lt;/span&gt;</t>
    <phoneticPr fontId="1"/>
  </si>
  <si>
    <t>&lt;span class="w"&gt;&lt;b&gt;【943.dimension：側面, 次元, 大きさ, 寸法】&lt;/b&gt;&lt;/span&gt;
&lt;span class="ml"&gt;ラテン語に由来する語で、以下の3つの要素から成る。
&lt;span class="spacer"&gt;&lt;/span&gt;dis（分けて）
metiri（測る）
io（名詞化）
&lt;span class="spacer"&gt;&lt;/span&gt;このまま日本語にすると「分けて測定すること」となる。ある物体を縦、横、深さと、別々の方向に測るイメージから、物理的な「大きさ, 寸法」という意味になる。
&lt;span class="spacer"&gt;&lt;/span&gt;測定する大きさや寸法が
&lt;span class="spacer"&gt;&lt;/span&gt;1つなら1 dimension＝直線
（1次元：長さ）
&lt;span class="spacer"&gt;&lt;/span&gt;2つなら2 dimensions＝平面
（2次元：長さ・面積）
&lt;span class="spacer"&gt;&lt;/span&gt;3つなら3 dimensions＝空間
（3次元：長さ・面積・体積）
になる。
&lt;span class="spacer"&gt;&lt;/span&gt;ここから「〇次元」という意味になる。
&lt;span class="spacer"&gt;&lt;/span&gt;dimensionに応じて長さ、面積、体積といったそれぞれ独立した測定観点がある。そこから比喩的に、物事を考えるときの一つひとつの異なる観点、つまり物事の「側面」という意味になる。&lt;/span&gt;
&lt;div class="animation dimension"&gt;&lt;/div&gt;</t>
    <phoneticPr fontId="1"/>
  </si>
  <si>
    <t>&lt;span class="w"&gt;&lt;b&gt;【133.more or less：①多かれ少なかれ, ②ほぼ, おおよそ】&lt;/b&gt;&lt;/span&gt;
&lt;span class="ml"&gt;&lt;span class="spacer"&gt;&lt;/span&gt;&lt;span class="explanation_tag"&gt;語源&lt;/span&gt;
more or lessの「多かれ少なかれ」という意味は、13世紀初頭から見られる。これは「より多くてもより少なくても」という直訳通りの意味。
&lt;span class="spacer"&gt;&lt;/span&gt;近似を表す「ほぼ」という使い方は1580年代から確認される。ある数値やある状況に対して「実際はそれよりも多いかもしれないし、少ないかもしれない」というニュアンスから、多少の誤差はあるけれど「ほぼ, おおよそ」という意味へ発展した。&lt;/span&gt;</t>
  </si>
  <si>
    <t>&lt;span class="w"&gt;&lt;b&gt;【263.at first：最初は】&lt;/b&gt;&lt;/span&gt;
&lt;span class="ml"&gt;最初（first）のときに（at）という直訳通り、「最初は」という意味になる。&lt;/span&gt;</t>
  </si>
  <si>
    <t>&lt;span class="w"&gt;&lt;b&gt;【264.for the first time：初めて】&lt;/b&gt;&lt;/span&gt;
&lt;span class="ml"&gt;最初の回（the first time）として（for）という直訳通り、「初めて」という意味になる。&lt;/span&gt;</t>
  </si>
  <si>
    <t>&lt;span class="w"&gt;&lt;b&gt;【275.as a matter of course：当然のこととして】&lt;/b&gt;&lt;/span&gt;
&lt;span class="ml"&gt;&lt;span class="explanation_tag"&gt;語源&lt;/span&gt;
matterは、ラテン語mater（母, 起源）に由来すると考えられる。あらゆるものを生みだす核となるものというイメージから、「物質, 事柄」という名詞や「重要である」という動詞になる。
&lt;span class="spacer"&gt;&lt;/span&gt;of courseは、1540年代から見られる表現。コース通りに進むことから、「いつも通り変わらない, 当然の」という意味になった。
&lt;span class="spacer"&gt;&lt;/span&gt;&lt;span class="explanation_tag"&gt;イメージ&lt;/span&gt;
［as a matter of course］は直訳通り、当然の（of course）事柄（a matter）として（as）という意味になる。&lt;/span&gt;</t>
  </si>
  <si>
    <t>&lt;span class="w"&gt;&lt;b&gt;【276.as a matter of fact：事実として】&lt;/b&gt;&lt;/span&gt;
&lt;span class="ml"&gt;&lt;span class="explanation_tag"&gt;語源&lt;/span&gt;
matterは、ラテン語mater（母, 起源）に由来すると考えられる。あらゆるものを生みだす核となるものというイメージから、「物質, 事柄」という名詞や「重要である」という動詞になる。
&lt;span class="spacer"&gt;&lt;/span&gt;of courseは、1540年代から見られる表現。コース通りに進むことから、「いつも通り変わらない, 当然の」という意味になった。
&lt;span class="spacer"&gt;&lt;/span&gt;&lt;span class="explanation_tag"&gt;イメージ&lt;/span&gt;
［as a matter of fact］は直訳通り、事実の（of course）事柄（a matter）として（as）という意味になる。&lt;/span&gt;</t>
  </si>
  <si>
    <t>&lt;span class="w"&gt;&lt;b&gt;【279.inside out：裏返して, ひっくり返して】&lt;/b&gt;&lt;/span&gt;
&lt;span class="ml"&gt;inside（中側, インサイド）がout（外側）になっていることを表して、「裏返して」という意味になる。&lt;/span&gt;</t>
  </si>
  <si>
    <t>&lt;span class="w"&gt;&lt;b&gt;【280.upside down：上下逆さまに, ひっくり返って】&lt;/b&gt;&lt;/span&gt;
&lt;span class="ml"&gt;upside（上側）がdown（下）になっていることを表して、「上下逆さまに, ひっくり返って」という意味になる。&lt;/span&gt;</t>
  </si>
  <si>
    <t>&lt;span class="w"&gt;&lt;b&gt;【281.provide A with B：AにBを供給する】&lt;/b&gt;&lt;/span&gt;
&lt;span class="ml"&gt;&lt;span class="explanation_tag"&gt;語源&lt;/span&gt;
provideは、ラテン語pro（前に）と、videre（見る）が合わさってできた語。先を見越して前もって備えることから、必要なものを「供給する」という意味になった。
&lt;span class="spacer"&gt;&lt;/span&gt;&lt;span class="explanation_tag"&gt;イメージ&lt;/span&gt;
［provide A with B］は、必要なものBがAにくっついた状態（A with B）を与える（provide）というイメージ。そこから「AにBを供給する」という意味になる。
&lt;span class="spacer"&gt;&lt;/span&gt;&lt;span class="explanation_tag"&gt;関連語&lt;/span&gt;
［supply A with B］は、必要なものBでAを（A with B）満たす（supply）というイメージ。そこから「AにBを供給する」という意味になる。&lt;/span&gt;</t>
  </si>
  <si>
    <t>&lt;span class="w"&gt;&lt;b&gt;【282.supply A with B：AにBを供給する】&lt;/b&gt;&lt;/span&gt;
&lt;span class="ml"&gt;&lt;span class="explanation_tag"&gt;語源&lt;/span&gt;
supplyは、ラテン語sub（下から）と、plare（満たす）が合わさってできた語。下から不足を埋めることから、必要なものを継続的に「供給する」という意味になった。
&lt;span class="spacer"&gt;&lt;/span&gt;&lt;span class="explanation_tag"&gt;イメージ&lt;/span&gt;
［supply A with B］は、必要なものBでAを（A with B）満たす（supply）というイメージ。そこから「AにBを供給する」という意味になる。
&lt;span class="spacer"&gt;&lt;/span&gt;supplyは、suppliment（サプリメント, 補うもの）と同じ語源。サプリから供給や補給というイメージが出てくる。
&lt;span class="spacer"&gt;&lt;/span&gt;&lt;span class="explanation_tag"&gt;関連語&lt;/span&gt;
［provide A with B］は、必要なものBがAにくっついた状態（A with B）を与える（provide）というイメージ。そこから「AにBを供給する」という意味になる。&lt;/span&gt;</t>
  </si>
  <si>
    <t>&lt;span class="w"&gt;&lt;b&gt;【283.mistake A for B：AをBと間違える】&lt;/b&gt;&lt;/span&gt;
&lt;span class="ml"&gt;これは直訳通り、AをBとして（A for B）間違えるという意味になる。&lt;/span&gt;</t>
  </si>
  <si>
    <t>&lt;span class="w"&gt;&lt;b&gt;【298.lie in ~：〜にある】&lt;/b&gt;&lt;/span&gt;
&lt;span class="ml"&gt;&lt;span class="explanation_tag"&gt;イメージ&lt;/span&gt;
［lie in A］は、Aの中に（in A）横たわったままいる（lie）というイメージから、「Aにある」という存在を示す意味になる。&lt;/span&gt;</t>
  </si>
  <si>
    <t>&lt;span class="w"&gt;&lt;b&gt;【85.think over ~：〜をよく考える】&lt;/b&gt;&lt;/span&gt;
&lt;span class="ml"&gt;&lt;span class="explanation_tag"&gt;イメージ&lt;/span&gt;
thinkに全体を覆うイメージのoverが付くことで、隅々までしっかり考えることを表して、「よく考える」という意味になる。&lt;/span&gt;</t>
    <phoneticPr fontId="1"/>
  </si>
  <si>
    <t>&lt;span class="w"&gt;&lt;b&gt;【100.pay attention to ~：〜に注意を払う】&lt;/b&gt;&lt;/span&gt;
&lt;span class="ml"&gt;&lt;span class="explanation_tag"&gt;語源&lt;/span&gt;
payは、ラテン語pacare（なだめる, 平和にする）に由来する。相手をなだめることから、相手に与えるべきものを差し出して満足させることへと発展した。
&lt;span class="spacer"&gt;&lt;/span&gt;attentionは、ad（〜へ）と、tendere（伸ばす）が合わさってできた語。心や意識をある対象へ伸ばすことから、意識を注ぐ「注意」という意味になった。
&lt;span class="explanation_tag"&gt;イメージ&lt;/span&gt;
payは「支払う」というイメージがあるかもしれないが、語源的には「与えるべきものを差し出す」が核にある。そこから［pay attention］で「注意を払う」という意味になる。
&lt;span class="spacer"&gt;&lt;/span&gt;［to A］で注意を向ける対象を示す。&lt;/span&gt;</t>
    <phoneticPr fontId="1"/>
  </si>
  <si>
    <t>&lt;span class="w"&gt;&lt;b&gt;【101.take care of ~：〜に気をつける, 〜の世話をする】&lt;/b&gt;&lt;/span&gt;
&lt;span class="ml"&gt;&lt;span class="explanation_tag"&gt;イメージ&lt;/span&gt;
［take care of A］は、直訳すると「Aへのcareを引き受ける」となる。つまり、Aに対して心を配ることから、「Aに気をつける, 世話をする」という意味になる。&lt;/span&gt;</t>
    <phoneticPr fontId="1"/>
  </si>
  <si>
    <t>&lt;span class="w"&gt;&lt;b&gt;【119.~ and so on / forth：〜など】&lt;/b&gt;&lt;/span&gt;
&lt;span class="ml"&gt;&lt;span class="explanation_tag"&gt;語源&lt;/span&gt;
and so forthは古英語（500年〜1100年）から確認され、and so onは1724年から確認されている。
&lt;span class="spacer"&gt;&lt;/span&gt;&lt;span class="explanation_tag"&gt;イメージ&lt;/span&gt;
前に挙げられたものと同様のもの（so）が、この先も続く（forth / on）ことを表すので、「〜など」という意味になる。
&lt;span class="spacer"&gt;&lt;/span&gt;forthは「前方」を表し、onは「継続」を表す。&lt;/span&gt;</t>
    <phoneticPr fontId="1"/>
  </si>
  <si>
    <t>&lt;span class="w"&gt;&lt;b&gt;【165.owing / due to ~： ~のために, ~のおかげで】&lt;/b&gt;&lt;/span&gt;
&lt;span class="ml"&gt;&lt;span class="explanation_tag"&gt;語源&lt;/span&gt;
dueは、ラテン語de（離れて）とhabere（持つ）が合わさってできた語。何かを持ち主から離れて持っている、つまり何かを借りている・負っていることを表した。
&lt;span class="spacer"&gt;&lt;/span&gt;oweは、古英語aganにさかのぼる。この古英語は、dueのもとになったラテン語debere（借りている, 負っている）の翻訳語として使用された。それによりoweは、現在の「借りがある, 負っている, おかげだと思う」という意味になった。
&lt;span class="spacer"&gt;&lt;/span&gt;原因・理由を表す［owing to A］は1650年代に、［due to A］は1660年代に見られ、どちらも同じ時期に生まれている。
&lt;span class="spacer"&gt;&lt;/span&gt;&lt;span class="explanation_tag"&gt;イメージ&lt;/span&gt;
おおざっぱに言うと、oweは、dueのもとになったラテン語を翻訳したことで生まれた語。そのため両方とも「借りている」が意味の核となっている。
&lt;span class="spacer"&gt;&lt;/span&gt;［owing / due to A］は、ある結果は、Aという原因に対して借りを負っているというイメージ。そこから「Aのために, Aのおかげで」という意味になる。
&lt;span class="spacer"&gt;&lt;/span&gt;&lt;span class="explanation_tag"&gt;補足&lt;/span&gt;
かつては、dueは形容詞なので、Due to A, S V ~. という前置詞句的な使い方は非文法だと見なされた。前置詞句的な使用は、動詞oweを用いるowing toでなければならない、と言われたのである。
&lt;span class="spacer"&gt;&lt;/span&gt;しかし現在では、両者の文法的な区別はなくなっている。&lt;/span&gt;</t>
    <phoneticPr fontId="1"/>
  </si>
  <si>
    <t>&lt;span class="w"&gt;&lt;b&gt;【167.in spite of ~：〜にもかかわらず】&lt;/b&gt;&lt;/span&gt;
&lt;span class="ml"&gt;［in spite of A］と同じ意味で［despite A］という表現もある。この2つはセットにして理解しておくとよい。
&lt;span class="explanation_tag"&gt;spite / despiteの語源&lt;/span&gt;
spiteは、despiteのdeが消失して生まれた語。つまりもとはdespiteの1語しかなかった。
&lt;span class="spacer"&gt;&lt;/span&gt;despiteは、ラテン語de（下に）と、specere（見る）が合わさってできた語。対象を下に見る、つまり見下す・軽蔑することを表した。
&lt;span class="spacer"&gt;&lt;/span&gt;&lt;span class="explanation_tag"&gt;despite A / in spite of&lt;/span&gt;
1300年頃、当時フランスに征服されていたイングランドでは、貴族や支配階級はフランス語を使用していた。
&lt;span class="spacer"&gt;&lt;/span&gt;そこで使われていたアングロ・フランス語en despit de（〜を軽視して）の翻訳として、英語in despite ofという表現が生まれる。
&lt;span class="spacer"&gt;&lt;/span&gt;そしてこの表現から、1400年頃に、inとofが消えた［despite A］と、despiteのdeが消えた［in spite of A］が生まれた。
&lt;span class="spacer"&gt;&lt;/span&gt;どちらも意味は「Aにもかかわらず」である。これは、もともとの軽蔑という意味からの発展したもの。
&lt;span class="spacer"&gt;&lt;/span&gt;下に見るということは、対象の存在を軽視し、それが存在しても大したことない、と見なすことを意味する。
&lt;span class="spacer"&gt;&lt;/span&gt;そこから
Despite the heavy rain, they went out. 
In spite of the heavy rain, they went out. 
のように、大雨なら出かけるのを控えるところ、それを軽視して出かけた＝大雨&lt;strong&gt;にもかかわらず&lt;/strong&gt;出かけた、という意味になった。&lt;/span&gt;</t>
    <phoneticPr fontId="1"/>
  </si>
  <si>
    <t>&lt;span class="w"&gt;&lt;b&gt;【188.find fault with ~：〜にけちをつける, 〜を非難する】&lt;/b&gt;&lt;/span&gt;
&lt;span class="ml"&gt;&lt;span class="explanation_tag"&gt;イメージ&lt;/span&gt;
［find fault with A］は、Aにくっついている（with A）欠点（fault）を見つける（find）ことから、「Aにけちをつける, 非難する」という意味になる。
&lt;span class="spacer"&gt;&lt;/span&gt;&lt;span class="explanation_tag"&gt;関連語&lt;/span&gt;
criticize（批判する）&lt;/span&gt;</t>
    <phoneticPr fontId="1"/>
  </si>
  <si>
    <t>&lt;span class="w"&gt;&lt;b&gt;【189.get over ~：〜を克服する, （病気から）回復する】&lt;/b&gt;&lt;/span&gt;
&lt;span class="ml"&gt;&lt;span class="explanation_tag"&gt;イメージ&lt;/span&gt;
［get over A］は、Aを超えた（over）状態になる（get）ことから、「Aを克服する」や、病気を乗り越えて「回復する」という意味になる。
目の前の壁を越えるイメージ。
&lt;span class="spacer"&gt;&lt;/span&gt;&lt;span class="explanation_tag"&gt;関連語&lt;/span&gt;
overcome（克服する）&lt;/span&gt;</t>
    <phoneticPr fontId="1"/>
  </si>
  <si>
    <t>&lt;span class="w"&gt;&lt;b&gt;【190.hand in ~：（手渡しで）〜を提出する, 届ける】&lt;/b&gt;&lt;/span&gt;
&lt;span class="ml"&gt;&lt;span class="explanation_tag"&gt;イメージ&lt;/span&gt;
［hand in A］は、相手の領域の中に（in）Aを手で渡す（hand）ことから、「Aを手渡しで提出する, 届ける」という意味になる。
&lt;span class="spacer"&gt;&lt;/span&gt;&lt;span class="explanation_tag"&gt;補足&lt;/span&gt;
hand ~ inの語順にもなる。
&lt;span class="spacer"&gt;&lt;/span&gt;&lt;span class="explanation_tag"&gt;関連語&lt;/span&gt;
submit（提出する）&lt;/span&gt;</t>
    <phoneticPr fontId="1"/>
  </si>
  <si>
    <t>&lt;span class="w"&gt;&lt;b&gt;【191.learn ~ by heart：〜を暗記する】&lt;/b&gt;&lt;/span&gt;
&lt;span class="ml"&gt;&lt;span class="explanation_tag"&gt;イメージ&lt;/span&gt;
［learn A by heart］は、心によって（by heart）Aを覚え込む（learn）ことから、「Aを暗記している」という意味になる。心や体にしっかり染み込んでいて、いつでも引き出せるイメージ。
&lt;span class="spacer"&gt;&lt;/span&gt;&lt;span class="explanation_tag"&gt;関連語&lt;/span&gt;
memorize（暗記する）
know ~ by heart（〜を暗記&lt;strong&gt;している&lt;/strong&gt;）&lt;/span&gt;</t>
    <phoneticPr fontId="1"/>
  </si>
  <si>
    <t>&lt;span class="w"&gt;&lt;b&gt;【204.in connection with ~：〜に関連して】&lt;/b&gt;&lt;/span&gt;
&lt;span class="ml"&gt;&lt;span class="explanation_tag"&gt;イメージ&lt;/span&gt;
connectionは「コネがある」の元になった語で、connect（結びつける, つなぐ）の名詞。
［in connection with A］は、Aと（with）結びついた状態（connection）の中に（in）あるというイメージから、「Aに関連して」という意味になる。&lt;/span&gt;</t>
    <phoneticPr fontId="1"/>
  </si>
  <si>
    <t>&lt;span class="w"&gt;&lt;b&gt;【241.make the best of ~：（不利な状況で）〜を最大限利用する】&lt;/b&gt;&lt;/span&gt;
&lt;span class="ml"&gt;&lt;span class="explanation_tag"&gt;イメージ&lt;/span&gt;
［make the best of A］は、Aの最善の状態を（the best of A）を作り出す（make）というイメージから、「Aを最大限利用する」という意味になる。
&lt;span class="spacer"&gt;&lt;/span&gt;beat（最善）なので、&lt;strong&gt;よくない状況の中で&lt;/strong&gt;ベストを作り出すというニュアンスになる。
&lt;span class="spacer"&gt;&lt;/span&gt;&lt;span class="explanation_tag"&gt;関連語&lt;/span&gt;
［make the most of A］は、Aの最大を（the most of A）を引き出す（make）というイメージから、「Aを最大限利用する」という意味になる。&lt;/span&gt;</t>
    <phoneticPr fontId="1"/>
  </si>
  <si>
    <t>&lt;span class="w"&gt;&lt;b&gt;【242.make the most of ~：〜を最大限利用する】&lt;/b&gt;&lt;/span&gt;
&lt;span class="ml"&gt;&lt;span class="explanation_tag"&gt;イメージ&lt;/span&gt;
［make the most of A］は、Aの最大を（the most of A）を引き出す（make）というイメージから、「Aを最大限利用する」という意味になる。
&lt;span class="spacer"&gt;&lt;/span&gt;&lt;span class="explanation_tag"&gt;関連語&lt;/span&gt;
［make the best of A］は、Aの最善の状態を（the best of A）を作り出す（make）というイメージから、「Aを最大限利用する」という意味になる。
&lt;span class="spacer"&gt;&lt;/span&gt;beat（最善）なので、&lt;strong&gt;よくない状況の中で&lt;/strong&gt;ベストを作り出すというニュアンスになる。&lt;/span&gt;</t>
    <phoneticPr fontId="1"/>
  </si>
  <si>
    <t>&lt;span class="w"&gt;&lt;b&gt;【253.be tired from / with ~：〜で疲れている】&lt;/b&gt;&lt;/span&gt;
&lt;span class="ml"&gt;&lt;span class="explanation_tag"&gt;イメージ&lt;/span&gt;
「be tired from / with A」は、Aという原因から（from A）疲れている（be tired）や、Aを抱えて（with A）疲れている（be tired）というイメージ。
&lt;span class="spacer"&gt;&lt;/span&gt;&lt;span class="explanation_tag"&gt;関連語&lt;/span&gt;
「be tired of A」は、Aという対象に（of A）疲れている（be tired）ことから、疲れ切るほど「Aに飽きている, うんざりしている」という意味になる。
&lt;span class="spacer"&gt;&lt;/span&gt;of Aなら、Aという対象に疲れきって「飽きている, うんざりしている」。
&lt;span class="spacer"&gt;&lt;/span&gt;from Aなら、Aという起点から疲労感がきて「疲れている」。&lt;/span&gt;</t>
    <rPh sb="341" eb="342">
      <t>ツカ</t>
    </rPh>
    <rPh sb="343" eb="344">
      <t>キ</t>
    </rPh>
    <phoneticPr fontId="1"/>
  </si>
  <si>
    <t>&lt;span class="w"&gt;&lt;b&gt;【254.be tired of ~：〜に飽きている, うんざりしている】&lt;/b&gt;&lt;/span&gt;
&lt;span class="ml"&gt;&lt;span class="explanation_tag"&gt;イメージ&lt;/span&gt;
「be tired of A」は、Aという対象に（of A）疲れている（be tired）ことから、疲れ切るほど「Aに飽きている, うんざりしている」という意味になる。
&lt;span class="spacer"&gt;&lt;/span&gt;&lt;span class="explanation_tag"&gt;関連語&lt;/span&gt;
「be tired from / with A」は、Aという原因から（from A）疲れている（be tired）や、Aを抱えて（with A）疲れている（be tired）というイメージ。
&lt;span class="spacer"&gt;&lt;/span&gt;from Aなら、Aという起点から疲労感がきて「疲れている」。
&lt;span class="spacer"&gt;&lt;/span&gt;of Aなら、Aという対象に疲れきって「飽きている, うんざりしている」。&lt;/span&gt;</t>
    <rPh sb="177" eb="178">
      <t>ツカ</t>
    </rPh>
    <rPh sb="179" eb="180">
      <t>キ</t>
    </rPh>
    <phoneticPr fontId="1"/>
  </si>
  <si>
    <t>&lt;span class="w"&gt;&lt;b&gt;【284.take A for B：AをBだと思う】&lt;/b&gt;&lt;/span&gt;
&lt;span class="ml"&gt;これは直訳通すると、AをBとして（A for B）取る（take）となる。そこから「AをBと思う」という意味になる。&lt;/span&gt;</t>
    <phoneticPr fontId="1"/>
  </si>
  <si>
    <t>&lt;span class="w"&gt;&lt;b&gt;【285.look on / upon A as B：AをBと見なす】&lt;/b&gt;&lt;/span&gt;
&lt;span class="ml"&gt;&lt;span class="explanation_tag"&gt;語源&lt;/span&gt;
現在は、視線を何かに向ける（見る）ことをlook atと表現するが、atが使われ始めたのは14世紀のこと。それ以前はlook onが使われていた。
&lt;span class="spacer"&gt;&lt;/span&gt;&lt;span class="explanation_tag"&gt;イメージ&lt;/span&gt;
［look on A as B］は、Bとして（as）Aを見る（look on A）ことから、「AをBと見なす」という意味になる。&lt;/span&gt;</t>
    <phoneticPr fontId="1"/>
  </si>
  <si>
    <t>&lt;span class="w"&gt;&lt;b&gt;【286.think of A as B：AをBとして考える】&lt;/b&gt;&lt;/span&gt;
&lt;span class="ml"&gt;これは、直訳通り「AをBとして考える」という意味になる。&lt;/span&gt;</t>
    <phoneticPr fontId="1"/>
  </si>
  <si>
    <t>&lt;span class="w"&gt;&lt;b&gt;【288.tell A from B：AをBと区別する】&lt;/b&gt;&lt;/span&gt;
&lt;span class="ml"&gt;&lt;span class="explanation_tag"&gt;イメージ&lt;/span&gt;
［tell A from B］は、Bから（from B）離してAを言葉にする（tell）イメージ。つまり、BとAを分けてAに言及することから「AをBと区別する」という意味になる。&lt;/span&gt;</t>
  </si>
  <si>
    <t>&lt;span class="w"&gt;&lt;b&gt;【319.feel sorry for ~：〜をかわいそうに思う, 〜を気の毒に思う, 〜に同情する】&lt;/b&gt;&lt;/span&gt;
&lt;span class="ml"&gt;&lt;span class="explanation_tag"&gt;語源&lt;/span&gt;
sorryは、古英語sarig（悲しんでいる, 残念に思う）にさかのぼる。I'm sorryやsorry1語による謝罪表現は1834年までに確認される、非常に新しい使われ方。
&lt;span class="explanation_tag"&gt;イメージ&lt;/span&gt;
［feel sorry for A］は直訳すると、Aに対して（for A）残念に（sorry）感じる（feel）となる。かわいそう、気の毒という同情の気持ちを表す言葉であり、「Aをかわいそうに思う, Aを気の毒に思う, 〜に同情する」という意味になる。&lt;/span&gt;</t>
  </si>
  <si>
    <t>&lt;span class="w"&gt;&lt;b&gt;【320.take / have pity on ~：〜をかわいそうだと思う, 〜に同情する】&lt;/b&gt;&lt;/span&gt;
&lt;span class="ml"&gt;&lt;span class="explanation_tag"&gt;イメージ&lt;/span&gt;
［take / have pity on A］は直訳すると、Aへ乗っける（on A）哀れみの気持ち（pity）を取る（take）/ have（持つ）となる。
&lt;span class="spacer"&gt;&lt;/span&gt;つまり、Aに対して哀れでかわいそうだという感情を持つことから、「Aをかわいそうだと思う, Aに同情する」という意味になる。
&lt;span class="spacer"&gt;&lt;/span&gt;&lt;span class="explanation_tag"&gt;補足&lt;/span&gt;
haveは古風な表現。&lt;/span&gt;</t>
  </si>
  <si>
    <t>&lt;span class="w"&gt;&lt;b&gt;【322.take pride in ~：〜を誇りに思う】&lt;/b&gt;&lt;/span&gt;
&lt;span class="ml"&gt;&lt;span class="explanation_tag"&gt;イメージ&lt;/span&gt;
［take pride in A］は、Aにおいて（in A）誇り（pride）を手に取る（take）というイメージ。そこから、「Aを誇りに思う」という意味になる。&lt;/span&gt;</t>
  </si>
  <si>
    <t>&lt;span class="w"&gt;&lt;b&gt;【323.pride oneself on ~：〜を誇りに思う】&lt;/b&gt;&lt;/span&gt;
&lt;span class="ml"&gt;&lt;span class="explanation_tag"&gt;イメージ&lt;/span&gt;
［pride oneself on A］は、Aという話の土台の上で（on A）自分自身を（oneself）誇っている（pride）となる。つまり、Aに関して自分自身を誇りに思う＝「Aを誇りに思う」という意味になる。&lt;/span&gt;</t>
  </si>
  <si>
    <t>&lt;span class="w"&gt;&lt;b&gt;【327.be indispensable to / for ~：〜にとって不可欠である】&lt;/b&gt;&lt;/span&gt;
&lt;span class="ml"&gt;&lt;span class="explanation_tag"&gt;イメージ&lt;/span&gt;
indispensableは、in（否定）dispense（なしで済ます）able（できる）と考えればよい。各要素をそのまま日本語にすれば、「なしで済ませることができない」＝「必要不可欠である」という意味になる。
&lt;span class="spacer"&gt;&lt;/span&gt;［be indispensable to A］は、toで対象を示して「Aにとって必要不可欠である」という意味になる。
&lt;span class="spacer"&gt;&lt;/span&gt;［be indispensable for A］は、forで目的を示して「Aのために必要不可欠である」という意味になる。&lt;/span&gt;</t>
  </si>
  <si>
    <t>&lt;span class="w"&gt;&lt;b&gt;【328.be equal to ~：〜に等しい, 〜と同一である】&lt;/b&gt;&lt;/span&gt;
&lt;span class="ml"&gt;［be equal to A］は直訳すると、「Aに等しい」という意味になる。イコールなので完全一致、同一であることを表す。
&lt;span class="spacer"&gt;&lt;/span&gt;&lt;span class="explanation_tag"&gt;関連語&lt;/span&gt;
［be equivalent to A］は、Aに対して（to A）同じような価値がある（be equivalent）ことから、「Aと同等である, Aに相当する」という意味になる。
&lt;span class="spacer"&gt;&lt;/span&gt;equivalentは、equal＋valueなので完全一致ではない。&lt;/span&gt;</t>
  </si>
  <si>
    <t>&lt;span class="w"&gt;&lt;b&gt;【330.be apt to do：〜しがちである】&lt;/b&gt;&lt;/span&gt;
&lt;span class="ml"&gt;&lt;span class="explanation_tag"&gt;語源&lt;/span&gt;
aptは、ラテン語apere（結びつける）から派生したaptus（適した）に由来する。
&lt;span class="spacer"&gt;&lt;/span&gt;AとBが「結びついている」ことから、AがBに「ピッタリ適している」ことへと発展した。
&lt;span class="spacer"&gt;&lt;/span&gt;さらに、適しているということから「何かをするのに向いている」、そして「放っておいたらそれをしてしまう」＝「〜しがちである」という意味になった。
&lt;span class="spacer"&gt;&lt;/span&gt;たとえば、〈ある人〉と〈忘れ物をする〉が結びついているとすると、その人は忘れ物をすることにピッタリ適している。
&lt;span class="spacer"&gt;&lt;/span&gt;ということは、その人は忘れ物をするのに向いており、放っておいたら「忘れ物しがち」という状態になる。
&lt;span class="spacer"&gt;&lt;/span&gt;&lt;span class="explanation_tag"&gt;イメージ&lt;/span&gt;
［be apt to do］は、何かをすること（to do）と結びついて適している（be apt）ことから、「〜しがちである」という意味になる。&lt;/span&gt;</t>
  </si>
  <si>
    <t>&lt;span class="w"&gt;&lt;b&gt;【22.be absent from ~：～を欠席する】&lt;/b&gt;&lt;/span&gt;
&lt;span class="ml"&gt;&lt;span class="explanation_tag"&gt;語源&lt;/span&gt;
absentは、ラテン語ab（離れて）と、esse（存在する）が合わさってできた語。離れた別の場所に存在するというイメージから、いまここにはいない＝「欠席している」という意味になる。
&lt;span class="spacer"&gt;&lt;/span&gt;&lt;span class="explanation_tag"&gt;イメージ&lt;/span&gt;
［S is absent from A］は、Aという所からab（離れて）sent（存在する）ので「Aを欠席する」という意味になる。
&lt;span class="spacer"&gt;&lt;/span&gt;&lt;span class="explanation_tag"&gt;補足&lt;/span&gt;
presentは、ラテン語prae（前に）と、esse（存在する）が合わさってできた語。いま目の前に存在するというイメージから「出席している」となる。&lt;/span&gt;</t>
  </si>
  <si>
    <t>&lt;span class="w"&gt;&lt;b&gt;【90.make sense：意味をなす, 理にかなっている】&lt;/b&gt;&lt;/span&gt;
&lt;span class="ml"&gt;&lt;span class="explanation_tag"&gt;語源&lt;/span&gt;
senseは、印欧祖語*sent-（行く）から生まれたラテン語sentire（感じる, 知る）に由来する。
&lt;span class="spacer"&gt;&lt;/span&gt;物理的に道を行くことから比喩的に、心や意識がある方向に向かうことを表すようになった。さらにそこから、心や意識が対象に向かい、それを捉えることへと発展して、五感（心）でつかむ「感覚」や、理性（意識）でつかむ「理解, 意味」という意味になった。
&lt;span class="spacer"&gt;&lt;/span&gt;&lt;span class="explanation_tag"&gt;イメージ&lt;/span&gt;
日本語でセンスと言うと感覚を思い浮かべるが、英語senseは、語源で見た通り「心や頭を通して捉えるもの」というイメージなので、「感覚」だけではなく「理解, 意味」という意味も持つ。
&lt;span class="spacer"&gt;&lt;/span&gt;［make sense］は、心や頭を通して捉えることができる、つまり「理解できる状態にする」ことから、「意味をなす」や「理にかなっている」という意味になる。&lt;/span&gt;</t>
  </si>
  <si>
    <t>&lt;span class="w"&gt;&lt;b&gt;【211.as a (general) rule：普通は, 概して】&lt;/b&gt;&lt;/span&gt;
&lt;span class="ml"&gt;&lt;span class="explanation_tag"&gt;イメージ&lt;/span&gt;
このまま日本語にすると「（一般的な）ルールとして」となる。このルールは絶対的に守るべきものではなく、習慣的なルールのような程度の軽いもの。例外はあるかもしれないが「普通は」という意味になる。&lt;/span&gt;</t>
  </si>
  <si>
    <t>&lt;span class="w"&gt;&lt;b&gt;【332.in a sense：ある意味で, ある点で】&lt;/b&gt;&lt;/span&gt;
&lt;span class="ml"&gt;&lt;span class="explanation_tag"&gt;語源&lt;/span&gt;
senseは、印欧祖語*sent-（行く）から生まれたラテン語sentire（感じる, 知る）に由来する。
&lt;span class="spacer"&gt;&lt;/span&gt;物理的に道を行くことから比喩的に、心や意識がある方向に向かうことを表すようになった。さらにそこから、心や意識が対象に向かい、それを捉えることへと発展して、五感（心）でつかむ「感覚」や、理性（意識）でつかむ「理解, 意味」という意味になった。
&lt;span class="spacer"&gt;&lt;/span&gt;&lt;span class="explanation_tag"&gt;イメージ&lt;/span&gt;
日本語でセンスと言うと感覚を思い浮かべるが、英語senseは、語源で見た通り「心や頭を通して捉えるもの」というイメージなので、「感覚」だけではなく「理解, 意味」という意味も持つ。
&lt;span class="spacer"&gt;&lt;/span&gt;［in a sense］は直訳通り、ある意味（a sense）の中で（in）＝「ある意味で, ある点で」という意味になる。&lt;/span&gt;</t>
  </si>
  <si>
    <t>&lt;span class="w"&gt;&lt;b&gt;【333.in a way：ある意味で, ある点で】&lt;/b&gt;&lt;/span&gt;
&lt;span class="ml"&gt;これは直訳すると、ある道（a way）の中で（in）となる。たくさんある道や方法の中のある一つを表して、「ある意味で, ある点で」という意味になる。&lt;/span&gt;</t>
  </si>
  <si>
    <t>&lt;span class="w"&gt;&lt;b&gt;【334.first of all：まず第一に】&lt;/b&gt;&lt;/span&gt;
&lt;span class="ml"&gt;［first of all］は直訳すると、全部の中で（of all）最初（first）なので、他よりも最初に＝「まず第一に」という意味になる。&lt;/span&gt;</t>
  </si>
  <si>
    <t>&lt;span class="w"&gt;&lt;b&gt;【335.in the first place：まず第一に】&lt;/b&gt;&lt;/span&gt;
&lt;span class="ml"&gt;［in the first place］は直訳すると、第一番目の場所（the first place）において（in）なので、他よりも最初に＝「まず第一に」という意味になる。&lt;/span&gt;</t>
  </si>
  <si>
    <t>&lt;span class="w"&gt;&lt;b&gt;【336.back and forth：前後に, 行ったり来たり】&lt;/b&gt;&lt;/span&gt;
&lt;span class="ml"&gt;［back and forth］は直訳すると、後ろに（back）そして（and）前に（forth）なので、「前後に」となる。
&lt;span class="spacer"&gt;&lt;/span&gt;また前に行ったり後ろに行ったりする動きから、「行ったり来たり」という意味になる。&lt;/span&gt;</t>
  </si>
  <si>
    <t>&lt;span class="w"&gt;&lt;b&gt;【337.up and down：上下に, 行ったり来たり】&lt;/b&gt;&lt;/span&gt;
&lt;span class="ml"&gt;［up and down］は直訳すると、上に（up）そして（and）下に（down）なので、「上下に」となる。
&lt;span class="spacer"&gt;&lt;/span&gt;また上に行ったり下に行ったりする動きから、「行ったり来たり」という意味になる。&lt;/span&gt;</t>
  </si>
  <si>
    <t>&lt;span class="w"&gt;&lt;b&gt;【338.at present：現在は】&lt;/b&gt;&lt;/span&gt;
&lt;span class="ml"&gt;&lt;span class="explanation_tag"&gt;語源&lt;/span&gt;
presentは、ラテン語prae（前に）と、esse（存在する）が合わさってできた語。いま目の前に存在するということから、時間に関して「現在, 今この瞬間」という意味になった。
&lt;span class="spacer"&gt;&lt;/span&gt;&lt;span class="explanation_tag"&gt;イメージ&lt;/span&gt;
［at present］は直訳通り、「現在は」という意味になる。&lt;/span&gt;</t>
  </si>
  <si>
    <t>&lt;span class="w"&gt;&lt;b&gt;【339.at the moment：現在は, （過去時制で）そのときは】&lt;/b&gt;&lt;/span&gt;
&lt;span class="ml"&gt;&lt;span class="explanation_tag"&gt;語源&lt;/span&gt;
momentは、ラテン語movere（動かす）に由来する。一説には、天秤の針をほんのわずかに動かすほどの極めて小さな粒子という発想から、「ごく小さな時間」という意味へ発展したと考えられている。
&lt;span class="spacer"&gt;&lt;/span&gt;&lt;span class="explanation_tag"&gt;イメージ&lt;/span&gt;
［at the moment］は、そのとき（the moment）を表す。現在の話であれば「現在は」となり、過去の話であれば「そのときは」という意味になる。&lt;/span&gt;</t>
  </si>
  <si>
    <t>&lt;span class="w"&gt;&lt;b&gt;【340.in a word：つまり】&lt;/b&gt;&lt;/span&gt;
&lt;span class="ml"&gt;［in a word］は直訳すると、「1語では」となる。前に述べた内容を1語で表現するように短くまとめることから、「つまり」という意味になる。
&lt;/span&gt;</t>
  </si>
  <si>
    <t>&lt;span class="w"&gt;&lt;b&gt;【341.in short：つまり】&lt;/b&gt;&lt;/span&gt;
&lt;span class="ml"&gt;［in short］は直訳すると、「短くしたものでは」となる。前に述べた内容を短くまとめることから、「つまり」という意味になる。&lt;/span&gt;</t>
  </si>
  <si>
    <t>&lt;span class="w"&gt;&lt;b&gt;【342.generally speaking：一般的に言えば】&lt;/b&gt;&lt;/span&gt;
&lt;span class="ml"&gt;&lt;span class="explanation_tag"&gt;語源&lt;/span&gt;
generallyは、general（一般の）と、ly（副詞化）が合わさってできた語。
&lt;span class="spacer"&gt;&lt;/span&gt;generalは、印欧祖語*gene-（生む）から派生したラテン語genus（種, 種族）に由来する。
&lt;span class="spacer"&gt;&lt;/span&gt;生まれた種族全体に関わるということから、「一般の」という意味になった。generalは、全体の中の一部を指すsepecialと反対の概念。
&lt;span class="spacer"&gt;&lt;/span&gt;&lt;span class="explanation_tag"&gt;イメージ&lt;/span&gt;
［generally speaking］は直訳すると、「一般的に言えば」という意味になる。&lt;/span&gt;</t>
  </si>
  <si>
    <t>&lt;span class="w"&gt;&lt;b&gt;【344.all in all：全体的には】&lt;/b&gt;&lt;/span&gt;
&lt;span class="ml"&gt;［all in all］は直訳すると、全体（all）の中の（in）全部（all）となる。全体の中の一部の話ではなく、全部なので、「全体的には」という意味になる。&lt;/span&gt;</t>
  </si>
  <si>
    <t>&lt;span class="w"&gt;&lt;b&gt;【346.in theory：理論上は】&lt;/b&gt;&lt;/span&gt;
&lt;span class="ml"&gt;［in theory］は直訳すると、「理論上は, セオリーでは」という意味になる。
&lt;span class="spacer"&gt;&lt;/span&gt;&lt;span class="explanation_tag"&gt;語源&lt;/span&gt;
theoryは、ギリシャ語thea（見ること）と、horan（見る）が合わさってできた語。&lt;span class="obsolete"&gt;theaからは、現代英語&lt;strong&gt;thea&lt;/strong&gt;ter（シアター, 劇場）も生まれている。&lt;/span&gt;
&lt;span class="spacer"&gt;&lt;/span&gt;対象や現象をよく見て、その仕組みについて考えることで出来上がる「理論」という意味になった。&lt;/span&gt;</t>
  </si>
  <si>
    <t>&lt;span class="w"&gt;&lt;b&gt;【347.at all costs / at any cost：ぜひとも】&lt;/b&gt;&lt;/span&gt;
&lt;span class="ml"&gt;［at all costs］は直訳すると、全ての（all）犠牲（costs）で（at）となる。
&lt;span class="spacer"&gt;&lt;/span&gt;［at any cost］は直訳すると、あらゆる（any）犠牲（cost）でも（at）となる。
&lt;span class="spacer"&gt;&lt;/span&gt;どちらも、何を犠牲にしてでも突き進むことを表して、「ぜひとも」という意味になる。&lt;/span&gt;</t>
  </si>
  <si>
    <t>&lt;span class="w"&gt;&lt;b&gt;【349.as it were：いわば】&lt;/b&gt;&lt;/span&gt;
&lt;span class="ml"&gt;&lt;span class="explanation_tag"&gt;イメージ&lt;/span&gt;
［as it were］は、仮定法過去を使った「いわば」という比喩表現で、1200年頃の中英語期には使われていた。
&lt;span class="spacer"&gt;&lt;/span&gt;He is, &lt;strong&gt;as it were&lt;/strong&gt;, a walking dictionary.
彼は&lt;strong&gt;いわば&lt;/strong&gt;生き字引（歩く辞書）だ。
&lt;span class="spacer"&gt;&lt;/span&gt;これは、He is a walking dictionary. のみだと、現在時制なので「彼＝辞書」という事実になってしまう。
&lt;span class="spacer"&gt;&lt;/span&gt;本当に辞書であるわけではなく、あくまで例えであることを言い表すために、as if it were so（まるでそうであるように）を付け足しているイメージ。
&lt;span class="spacer"&gt;&lt;/span&gt;&lt;strong&gt;as&lt;/strong&gt; if &lt;strong&gt;it were&lt;/strong&gt; soが、as it wereになったと考えればよい。&lt;/span&gt;</t>
  </si>
  <si>
    <t>&lt;span class="w"&gt;&lt;b&gt;【350.so to speak / say：いわば, 言ってみれば】&lt;/b&gt;&lt;/span&gt;
&lt;span class="ml"&gt;&lt;span class="explanation_tag"&gt;イメージ&lt;/span&gt;
［so to speak / say］は、to speak / sayがso（そのように）を修飾している。
&lt;span class="spacer"&gt;&lt;/span&gt;直訳すると、そのように（so）言うならば（to speak /say）、つまり「言ってみれば, いわば」という意味になる。&lt;/span&gt;</t>
  </si>
  <si>
    <t>&lt;span class="w"&gt;&lt;b&gt;【351.for one's own part：〜としては】&lt;/b&gt;&lt;/span&gt;
&lt;span class="ml"&gt;［for one's own part］は直訳すると、その人自身の（one's own）側（part）としては（for）となる。これは、自分の立場や意見を述べる表現で、「〜としては」という意味になる。&lt;/span&gt;</t>
  </si>
  <si>
    <t>&lt;span class="w"&gt;&lt;b&gt;【352.on one's part：〜の側での】&lt;/b&gt;&lt;/span&gt;
&lt;span class="ml"&gt;［on one's part］は直訳すると、その人の側（one's part）の上で（on）となる。行為・責任・努力などがあるべき場所を示して、「〜側での」という意味になる。&lt;/span&gt;</t>
  </si>
  <si>
    <t>&lt;span class="w"&gt;&lt;b&gt;【355.close / near at hand：（距離・時間的に）すぐ近くに】&lt;/b&gt;&lt;/span&gt;
&lt;span class="ml"&gt;&lt;span class="explanation_tag"&gt;語源&lt;/span&gt;
［at hand］は、1200年頃に「時間的に近い」、そして1300年頃には「手の届く範囲にある」という意味で使われた。
&lt;span class="spacer"&gt;&lt;/span&gt;&lt;span class="explanation_tag"&gt;イメージ&lt;/span&gt;
文献的には、時間的な近さ&lt;span class="arrow"&gt;→&lt;/span&gt;物理的な近さという順序で現れているようだが、覚える上では、「物理的に手が届く近さ」&lt;span class="arrow"&gt;→&lt;/span&gt;「時間的な近さ」という発展だと考えればよい。
&lt;span class="spacer"&gt;&lt;/span&gt;closeとnearは、at handが持つ「近さ」を「&lt;strong&gt;すぐ&lt;/strong&gt;近く」と強調する。
&lt;span class="spacer"&gt;&lt;/span&gt;こうして［close / near at hand］は、「（距離的・時間的に）すぐ近く」という意味になる。&lt;/span&gt;</t>
    <phoneticPr fontId="1"/>
  </si>
  <si>
    <t>&lt;span class="w"&gt;&lt;b&gt;【356.(just) around the corner：（距離・時間的に）すぐ近くに】&lt;/b&gt;&lt;/span&gt;
&lt;span class="ml"&gt;&lt;span class="explanation_tag"&gt;イメージ&lt;/span&gt;
［around the corner］は直訳すると、角（the corner）を周ったところに（around）となる。角を曲がってすぐという物理的な近さから、時間的な近さも表すようになり、「（距離的・時間的に）すぐ近く」という意味になった。
&lt;span class="spacer"&gt;&lt;/span&gt;justは、around the cornerを強調する役割を持つ。&lt;/span&gt;</t>
    <phoneticPr fontId="1"/>
  </si>
  <si>
    <t>&lt;span class="w"&gt;&lt;b&gt;【180.Something is wrong with ~ .：〜はどこか調子がおかしい】&lt;/b&gt;&lt;/span&gt;
&lt;span class="ml"&gt;&lt;span class="spacer"&gt;&lt;/span&gt;&lt;span class="explanation_tag"&gt;イメージ&lt;/span&gt;
［something is wrong with A］は、something is wrongとAがwithによって結びついている。そこから直訳通り「Aに関して何かがおかしい」という意味になる。&lt;/span&gt;</t>
    <phoneticPr fontId="1"/>
  </si>
  <si>
    <t>&lt;span class="w"&gt;&lt;b&gt;【361.not to mention ~：〜は言うまでもない】&lt;/b&gt;&lt;/span&gt;
&lt;span class="ml"&gt;［not to mention A］は直訳すると、Aに言及すること（to mention A）はない（not）となる。つまり、Aについてわざわざ言葉にする必要はないということを表して、「Aは言うまでもない」という意味になる。&lt;/span&gt;</t>
  </si>
  <si>
    <t>&lt;span class="w"&gt;&lt;b&gt;【362.to say nothing of ~：〜は言うまでもない】&lt;/b&gt;&lt;/span&gt;
&lt;span class="ml"&gt;［to say nothing of A］は直訳すると、Aの何も（nothing of A）言わない（say）となる。つまり、Aについてわざわざ言葉にする必要はないということを表して、「Aは言うまでもない」という意味になる。&lt;/span&gt;</t>
  </si>
  <si>
    <t>&lt;span class="w"&gt;&lt;b&gt;【370.do without (~)：（〜）なしで済ます】&lt;/b&gt;&lt;/span&gt;
&lt;span class="ml"&gt;［do without A］は直訳すると、Aなしで（without A）何かをする（do）となる。そこから「Aなしで済ませる」という意味になる。&lt;/span&gt;</t>
  </si>
  <si>
    <t>&lt;span class="w"&gt;&lt;b&gt;【373.at (one's) ease：くつろいで】&lt;/b&gt;&lt;/span&gt;
&lt;span class="ml"&gt;&lt;span class="explanation_tag"&gt;語源&lt;/span&gt;
easeは、古フランス語aise（快適さ）に由来する。この古フランス語の名詞は、動詞aisier（楽にする）に派生し、その過去分詞が現代英語easy（気楽に, 簡単に）になった。
&lt;span class="spacer"&gt;&lt;/span&gt;つまりeaseは、easyの名詞だと考えればよい。
&lt;span class="spacer"&gt;&lt;/span&gt;&lt;span class="explanation_tag"&gt;イメージ&lt;/span&gt;
［at (one's) ease］は直訳すると、（誰かの）快適な状態（ease）で（at）となる。そこから「くつろいで」という意味になる。&lt;/span&gt;</t>
  </si>
  <si>
    <t>&lt;span class="w"&gt;&lt;b&gt;【374.ill at ease：不安で, 落ち着かないで】&lt;/b&gt;&lt;/span&gt;
&lt;span class="ml"&gt;&lt;span class="explanation_tag"&gt;イメージ&lt;/span&gt;
［ill at ease］は、at ease（くつろいで）を副詞ill（悪く）が否定している。そこから、くつろいでいない＝「不安で, 落ち着かない」という意味になる。&lt;/span&gt;</t>
  </si>
  <si>
    <t>&lt;span class="w"&gt;&lt;b&gt;【389.go with ~：①〜と付き合う, ②〜に似合う】&lt;/b&gt;&lt;/span&gt;
&lt;span class="ml"&gt;&lt;span class="explanation_tag"&gt;イメージ&lt;/span&gt;
［go with A］の核は、ぴったりくっついて進んでいくこと。
&lt;span class="spacer"&gt;&lt;/span&gt;①ある人が、誰かと一緒に人生を歩んでいけば、「Aと付き合う」という意味になる。
&lt;span class="spacer"&gt;&lt;/span&gt;②物が、誰かとぴったりくっついて進んでいけば、その物が「Aに似合う」という意味になる。&lt;/span&gt;</t>
  </si>
  <si>
    <t>&lt;span class="w"&gt;&lt;b&gt;【273.aim：狙い, 目的, 目標】&lt;/b&gt;&lt;/span&gt;
&lt;span class="ml"&gt;ラテン語aestimare（価値をつける）に由来する。
&lt;span class="spacer"&gt;&lt;/span&gt;「価値をつける」とは、計算して対象の価値を決定するということ。このAを計算してBを決めるという行為から、目的や目標達成までの計算をして計画を作る、的までの距離や角度などを計算して狙うといった意味に発展する。そしてこの行為が名詞となり「狙い, 目的, 目標」といった意味になる。
&lt;span class="spacer"&gt;&lt;/span&gt;ラテン語aestimare（価値をつける）は、estimate（見積もる）やesteem（尊敬する）の語源でもある。
&lt;span class="spacer"&gt;&lt;/span&gt;estimateは価値をつけるための「見積もり」
esteemは価値を高くつける「尊敬」&lt;/span&gt;</t>
  </si>
  <si>
    <t>&lt;span class="w"&gt;&lt;b&gt;【646.sum：合計, 要約】&lt;/b&gt;&lt;/span&gt;
&lt;span class="ml"&gt;ラテン語summa（頂点）に由来する。これは印欧祖語*uper-（上に：superの語源）の最上級*sup-mos-（最も上の）にさかのぼる。
&lt;span class="spacer"&gt;&lt;/span&gt;古代ローマでは、数字を計算するとき、縦に書いた数字を下から上に足し、合計を一番上に書いていた。ここから「頂点」が「合計」という意味になったと考えられる。
&lt;span class="spacer"&gt;&lt;/span&gt;また合計というのは、全てをまとめることなので「要約」という意味にもなった。
&lt;div class="sample_image sum"&gt;&lt;/div&gt;&lt;/span&gt;</t>
  </si>
  <si>
    <t>&lt;span class="w"&gt;&lt;b&gt;【1309.deceive：〜をだます】&lt;/b&gt;&lt;/span&gt;
&lt;span class="ml"&gt;ラテン語に由来する語で、以下の2つの要素から成る。
&lt;span class="spacer"&gt;&lt;/span&gt;de（～から）
capere（取る）
&lt;span class="spacer"&gt;&lt;/span&gt;このdeには「悪い方向へ」というニュアンスが含まれ、相手を取って捕まえて、正しいところから悪い方向へ引きずるイメージ。そこから物理的に罠にかける、そして言葉や計略を使って人を「だます」という意味になる。
&lt;div class="sample_image deceive"&gt;&lt;/div&gt;&lt;/span&gt;</t>
  </si>
  <si>
    <t>&lt;span class="w"&gt;&lt;b&gt;【47.complain of / about ~：（苦痛）を訴える, 〜について不満を言う】&lt;/b&gt;&lt;/span&gt;
&lt;span class="ml"&gt;complainは、ラテン語のcom（強意）と、plangere（胸を打つ）が合わさってできた語。もともとは深い悲しみに襲われた際に強く胸を叩く、という感情表現だったが、次第に悲しみではなく、そこから生じる「不満を言う」や「苦痛を訴える」という意味に発展した。
&lt;span class="spacer"&gt;&lt;/span&gt;&lt;span class="explanation_tag"&gt;イメージ&lt;/span&gt;
ofは、苦痛の起点を示して「苦痛を訴える」という意味で使われる。
aboutは、何についての不満かを示して「不平不満を言う」という意味で使われる。&lt;/span&gt;</t>
  </si>
  <si>
    <t>&lt;span class="w"&gt;&lt;b&gt;【407.meet with ~：①〜と（約束して）会う, ②〜を受ける, 〜を経験する】&lt;/b&gt;&lt;/span&gt;
&lt;span class="ml"&gt;&lt;span class="explanation_tag"&gt;イメージ&lt;/span&gt;
［meet with A］は、Aと面と向かって（meet）共にいる（with）イメージ。
&lt;span class="spacer"&gt;&lt;/span&gt;①人とただ会うだけではなく、約束や目的があって「Aと会う」という意味になる。
&lt;span class="spacer"&gt;&lt;/span&gt;②対象が人ではなく、状況や出来事に直面するなら、「Aを受ける, Aを経験する」という意味になる。&lt;/span&gt;</t>
  </si>
  <si>
    <t>&lt;span class="w"&gt;&lt;b&gt;【410.run over (~)：①（車が）〜をひく, ②溢れる, 超過する】&lt;/b&gt;&lt;/span&gt;
&lt;span class="ml"&gt;&lt;span class="explanation_tag"&gt;イメージ&lt;/span&gt;
①車が何かの上を（over）走り抜ける（run）ことから、「Aをひく」という意味になる。
&lt;span class="spacer"&gt;&lt;/span&gt;②基準や限界を超えて（over）走り抜けるイメージから、「溢れる, 超過する」という意味になる。&lt;/span&gt;</t>
  </si>
  <si>
    <t>&lt;span class="w"&gt;&lt;b&gt;【415.in effect：①事実上, 実際のところは, ②（法律などが）実施されて, 有効で】&lt;/b&gt;&lt;/span&gt;
&lt;span class="ml"&gt;&lt;span class="explanation_tag"&gt;イメージ&lt;/span&gt;
effectは、日本語でも使われるエフェクト（効果）と同じ。［in effect］は、効果がある状態の中にいるというイメージ。
&lt;span class="spacer"&gt;&lt;/span&gt;①「現実に生じる効果的には」というニュアンスから、「事実上, 実際のところは」という意味になる。
&lt;span class="spacer"&gt;&lt;/span&gt;②法律や規則などが効果を持って状態であることを表して、「実施されて, 有効で」といった意味になる。&lt;/span&gt;</t>
  </si>
  <si>
    <t>&lt;span class="w"&gt;&lt;b&gt;【421.add to ~：〜を増やす】&lt;/b&gt;&lt;/span&gt;
&lt;span class="ml"&gt;&lt;span class="explanation_tag"&gt;イメージ&lt;/span&gt;
［add A］は「Aを足す」という付け足しを表す。
&lt;span class="spacer"&gt;&lt;/span&gt;［add to A］は「Aを増やす」という&lt;strong&gt;増大・増幅&lt;/strong&gt;を表す。&lt;/span&gt;</t>
  </si>
  <si>
    <t>&lt;span class="w"&gt;&lt;b&gt;【433.feed on ~：〜を常食とする】&lt;/b&gt;&lt;/span&gt;
&lt;span class="ml"&gt;&lt;span class="explanation_tag"&gt;イメージ&lt;/span&gt;
［feed on A］のfeedは、自動詞で「動物などが餌を食べる」という意味。on Aで土台となる基本の食事を示す。Aを基本の食事とすることから、「Aを常食とする」という意味になる。&lt;/span&gt;</t>
  </si>
  <si>
    <t>&lt;span class="w"&gt;&lt;b&gt;【443.aim at ~：①〜を目指す, ②〜を狙う】&lt;/b&gt;&lt;/span&gt;
&lt;span class="ml"&gt;&lt;span class="explanation_tag"&gt;語源&lt;/span&gt;
aimは、estimate（見積もる）やesteem（尊敬する）と同じく、ラテン語aestimare（価値をつける）に由来する。計算して対象に価値をつけることから発展して、距離や角度を物理的に計算して何かを「狙う」、目標達成までの道筋を計算して「目指す」という意味になった。
&lt;span class="spacer"&gt;&lt;/span&gt;［aim at A］は、「狙う, 目指す」対象をat Aで示して、「Aを狙う, Aを目指す」という意味になる。&lt;/span&gt;</t>
  </si>
  <si>
    <t>&lt;span class="w"&gt;&lt;b&gt;【446.long for ~：〜を切望する】&lt;/b&gt;&lt;/span&gt;
&lt;span class="ml"&gt;&lt;span class="explanation_tag"&gt;イメージ&lt;/span&gt;
［long for A］の動詞longは、長く長く待ち焦がれるイメージから「切望する」という意味になる。そして、望む対象をfor Aで表して、「〜を切望する」という意味になる。&lt;/span&gt;</t>
  </si>
  <si>
    <t>&lt;span class="w"&gt;&lt;b&gt;【450.end up （doing / 場所 / 状態）：最後には〜になる】&lt;/b&gt;&lt;/span&gt;
&lt;span class="ml"&gt;&lt;span class="explanation_tag"&gt;例&lt;/span&gt;
「end up」のupは「完全に」という意味。
&lt;span class="spacer"&gt;&lt;/span&gt;完全に（up）最後へ到達する（end）というイメージから、「最終的に〜になる」という意味になる。&lt;/span&gt;</t>
  </si>
  <si>
    <t>&lt;span class="w"&gt;&lt;b&gt;【451.use up ~：〜を使い果たす】&lt;/b&gt;&lt;/span&gt;
&lt;span class="ml"&gt;&lt;span class="explanation_tag"&gt;イメージ&lt;/span&gt;
［use up A］のupは「完全に」という意味。
&lt;span class="spacer"&gt;&lt;/span&gt;Aを完全に（up）使う（use）イメージから、「Aを完全に使い果たす」という意味になる。
&lt;span class="spacer"&gt;&lt;/span&gt;&lt;span class="explanation_tag"&gt;補足&lt;/span&gt;
use ~ upの語順にもなる。&lt;/span&gt;</t>
  </si>
  <si>
    <t>&lt;span class="w"&gt;&lt;b&gt;【452.sum up (~)：①〜を要約する, ②〜を合計する】&lt;/b&gt;&lt;/span&gt;
&lt;span class="ml"&gt;&lt;span class="explanation_tag"&gt;語源&lt;/span&gt;
名詞sumは、ラテン語summa（頂点）に由来する。これは印欧祖語*uper-（上に）の最上級*sup-mos-（最も上の）にさかのぼる。
&lt;span class="spacer"&gt;&lt;/span&gt;古代ローマでは、数字を計算するとき、縦に書いた数字を下から上に足し、合計を一番上（頂点）に書いていた。そこから「合計」という意味になったと考えられる。
&lt;span class="spacer"&gt;&lt;/span&gt;また合計というのは、全てをまとめることなので、文章や話の「要約」という意味にもなった。
&lt;span class="spacer"&gt;&lt;/span&gt;動詞sumは、数学的な「合計する」という意味と、「要約する」という意味があるが、「要約する」という意味で使う場合は、1700年頃から［sum up A］という形で使われるようになった。
&lt;span class="spacer"&gt;&lt;/span&gt;&lt;span class="explanation_tag"&gt;イメージ&lt;/span&gt;
［sum up A］のupは「完全に」という意味。
&lt;span class="spacer"&gt;&lt;/span&gt;バラバラにあるAを完全に（up）一つにする（sum）ことから、「Aを要約する」という意味になる。
&lt;span class="spacer"&gt;&lt;/span&gt;また、バラバラにあるデータなどの数値を完全に一つにするイメージで、集計して「合計する」という意味になる。
&lt;span class="spacer"&gt;&lt;/span&gt;&lt;span class="explanation_tag"&gt;補足&lt;/span&gt;
sum ~ upの語順にもなる。&lt;/span&gt;</t>
  </si>
  <si>
    <t>&lt;span class="w"&gt;&lt;b&gt;【453.clear up (~)：①（天候が）晴れる, ②（不明点・疑念などを）明らかにする】&lt;/b&gt;&lt;/span&gt;
&lt;span class="ml"&gt;&lt;span class="explanation_tag"&gt;イメージ&lt;/span&gt;
［clear up A］のupは「完全に」という意味。
&lt;span class="spacer"&gt;&lt;/span&gt;ぼんやりしたものを完全に（up）クリアにする（clear）イメージから、天候が「晴れる」、不明点や疑念など「Aを明らかにする」という意味になる。
&lt;span class="spacer"&gt;&lt;/span&gt;&lt;span class="explanation_tag"&gt;補足&lt;/span&gt;
clear ~ upの語順にもなる。&lt;/span&gt;</t>
  </si>
  <si>
    <t>&lt;span class="w"&gt;&lt;b&gt;【455.cheer up (~)：元気づく, 〜を元気づける】&lt;/b&gt;&lt;/span&gt;
&lt;span class="ml"&gt;&lt;span class="explanation_tag"&gt;イメージ&lt;/span&gt;
［cheer up (A)］のupは「完全に」という意味。cheerは、チアリーディングのチアと同じで、「元気づける」という意味。
&lt;span class="spacer"&gt;&lt;/span&gt;完全に（up）元気づける（cheer）ことから、「Aを元気づける, 元気づく」という意味になる。
&lt;span class="spacer"&gt;&lt;/span&gt;&lt;span class="explanation_tag"&gt;補足&lt;/span&gt;
cheer ~ upの語順にもなる。&lt;/span&gt;</t>
  </si>
  <si>
    <t>&lt;span class="w"&gt;&lt;b&gt;【458.shut up (~)：話をやめる, 〜を黙らせる】&lt;/b&gt;&lt;/span&gt;
&lt;span class="ml"&gt;&lt;span class="explanation_tag"&gt;イメージ&lt;/span&gt;
&lt;span class="explanation_tag"&gt;イメージ&lt;/span&gt;
［shut up (A)］のupは「完全に」という意味。shutは、シャッターと同じで「閉じる」という意味。
&lt;span class="spacer"&gt;&lt;/span&gt;完全に（up）話をしている口を閉じる（shut）ことから、「話をやめる, Aを黙らせる」という意味になる。
&lt;span class="spacer"&gt;&lt;/span&gt;&lt;span class="explanation_tag"&gt;補足&lt;/span&gt;
shut ~ upの語順にもなる。&lt;/span&gt;</t>
  </si>
  <si>
    <t>&lt;span class="w"&gt;&lt;b&gt;【459.step up (~)：①前に出る, 近づく, （壇上などに）上がる, ②（量・速度など）を増す, （活動など）を促進する】&lt;/b&gt;&lt;/span&gt;
&lt;span class="ml"&gt;&lt;span class="explanation_tag"&gt;イメージ&lt;/span&gt;
［step up (A)］は、歩を進めて（step）一段上にあがる（up）イメージ。
&lt;span class="spacer"&gt;&lt;/span&gt;
①足をあげて前に歩を進めるイメージから、「前に出る, 近づく, （壇上などに）上がる」という意味になる。
&lt;span class="spacer"&gt;&lt;/span&gt;②量・速度・活動などを一段上げて進むイメージから、「（量・速度など）を増す, （活動など）を促進する」という意味になる。&lt;/span&gt;</t>
  </si>
  <si>
    <t>&lt;span class="w"&gt;&lt;b&gt;【461.slow down (~)：（〜の）速度を落とす, ペースが落ちる】&lt;/b&gt;&lt;/span&gt;
&lt;span class="ml"&gt;&lt;span class="explanation_tag"&gt;イメージ&lt;/span&gt;
［slow down (A)］は、いまの速度を下方向に落とすことから、「（Aの）速度を落とす, ペースが落ちる」という意味になる。&lt;/span&gt;</t>
    <rPh sb="149" eb="151">
      <t>ソクド</t>
    </rPh>
    <rPh sb="152" eb="155">
      <t>シタホウコウ</t>
    </rPh>
    <rPh sb="156" eb="157">
      <t>オ</t>
    </rPh>
    <rPh sb="169" eb="171">
      <t>ソクド</t>
    </rPh>
    <rPh sb="172" eb="173">
      <t>オ</t>
    </rPh>
    <rPh sb="181" eb="182">
      <t>オ</t>
    </rPh>
    <rPh sb="188" eb="190">
      <t>イミ</t>
    </rPh>
    <phoneticPr fontId="1"/>
  </si>
  <si>
    <t>&lt;span class="w"&gt;&lt;b&gt;【209.sort：〜を分類する】&lt;/b&gt;&lt;/span&gt;
&lt;span class="ml"&gt;ラテン語sors（くじ, 運命, 割り当て）に由来する。
&lt;span class="spacer"&gt;&lt;/span&gt;くじの結果のように、運命によって人に割り当てられたものという意味から、運命が人に割り当てた現在の地位・階級といった意味へと発展した。
&lt;span class="spacer"&gt;&lt;/span&gt;そこから、Aは貴族に、Bは中流に、Cは労働者に、Dは奴隷に…といったように、ある対象を何かに割り当てて分けるという動詞になり、「分類する」という意味になった。&lt;/span&gt;</t>
  </si>
  <si>
    <t>&lt;span class="w"&gt;&lt;b&gt;【799.adequate：十分な, 適切な】&lt;/b&gt;&lt;/span&gt;
&lt;span class="ml"&gt;ラテン語に由来する語で、以下の2つの要素から成る。
&lt;span class="spacer"&gt;&lt;/span&gt;ad（〜へ）
aequare（等しくする）
&lt;span class="spacer"&gt;&lt;/span&gt;このまま日本語にすると「〜へ等しくする」となる。これは、必要とされるものや望まれるものに等しくすることから、必要最低限に対して「十分な」という意味になる。
&lt;span class="spacer"&gt;&lt;/span&gt;adequateは、十分ではあるがクオリティが平凡であるというネガティブなニュアンスを含むことがある。
&lt;span class="spacer"&gt;&lt;/span&gt;［sufficientとadequate］
&lt;span class="spacer"&gt;&lt;/span&gt;sufficient：足りているかどうかという点で「十分な」。否定のinsufficientは「不足している」という意味になる。
&lt;span class="spacer"&gt;&lt;/span&gt;adequate：最低限の基準に対して適しているという意味で「十分な」。否定のinadequateは「不適切な」という意味になる。
またadequateは、質はまぁまぁという少しネガティブな印象を含むことがある。&lt;/span&gt;</t>
  </si>
  <si>
    <t>&lt;span class="w"&gt;&lt;b&gt;【466.come out：現れる, ばれる, 出版される, 発売される】&lt;/b&gt;&lt;/span&gt;
&lt;span class="ml"&gt;&lt;span class="explanation_tag"&gt;イメージ&lt;/span&gt;
［come out］は、何かの中や裏にあるものが外に（out）出てくる（come）イメージ。そこから、見えなかったものが「現れる」、隠されていたことが「ばれる」、世に出ていなかったものが「出版される, 発売される」などの意味になる。&lt;/span&gt;</t>
  </si>
  <si>
    <t>&lt;span class="w"&gt;&lt;b&gt;【469.drop out：脱落する, 中途退学する】&lt;/b&gt;&lt;/span&gt;
&lt;span class="ml"&gt;&lt;span class="explanation_tag"&gt;イメージ&lt;/span&gt;
dropは、水滴がポタポタ落ちる、何かが転がり落ちるといったイメージ。
&lt;span class="spacer"&gt;&lt;/span&gt;［drop out］は、あるレールの上や流れから外に（out）落ちていく（drop）イメージから、「脱落する」という意味になる。これが、教育課程における脱落であれば「中途退学する」という意味になる。&lt;/span&gt;</t>
  </si>
  <si>
    <t>&lt;span class="w"&gt;&lt;b&gt;【480.put in ~：①（物・言葉など）を差し入れる, （設備など）を設置する, ②（時間・労力・お金など）を注ぎ込む】&lt;/b&gt;&lt;/span&gt;
&lt;span class="ml"&gt;&lt;span class="explanation_tag"&gt;イメージ&lt;/span&gt;
［put in A］は、Aを何かの中に（in）置く（put）イメージ。
&lt;span class="spacer"&gt;&lt;/span&gt;①物や言葉などを何かの中に入れることから、「Aを差し入れる」という意味になる。また設備などを入れるなら「Aを設置する」という意味になる。
&lt;span class="spacer"&gt;&lt;/span&gt;②時間・労力・お金などを中に入れるなら、「Aを注ぎ込む」という意味になる。&lt;/span&gt;</t>
  </si>
  <si>
    <t>&lt;span class="w"&gt;&lt;b&gt;【482.cut in：（人・車が）割り込む】&lt;/b&gt;&lt;/span&gt;
&lt;span class="ml"&gt;&lt;span class="explanation_tag"&gt;イメージ&lt;/span&gt;
［cut in］は、何かを切って（cut）間に入れる（in）イメージから、人や車が「割り込む」という意味になる。&lt;/span&gt;</t>
  </si>
  <si>
    <t>&lt;span class="w"&gt;&lt;b&gt;【486.compare A with / to B：AをBと比較する, AをBに例える】&lt;/b&gt;&lt;/span&gt;
&lt;span class="ml"&gt;&lt;span class="explanation_tag"&gt;語源&lt;/span&gt;
compareは、ラテン語com（共に）と、par（等しい）が合わさってできた語。何かと何かを比べて等しいかどうかを見ることを表した。そこから、同じがどうか「比較する」や、同じだとみなして「例える」という意味になった。
&lt;span class="spacer"&gt;&lt;/span&gt;&lt;span class="explanation_tag"&gt;イメージ&lt;/span&gt;
［compare A with / to B］は、AをBと（A with B）/ AをBに対して（A to B）「比較する, 例える」という意味になる。&lt;/span&gt;</t>
  </si>
  <si>
    <t>&lt;span class="w"&gt;&lt;b&gt;【488.leave A (up) to B：AをBに残す, AをBに任せる】&lt;/b&gt;&lt;/span&gt;
&lt;span class="ml"&gt;&lt;span class="explanation_tag"&gt;イメージ&lt;/span&gt;
［leave A (up) to B］は直訳すると、AをBの方に移動させて、そのまま去るというイメージから、「AをBに残す, AをBに任せる」という意味になる。&lt;/span&gt;</t>
  </si>
  <si>
    <t>&lt;span class="w"&gt;&lt;b&gt;【491.owe A to B：AをBに負っている, AをBに借りている】&lt;/b&gt;&lt;/span&gt;
&lt;span class="ml"&gt;&lt;span class="explanation_tag"&gt;語源&lt;/span&gt;
owe（借りている）は、own（所有する）と兄弟語。どちらも古英語agan（所有する）にさかのぼるが、所有するという意味はownが引き継いでいる。
&lt;span class="spacer"&gt;&lt;/span&gt;古英語aganは、agan to geldanne（返済しなければならない）というフレーズが、ラテン語debere（借りている）の翻訳語として使われたことから、aganの1語で「借りがある, 負っている」という意味を持つようになった。そしてこの意味を引き継いだのがoweである。
&lt;span class="spacer"&gt;&lt;/span&gt;&lt;span class="obsolete"&gt;ラテン語debere（借りている）からは、debt（借金, 負債）やduty（義務, 税）も生まれている。&lt;/span&gt;
&lt;span class="spacer"&gt;&lt;/span&gt;［owe A to B］は、「Bに対してAを借りている, 負っている」という意味になる。&lt;/span&gt;</t>
  </si>
  <si>
    <t>&lt;span class="w"&gt;&lt;b&gt;【493.liken A to B：AをBに例える】&lt;/b&gt;&lt;/span&gt;
&lt;span class="ml"&gt;&lt;span class="explanation_tag"&gt;イメージ&lt;/span&gt;
likenは、形容詞like（同様の）に動詞化するenが付いて、「同様にする」&lt;span class="arrow"&gt;→&lt;/span&gt;「例える」になったと考えればよい。
&lt;span class="spacer"&gt;&lt;/span&gt;そこから［liken A to B］は、AをBと同様にする＝「AをBに例える」という意味になる。&lt;/span&gt;</t>
  </si>
  <si>
    <t>&lt;span class="w"&gt;&lt;b&gt;【494.keep A from B：AにBをさせない, AをBから守る】&lt;/b&gt;&lt;/span&gt;
&lt;span class="ml"&gt;&lt;span class="explanation_tag"&gt;イメージ&lt;/span&gt;
［keep A from B］は、AをBから離れた状態にキープするという直訳通りのイメージで覚えればよい。
&lt;span class="spacer"&gt;&lt;/span&gt;火や危険などから離れた状態をキープするなら、「AをBから守る」という意味になる。
&lt;span class="spacer"&gt;&lt;/span&gt;何らかの行動から離れた状態をキープするなら、「AにBをさせない」という意味になる。&lt;/span&gt;</t>
  </si>
  <si>
    <t>&lt;span class="w"&gt;&lt;b&gt;【495.discourage A from B：AにBを思いとどまらせる】&lt;/b&gt;&lt;/span&gt;
&lt;span class="ml"&gt;&lt;span class="explanation_tag"&gt;イメージ&lt;/span&gt;
discourageは、courage（勇気）に否定を表すdisが付いて、「勇気をなくさせる」&lt;span class="arrow"&gt;→&lt;/span&gt;「思いとどまらせる」になったと考えればよい。
&lt;span class="spacer"&gt;&lt;/span&gt;そこから［discourage A from B］は、Aに勇気をなくさせてBから距離がある状態にする＝「AにBを思いとどまらせる」という意味になる。&lt;/span&gt;</t>
  </si>
  <si>
    <t>&lt;span class="w"&gt;&lt;b&gt;【498.order A from B：BにAを注文する】&lt;/b&gt;&lt;/span&gt;
&lt;span class="ml"&gt;&lt;span class="explanation_tag"&gt;イメージ&lt;/span&gt;
［order A from B］は、［order A］でAを注文することを表し、［from B］で注文したものがどこから来るかを示す。ここから「BにAを注文する」という意味になる。&lt;/span&gt;</t>
  </si>
  <si>
    <t>&lt;span class="w"&gt;&lt;b&gt;【499.substitute A for B：Bの代わりにAを使う】&lt;/b&gt;&lt;/span&gt;
&lt;span class="ml"&gt;&lt;span class="explanation_tag"&gt;語源&lt;/span&gt;
substituteは、ラテン語sub（下に）と、statuere（設置する）が合わさってできた語。前者は、日本語でも使うサブメンバーのサブと同じ。
&lt;span class="spacer"&gt;&lt;/span&gt;もともとは、誰かの下に控え・代理人・後継者として置いておくことを表したが、そこから既にあるものの「代わりに使う」という意味にシフトしていった。
&lt;span class="spacer"&gt;&lt;/span&gt;［substitute A for B］のforは「代わりに」という意味。語源的に考えると、Bの代わりとしてAを下に置いておき、そして実際に「Bの代わりにAを使う」となる。&lt;/span&gt;</t>
  </si>
  <si>
    <t>&lt;span class="w"&gt;&lt;b&gt;【532.ban：〜を禁止する】&lt;/b&gt;&lt;/span&gt;
&lt;span class="ml"&gt;古英語bannan（命じる, 宣言する）にさかのぼる。
&lt;span class="spacer"&gt;&lt;/span&gt;もともとは、命じる, 宣言するという意味だった。これは、権力者が公に命令や禁止、共同体からの追放を宣言することであり、そこから何かを「禁止する」という意味になった。&lt;/span&gt;</t>
    <phoneticPr fontId="1"/>
  </si>
  <si>
    <t>&lt;span class="w"&gt;&lt;b&gt;【835.punish：～を罰する】&lt;/b&gt;&lt;/span&gt;
&lt;span class="ml"&gt;ラテン語poena（罰, 刑罰）に由来する。
&lt;span class="spacer"&gt;&lt;/span&gt;罰という名詞から動詞の「罰する」となった。ラテン語poena（罰, 刑罰）はpenalty（ペナルティ）の語源でもあるため、penaltyの動詞として覚えればよい。&lt;/span&gt;</t>
    <phoneticPr fontId="1"/>
  </si>
  <si>
    <t>&lt;span class="w"&gt;&lt;b&gt;【1122.accuse：〜を非難する, 〜を告訴する】&lt;/b&gt;&lt;/span&gt;
&lt;span class="ml"&gt;ラテン語に由来する語で、以下の2つの要素から成る。
&lt;span class="spacer"&gt;&lt;/span&gt;ad（〜へ）
causa（原因, 訴訟：causeの語源）
&lt;span class="spacer"&gt;&lt;/span&gt;この語の核は「誰かに対して原因や訴訟を向ける」。相手に対して法的に訴えを起こすだけではなく、一般的な非難にもなって、相手を「非難する, 告訴する」という意味になった。
&lt;div class="sample_image accuse"&gt;&lt;/div&gt;
&lt;span class="spacer"&gt;&lt;/span&gt;excuse（許す, 言い訳をする）は、ex（外に）＋causa（原因, 訴訟）から成り、「相手を原因や訴訟から外す」イメージ。そこから相手に原因を向けない＝「許す」や、原因を自分に向けない＝「言い訳をする」といった意味になる。&lt;/span&gt;</t>
  </si>
  <si>
    <t>&lt;span class="w"&gt;&lt;b&gt;【1301.assure：〜保証する, 〜に自信を持って言う】&lt;/b&gt;&lt;/span&gt;
&lt;span class="ml"&gt;ラテン語に由来する語で、以下の3つの要素から成る。
&lt;span class="spacer"&gt;&lt;/span&gt;ad（〜へ）
se（離れて）
cura（注意）
&lt;span class="spacer"&gt;&lt;/span&gt;このまま日本語にすると「対象を注意から離れた状態にする」となる。相手を心配がない状態にすることから、何かを「保証する, 自信を持って言う」という意味になる。
&lt;div class="sample_image assure"&gt;&lt;/div&gt;
&lt;span class="spacer"&gt;&lt;/span&gt;ラテン語se（離れて）＋cura（注意）からは、英語のsure（確信して）やsecure（安全な）も生まれている。
&lt;span class="spacer"&gt;&lt;/span&gt;どちらも核は、注意から離れている状態。注意（や心配）から解放されているということが、一切の不安のない確信（sure）や安全（secure）へとつながった。
&lt;span class="spacer"&gt;&lt;/span&gt;このイメージからassureは、相手へ確信や安心をもたらすように「保証する, 自信をもって言う」と考えればよい。&lt;/span&gt;</t>
  </si>
  <si>
    <t>&lt;span class="w"&gt;&lt;b&gt;【501.blame A for B：BのことでAを非難する, BをAのせいにする】&lt;/b&gt;&lt;/span&gt;
&lt;span class="ml"&gt;&lt;span class="explanation_tag"&gt;語源&lt;/span&gt;
blameは、ラテン語blasphemare（悪口を言う, 非難する）に由来する。相手に悪い言葉を向けることから、悪いことの原因を相手に帰属させることへと変化し、そこから「非難する」、さらに相手に「責任を負わせる」という意味になった。
&lt;span class="spacer"&gt;&lt;/span&gt;［blame A for B］のforは「理由」を表して、「BのことでAを非難する, BをAのせいにする」という意味になる。&lt;/span&gt;</t>
    <rPh sb="45" eb="47">
      <t>ヒナン</t>
    </rPh>
    <rPh sb="297" eb="299">
      <t>リユウ</t>
    </rPh>
    <rPh sb="301" eb="302">
      <t>アラワ</t>
    </rPh>
    <rPh sb="332" eb="334">
      <t>イミ</t>
    </rPh>
    <phoneticPr fontId="1"/>
  </si>
  <si>
    <t>&lt;span class="w"&gt;&lt;b&gt;【502.punish A for B：BのことでAを罰する】&lt;/b&gt;&lt;/span&gt;
&lt;span class="ml"&gt;&lt;span class="explanation_tag"&gt;語源&lt;/span&gt;
punishは、ラテン語poena（罰, 刑罰）に由来する。罰という名詞から動詞の「罰する」という意味になった。
&lt;span class="spacer"&gt;&lt;/span&gt;このラテン語はpenalty（ペナルティ）の語源でもあるため、penaltyの動詞として覚えればよい。
&lt;span class="spacer"&gt;&lt;/span&gt;&lt;span class="explanation_tag"&gt;イメージ&lt;/span&gt;
［blame A for B］のforは「理由」を表して、「BのことでAを罰する」という意味になる。&lt;/span&gt;</t>
    <rPh sb="46" eb="47">
      <t>バッ</t>
    </rPh>
    <rPh sb="168" eb="170">
      <t>イミ</t>
    </rPh>
    <rPh sb="363" eb="364">
      <t>バッ</t>
    </rPh>
    <phoneticPr fontId="1"/>
  </si>
  <si>
    <t>&lt;span class="w"&gt;&lt;b&gt;【505.rob A ob B：（暴力や脅迫などで）AからBを奪う】&lt;/b&gt;&lt;/span&gt;
&lt;span class="ml"&gt;&lt;span class="explanation_tag"&gt;語源&lt;/span&gt;
robは、バスローブや裁判官・魔法使いが着ているようなローブ（robe, 丈が長いコート）と関連している。ローブはもともと敵から奪った高価な服を意味し、robは奪う行為を表した。
&lt;span class="spacer"&gt;&lt;/span&gt;［rob A of B］のofは「分離」を表して、「AからBを奪う」という意味になる。&lt;/span&gt;</t>
  </si>
  <si>
    <t>&lt;span class="w"&gt;&lt;b&gt;【506.cure A of B：AのBを治す, AのB（悪癖など）を直す】&lt;/b&gt;&lt;/span&gt;
&lt;span class="ml"&gt;&lt;span class="explanation_tag"&gt;語源&lt;/span&gt;
cureは、ラテン語curare（世話をする）に由来する。特にび健康または健全な状態に回復させることを表すようになり、「治す」という意味になった。
&lt;span class="spacer"&gt;&lt;/span&gt;&lt;span class="explanation_tag"&gt;イメージ&lt;/span&gt;
［cure A of B］のofは「分離」を表して、「AのBを治す」という意味になる。また病気に限らず、悪い癖などに関して「AのBを直す」という意味にもなる。&lt;/span&gt;</t>
  </si>
  <si>
    <t>&lt;span class="w"&gt;&lt;b&gt;【510.transform A into / to B：AをBに変える. 変形させる】&lt;/b&gt;&lt;/span&gt;
&lt;span class="ml"&gt;&lt;span class="explanation_tag"&gt;語源&lt;/span&gt;
transformは、ラテン語trans（越えて）と、forma（形）から派生したformare（形作る）が合わさってできた語。今ある状態から別の状態へと形を変えることから、形や質を「変える」という意味になる。
&lt;span class="spacer"&gt;&lt;/span&gt;［transform A into / to B］は、Aを形を変えてBの中へ入れるイメージから、「AをBに変える. 変形させる」という意味になる。&lt;/span&gt;</t>
  </si>
  <si>
    <t>&lt;span class="w"&gt;&lt;b&gt;【512.present A with B：AにBを贈る】&lt;/b&gt;&lt;/span&gt;
&lt;span class="ml"&gt;&lt;span class="explanation_tag"&gt;イメージ&lt;/span&gt;
［present A with B］は、A（人）に対してB（物）がくっついた状態にすることから、「AにBを贈る」という意味になる。&lt;/span&gt;</t>
  </si>
  <si>
    <t>&lt;span class="w"&gt;&lt;b&gt;【515.congratulate A on B：AをBのことで祝う】&lt;/b&gt;&lt;/span&gt;
&lt;span class="ml"&gt;&lt;span class="explanation_tag"&gt;語源&lt;/span&gt;
congratulateは、ラテン語com（共に）と、gratis（喜ばしい）が合わさってできた語。みんなで共に喜びの言葉を述べることから、「祝う」という意味になった。
&lt;span class="spacer"&gt;&lt;/span&gt;&lt;span class="explanation_tag"&gt;イメージ&lt;/span&gt;
［congratulate A on B］は、Bという出来事の上でAを祝うということから、「AをBのことで祝う」という意味になる。&lt;/span&gt;</t>
  </si>
  <si>
    <t>&lt;span class="w"&gt;&lt;b&gt;【516.name A after B：BにちなんでAに名前をつける】&lt;/b&gt;&lt;/span&gt;
&lt;span class="ml"&gt;&lt;span class="explanation_tag"&gt;イメージ&lt;/span&gt;
［name A after B］は直訳すると、Bの後に（after B）Aに名前をつける（name A）となる。つまり、先につけられたBの名前を継いでAに名付けるイメージから、「BにちなんでAに名前をつける」という意味になる。&lt;/span&gt;</t>
  </si>
  <si>
    <t>&lt;span class="w"&gt;&lt;b&gt;【517.make an effort / efforts：努力する】&lt;/b&gt;&lt;/span&gt;
&lt;span class="ml"&gt;&lt;span class="explanation_tag"&gt;語源&lt;/span&gt;
effortは、ラテン語ex（外に）と、fortis（力強い）が合わさってできた語。外に向かって力を発揮することを表して、「努力」という意味になった。
&lt;span class="spacer"&gt;&lt;/span&gt;ラテン語fortisからは、英語のforce（力）も生まれている。
&lt;span class="spacer"&gt;&lt;/span&gt;［make an effort / efforts］は直訳の通り、「努力する」という意味になる。&lt;/span&gt;</t>
  </si>
  <si>
    <t>&lt;span class="w"&gt;&lt;b&gt;【518.make way：道をあける】&lt;/b&gt;&lt;/span&gt;
&lt;span class="ml"&gt;［make way］は、直訳すると「道を作る」になる。実際に道を切り開くように「道をあける」という意味になる。&lt;/span&gt;</t>
  </si>
  <si>
    <t>&lt;span class="w"&gt;&lt;b&gt;【520.make / earn［a / one's］living：生計を立てる】&lt;/b&gt;&lt;/span&gt;
&lt;span class="ml"&gt;&lt;span class="explanation_tag"&gt;イメージ&lt;/span&gt;
［make a / one's living］は、生計・生活（a / one's living）を何らかの方法で作る（make）ことから、「生計を立てる」という意味になる。
&lt;span class="spacer"&gt;&lt;/span&gt;［earn a / one's living］は、稼いで（earn）生計・生活（a / one's living）成り立たせることから、「生計を立てる」という意味になる。&lt;/span&gt;</t>
  </si>
  <si>
    <t>&lt;span class="w"&gt;&lt;b&gt;【522.take turns：交代でする】&lt;/b&gt;&lt;/span&gt;
&lt;span class="ml"&gt;&lt;span class="explanation_tag"&gt;イメージ&lt;/span&gt;
Aがturn（順番, ターン）を取る&lt;span class="arrow"&gt;→&lt;/span&gt;Bがturnを取る&lt;span class="arrow"&gt;→&lt;/span&gt;A&lt;span class="arrow"&gt;→&lt;/span&gt;B … というようにturnを取り合うことから、［take turn&lt;strong&gt;s&lt;/strong&gt;］は「交代でする」という意味になる。&lt;/span&gt;</t>
  </si>
  <si>
    <t>&lt;span class="w"&gt;&lt;b&gt;【524.take shape：形を取る】&lt;/b&gt;&lt;/span&gt;
&lt;span class="ml"&gt;&lt;span class="explanation_tag"&gt;イメージ&lt;/span&gt;
［take shape］は、ぼんやりしたものが、はっきりとした形やイメージになることから、何かが具体的な「形を取る」という意味になる。&lt;/span&gt;</t>
  </si>
  <si>
    <t>&lt;span class="w"&gt;&lt;b&gt;【525.take / have a seat：着席する】&lt;/b&gt;&lt;/span&gt;
&lt;span class="ml"&gt;［take / have a seat］は直訳の通り、「着席する, 席につく」という意味になる。&lt;/span&gt;</t>
  </si>
  <si>
    <t>&lt;span class="w"&gt;&lt;b&gt;【526.take a risk / risks：危険を冒す】&lt;/b&gt;&lt;/span&gt;
&lt;span class="ml"&gt;［take a risk / risks］は直訳の通り、「危険を冒す」という意味になる。
&lt;span class="spacer"&gt;&lt;/span&gt;複数形risksだと、習慣的・繰り返しということになる。&lt;/span&gt;</t>
  </si>
  <si>
    <t>&lt;span class="w"&gt;&lt;b&gt;【527.shake hands：握手する】&lt;/b&gt;&lt;/span&gt;
&lt;span class="ml"&gt;&lt;span class="explanation_tag"&gt;イメージ&lt;/span&gt;
自分の手と相手の手（hands）を一緒に振る（shake）ことから、「握手する」という意味になる。&lt;/span&gt;</t>
  </si>
  <si>
    <t>&lt;span class="w"&gt;&lt;b&gt;【528.change hands：持ち主が変わる】&lt;/b&gt;&lt;/span&gt;
&lt;span class="ml"&gt;&lt;span class="explanation_tag"&gt;イメージ&lt;/span&gt;
［change hands］は、ある人の手から別の人の手に変わることを表して、「持ち主が変わる」という意味になる。&lt;/span&gt;</t>
  </si>
  <si>
    <t>&lt;span class="w"&gt;&lt;b&gt;【529.have a say (in ~)：（〜に）発言権を持つ】&lt;/b&gt;&lt;/span&gt;
&lt;span class="ml"&gt;&lt;span class="explanation_tag"&gt;イメージ&lt;/span&gt;
［have a say (in A)］は、（Aの範囲内において）発言権（a say）を持つことから、「（Aに）発言権を持つ」という意味になる。&lt;/span&gt;</t>
  </si>
  <si>
    <t>&lt;span class="w"&gt;&lt;b&gt;【530.have / get one's (own) way：思い通りにする】&lt;/b&gt;&lt;/span&gt;
&lt;span class="ml"&gt;&lt;span class="explanation_tag"&gt;イメージ&lt;/span&gt;
［have / get one's (own) way］は、自分自身の道（one's own way）を持って（have / get）、その道を進むイメージから、自分自身の道を進む＝「思い通りにする」という意味になる。&lt;/span&gt;</t>
  </si>
  <si>
    <t>&lt;span class="w"&gt;&lt;b&gt;【531.keep / hold one's temper：冷静さを保つ】&lt;/b&gt;&lt;/span&gt;
&lt;span class="ml"&gt;&lt;span class="explanation_tag"&gt;イメージ&lt;/span&gt;
［keep / hold one's temper］は、その人の気分（one's temper）を動かないようにする（keep / hold）ことから、「冷静さを保つ」という意味になる。&lt;/span&gt;</t>
  </si>
  <si>
    <t>&lt;span class="w"&gt;&lt;b&gt;【532.take advantage of ~ ：〜を利用する, 〜につけ込む】&lt;/b&gt;&lt;/span&gt;
&lt;span class="ml"&gt;&lt;span class="explanation_tag"&gt;イメージ&lt;/span&gt;
［take advantage of A］は、Aからのアドバンテージ・利益をつかんで何かをすることから、「Aを利用する, Aにつけ込む」という意味になる。&lt;/span&gt;</t>
  </si>
  <si>
    <t>&lt;span class="w"&gt;&lt;b&gt;【533.take control of ~：〜をコントロールする（制御・管理・支配）】&lt;/b&gt;&lt;/span&gt;
&lt;span class="ml"&gt;&lt;span class="explanation_tag"&gt;イメージ&lt;/span&gt;
［take control of A］は、Aのコントロールを握ることから、「Aををコントロールする（制御・管理・支配）」という意味になる。&lt;/span&gt;</t>
  </si>
  <si>
    <t>&lt;span class="w"&gt;&lt;b&gt;【534.make use of ~：〜を利用する】&lt;/b&gt;&lt;/span&gt;
&lt;span class="ml"&gt;&lt;span class="explanation_tag"&gt;イメージ&lt;/span&gt;
［make use of A］は、Aの使う価値（use of A）を作り出すイメージから、「Aを利用する」という意味になる。useの前には、good / effective / betterなどの形容詞をつけることができる。&lt;/span&gt;</t>
  </si>
  <si>
    <t>&lt;span class="w"&gt;&lt;b&gt;【535.make fun of ~：〜をからかう】&lt;/b&gt;&lt;/span&gt;
&lt;span class="ml"&gt;&lt;span class="explanation_tag"&gt;イメージ&lt;/span&gt;
［make fun of A］は直訳すると、Aから（of A）笑い（fun）を作る（make）となる。そこから、Aを笑いものにする＝「Aをからかう」という意味になる。&lt;/span&gt;</t>
  </si>
  <si>
    <t>&lt;span class="w"&gt;&lt;b&gt;【536.make friends with ~：〜と親しくなる】&lt;/b&gt;&lt;/span&gt;
&lt;span class="ml"&gt;&lt;span class="explanation_tag"&gt;イメージ&lt;/span&gt;
［make friends with A］は、Aと（with A）友人関係（friends）を作り出すことから、「Aと親しくなる」という意味になる。
&lt;span class="spacer"&gt;&lt;/span&gt;親しくなるというのは、自分と相手の最低2人がいて成立するものなので、複数形friend&lt;strong&gt;s&lt;/strong&gt;となる。&lt;/span&gt;</t>
  </si>
  <si>
    <t>&lt;span class="w"&gt;&lt;b&gt;【28.relate：～を関連づける, 関連する】&lt;/b&gt;&lt;/span&gt;
&lt;span class="ml"&gt;ラテン語に由来する語で、以下の2つの要素から成る。
&lt;span class="spacer"&gt;&lt;/span&gt;re（再び）
ferre（運ぶ）の過去分詞latus
&lt;span class="spacer"&gt;&lt;/span&gt;このまま日本語にすると「再び運ぶ」となる。これは場所Aから場所Bへ移動し、そこで何かを取り、再び元の場所Aへ運ぶというイメージ。このようなAとBの間で何かを送り合う関係を作る行動から、AとBを結び付ける、AとBが結びついている＝「関連付ける, 関連している」という意味になる。
&lt;div class="sample_image relate"&gt;&lt;/div&gt;
&lt;span class="spacer"&gt;&lt;/span&gt;このラテン語はrefer（言及する, 参照する）の語源でもあるので関連させて覚える。&lt;/span&gt;</t>
  </si>
  <si>
    <t>ラテン語ferre（運ぶ）に由来する~fer系と~late系はまとめて覚える。
preferは「好きなものを他のものより前に置く」というイメージ。</t>
  </si>
  <si>
    <t>&lt;span class="w"&gt;&lt;b&gt;【1039.dedicate：〜を捧げる, 〜を献呈する】&lt;/b&gt;&lt;/span&gt;
&lt;span class="ml"&gt;ラテン語に由来する語で、以下の2つの要素から成る。
&lt;span class="spacer"&gt;&lt;/span&gt;de（離れて）
dicare（宣言する）
&lt;span class="spacer"&gt;&lt;/span&gt;もともとは、世間から切り離して神に属するものだと宣言する、宗教的な奉献を表した。そこから宗教に関わらず、一般的な意味として、時間やエネルギーなどを「捧げる」、作品や碑などを「献呈する」という意味になった。
&lt;div class="sample_image dedicate"&gt;&lt;/div&gt;&lt;/span&gt;</t>
  </si>
  <si>
    <t>&lt;span class="w"&gt;&lt;b&gt;【1295.peculiar：特有の, 奇妙な】&lt;/b&gt;&lt;/span&gt;
&lt;span class="ml"&gt;ラテン語に由来する語で、以下の3つの要素から成る。
&lt;span class="spacer"&gt;&lt;/span&gt;pecu（家畜）
ulium（小さいことを表す）
aris（形容詞化）
&lt;span class="spacer"&gt;&lt;/span&gt;このまま日本語にすると「家畜の小さな群れの」となる。古代ローマの時代、移動して連れて行ける家畜は最も重要な財産であった。家畜の小さな群れは、家長から自分の子供や奴隷に与えられた一部の家畜を表し、その人だけの財産を指した。
&lt;span class="spacer"&gt;&lt;/span&gt;その後、財産に限定されず、特定の人や場所のみに属している状態を表すようになって「特有の」という意味になった。
&lt;span class="spacer"&gt;&lt;/span&gt;また特有であるということは、他と比較すると普通ではないという感覚につながり、普通ではなくて「奇妙な」という意味にもなった。
&lt;div class="sample_image peculiar"&gt;&lt;/div&gt;&lt;/span&gt;</t>
  </si>
  <si>
    <t>&lt;span class="w"&gt;&lt;b&gt;【537.make much of ~：①〜を重要視する（大きな存在として扱う）, ②（否定文で）〜を理解する】&lt;/b&gt;&lt;/span&gt;
&lt;span class="ml"&gt;&lt;span class="explanation_tag"&gt;イメージ&lt;/span&gt;
［make much of A］のmuchは、名詞で「多くのこと, 多くの価値, 大量」などの意味を持つ。
&lt;span class="spacer"&gt;&lt;/span&gt;①Aに関して（of A）多くの価値（much）を作る（make）ことから、Aに多くの価値がある大きな存在として扱う＝「Aを重要視する」という意味になる。
&lt;span class="spacer"&gt;&lt;/span&gt;②Aに関して（of A）多くの意味（much）を作る（make）ことから、Aに多くの意味があるように扱う＝「Aを理解する」という意味になる。&lt;/span&gt;</t>
  </si>
  <si>
    <t>&lt;span class="w"&gt;&lt;b&gt;【538.have difficulty (in) doing：〜するのが困難である】&lt;/b&gt;&lt;/span&gt;
&lt;span class="ml"&gt;&lt;span class="explanation_tag"&gt;イメージ&lt;/span&gt;
［have difficulty (in) doing］は、何かをすることにおいて困難を持っていることから、「〜するのが困難である」という意味になる。今では、通常inを使わない。&lt;/span&gt;</t>
  </si>
  <si>
    <t>&lt;span class="w"&gt;&lt;b&gt;【539.have access to ~：〜にアクセスできる, 〜を利用できる, 〜に近づける】&lt;/b&gt;&lt;/span&gt;
&lt;span class="ml"&gt;&lt;span class="explanation_tag"&gt;イメージ&lt;/span&gt;
［have access to A］は、Aに対して接近する（アクセスする）権利や手段を持っていることを表す。そこから文脈によって、「〜を利用できる」「〜に近づける」「〜に接触できる」など、様々な意味になる。&lt;/span&gt;</t>
  </si>
  <si>
    <t>&lt;span class="w"&gt;&lt;b&gt;【540.have an influence / effect on ~：〜に影響を与える】&lt;/b&gt;&lt;/span&gt;
&lt;span class="ml"&gt;&lt;span class="explanation_tag"&gt;イメージ&lt;/span&gt;
［have an influence / effect on A］は直訳の通り、Aに影響を持つことから、「Aに影響を与える」という意味になる。
&lt;span class="spacer"&gt;&lt;/span&gt;&lt;span class="explanation_tag"&gt;補足&lt;/span&gt;
influenceは、SNSのインフルエンサー（influencer, 影響力を持つ人）と関連し、「影響」という意味。
&lt;span class="spacer"&gt;&lt;/span&gt;effectは、ゲームのエフェクト（画面効果）やサウンドエフェクト（音響効果）など、「効果, 影響」を意味する。&lt;/span&gt;</t>
  </si>
  <si>
    <t>&lt;span class="w"&gt;&lt;b&gt;【541.have a liking for ~：〜を好む】&lt;/b&gt;&lt;/span&gt;
&lt;span class="ml"&gt;&lt;span class="explanation_tag"&gt;イメージ&lt;/span&gt;
likingは、likeの動名詞で「好み」という意味。
&lt;span class="spacer"&gt;&lt;/span&gt;［have a liking for A］は直訳の通り、Aに対する好みを持っていることから、「Aを好む」という意味になる。
&lt;span class="spacer"&gt;&lt;/span&gt;&lt;span class="explanation_tag"&gt;補足&lt;/span&gt;
［take a liking to A］なら「Aを好きになる」という意味になる。&lt;/span&gt;</t>
  </si>
  <si>
    <t>&lt;span class="w"&gt;&lt;b&gt;【543.give birth to ~：〜を産む, 〜を生み出す】&lt;/b&gt;&lt;/span&gt;
&lt;span class="ml"&gt;&lt;span class="explanation_tag"&gt;イメージ&lt;/span&gt;
［give birth to A］は、Aに対して（to A）誕生（birth）を与える（give）ことから、「Aを産む」という意味になる。
&lt;span class="spacer"&gt;&lt;/span&gt;また、子を産むことから比喩的に、新しい何かを「生み出す」という意味にもなる。&lt;/span&gt;</t>
  </si>
  <si>
    <t>&lt;span class="w"&gt;&lt;b&gt;【544.find one's way to ~：〜へたどり着く】&lt;/b&gt;&lt;/span&gt;
&lt;span class="ml"&gt;&lt;span class="explanation_tag"&gt;イメージ&lt;/span&gt;
［find one's way to A］は、自身が進む道（one's way）を見つけて（find）Aへ（to A）というイメージ。そこから「〜へたどり着く」という意味になる。&lt;/span&gt;</t>
  </si>
  <si>
    <t>&lt;span class="w"&gt;&lt;b&gt;【545.keep an eye on ~：〜から目を離さない, 〜に気をつけている】&lt;/b&gt;&lt;/span&gt;
&lt;span class="ml"&gt;&lt;span class="explanation_tag"&gt;イメージ&lt;/span&gt;
［keep an eye on A］は、Aの上に（on A）目線をキープしておくイメージから、「〜から目を離さない, 〜に気をつけている」という意味になる。&lt;/span&gt;</t>
  </si>
  <si>
    <t>&lt;span class="w"&gt;&lt;b&gt;【547.catch sight of ~：〜を見かける, 〜を見つける】&lt;/b&gt;&lt;/span&gt;
&lt;span class="ml"&gt;&lt;span class="explanation_tag"&gt;イメージ&lt;/span&gt;
［catch sight of A］は、Aが含まれる視界（sight of A）を瞬間的に目でキャッチするイメージ。そこから、「Aを見かける, 見つける」という意味になる。&lt;/span&gt;</t>
  </si>
  <si>
    <t>&lt;span class="w"&gt;&lt;b&gt;【548.put emphasis / stress on ~：〜を強調する, 〜を重視する】&lt;/b&gt;&lt;/span&gt;
&lt;span class="ml"&gt;&lt;span class="explanation_tag"&gt;語源&lt;/span&gt;
emphasisは、ギリシャ語en（中に）と、phainein（示す）が合わさってできた語。言葉の中に含まれる意味や内容をはっきり示すことから「強調」という意味になった。
&lt;span class="spacer"&gt;&lt;/span&gt;&lt;span class="explanation_tag"&gt;イメージ&lt;/span&gt;
［put emphasis / stress on A］は、Aの上に強調（emphasis / stress）を置くことから、Aが他よりも強調されるものであることを示して、「Aを強調する, Aを重視する」という意味になる。&lt;/span&gt;</t>
  </si>
  <si>
    <t>&lt;span class="w"&gt;&lt;b&gt;【549.be related to ~：〜と関連している, 〜と親族関係である】&lt;/b&gt;&lt;/span&gt;
&lt;span class="ml"&gt;&lt;span class="explanation_tag"&gt;語源&lt;/span&gt;
relateは、ラテン語re（再び）と、ferre（運ぶ）の過去分詞latusが合わさってできた語。これは、場所Aから場所Bへ移動し、そこで何かを取り、再び元の場所Aへ運ぶイメージ。
&lt;span class="spacer"&gt;&lt;/span&gt;AとBとの間で何かを運び合うような関係を作る行為から、「relate A to B」で「AをBに関連付ける」という意味になる。
&lt;span class="spacer"&gt;&lt;/span&gt;この表現が受動態［A be related to B］になれば、Aは「Bと関連している」や「Bと親族関係である」という意味になる。&lt;/span&gt;</t>
  </si>
  <si>
    <t>&lt;span class="w"&gt;&lt;b&gt;【552.be superior to ~：〜より優れている】&lt;/b&gt;&lt;/span&gt;
&lt;span class="ml"&gt;&lt;span class="explanation_tag"&gt;語源&lt;/span&gt;
superiorは、ラテン語super（上に, 越えて）と、ior（比較級を作る）が合わさってできた語だと考えればよい。
&lt;span class="spacer"&gt;&lt;/span&gt;物理的な位置関係において、何かよりも上であるということから、能力・品質・地位などが上であることへと発展し、「より優れた」という意味になった。
&lt;span class="spacer"&gt;&lt;/span&gt;［superior to A］は、Aより上であることから、「Aより優れている」という意味になる。
&lt;span class="spacer"&gt;&lt;/span&gt;&lt;span class="explanation_tag"&gt;補足&lt;/span&gt;
ラテン語由来の比較のニュアンスが含まれる語は、比較対象をtoで示す。それらの語が、もともとは空間や時間的な位置関係を表し、to（〜に対して）で位置の基準を表したからである。
&lt;span class="spacer"&gt;&lt;/span&gt;inferior to A：Aより下＝劣っている
prior to A：Aより前＝優先する&lt;/span&gt;</t>
  </si>
  <si>
    <t>&lt;span class="w"&gt;&lt;b&gt;【553.be sensitive to ~：〜に敏感である, 〜に神経質になる】&lt;/b&gt;&lt;/span&gt;
&lt;span class="ml"&gt;&lt;span class="explanation_tag"&gt;語源&lt;/span&gt;
sensitiveは、ラテン語sentire（感じる）に由来する。この語の核は「感覚で受け取ること」。もともとは物理的な刺激を感じ取る能力がある状態を表していた。そこから、わずかな変化も察知する性質を表して、「敏感な, 神経質な」という意味になった。
&lt;span class="spacer"&gt;&lt;/span&gt;［be sensitive to A］は直訳の通り、「Aに敏感である」「Aに神経質になる」という意味になる。&lt;/span&gt;</t>
  </si>
  <si>
    <t>&lt;span class="w"&gt;&lt;b&gt;【554.be accustomed to ~：〜に慣れている】&lt;/b&gt;&lt;/span&gt;
&lt;span class="ml"&gt;&lt;span class="explanation_tag"&gt;イメージ&lt;/span&gt;
accustomedは、accustom（慣らす）の過去分詞が形容詞になったもの。つまり、動詞の「慣らす」が、過去分詞「慣らされている」＝「慣れている」になった。
&lt;span class="spacer"&gt;&lt;/span&gt;&lt;span class="obsolete"&gt;accustomは、ac（〜へ）と、custom（習慣, カスタム）が合わさってできた語。何かに対して習慣にさせることで「慣らす」というイメージ。&lt;/span&gt;
&lt;span class="spacer"&gt;&lt;/span&gt;［S be accustomed to (動)名詞］は、Sが〈(動)名詞〉に対して慣らされている状態なので、Sは「〜に慣れている」という意味になる。&lt;/span&gt;</t>
  </si>
  <si>
    <t>&lt;span class="w"&gt;&lt;b&gt;【555.be contrary to ~：〜に反している】&lt;/b&gt;&lt;/span&gt;
&lt;span class="ml"&gt;&lt;span class="explanation_tag"&gt;語源&lt;/span&gt;
contraryは、ラテン語contra（〜に対して）が形容詞になった語に由来する。何かに対していることから「反対の」という意味になった。
&lt;span class="spacer"&gt;&lt;/span&gt;cotraは、以下の語にも使われている。
contrast（コントラスト, 対照）
contradict（反対のことを言う, 矛盾する）
controversy（論争）
&lt;span class="spacer"&gt;&lt;/span&gt;&lt;span class="explanation_tag"&gt;イメージ&lt;/span&gt;
［be contrary to A］は、Aに対していることから、「Aに反している」という意味になる。&lt;/span&gt;</t>
  </si>
  <si>
    <t>&lt;span class="w"&gt;&lt;b&gt;【556.be indifferent to / towards ~：〜に無関心である】&lt;/b&gt;&lt;/span&gt;
&lt;span class="ml"&gt;この表現は［be different from A］の反対として理解する。
&lt;span class="spacer"&gt;&lt;/span&gt;&lt;span class="explanation_tag"&gt;イメージ&lt;/span&gt;
indifferentは、differentに否定を表すinが付いたと考えればよい。他と区別するような違いがなく、興味・関心がないことを表して、「無関心な」という意味になる。
&lt;span class="spacer"&gt;&lt;/span&gt;［be indifferent to / towards A］は、無関心の対象をto Aで示す。これは、be different from Aのfromと反対になっている。&lt;/span&gt;</t>
  </si>
  <si>
    <t>&lt;span class="w"&gt;&lt;b&gt;【557.be preferable to ~：〜の方が好ましい】&lt;/b&gt;&lt;/span&gt;
&lt;span class="ml"&gt;preferableは、prefer（好む）の形容詞として考えればよい。
&lt;span class="spacer"&gt;&lt;/span&gt;&lt;span class="explanation_tag"&gt;preferの語源&lt;/span&gt;
preferは、ラテン語prae（前に）と、ferre（運ぶ）が合わさってできた語。他のものよりも前に出すことから、他よりも高く評価する、他のよりも「好む」という意味になる。
&lt;span class="spacer"&gt;&lt;/span&gt;prefer A to B（AよりBを好む）では、比較の対象をtoで示す。これは「前へ運ぶ」が、何に対して前なのかを示すため。つまり、Bに対して（to B）Aを前に運ぶ（好む）ことを表している。
&lt;span class="spacer"&gt;&lt;/span&gt;&lt;span class="explanation_tag"&gt;イメージ&lt;/span&gt;
［A be preferable to B］は、AがBに対して、より前へ運ばれることから、「AはBよりも好ましい」という意味になる。&lt;/span&gt;</t>
  </si>
  <si>
    <t>&lt;span class="w"&gt;&lt;b&gt;【558.be dedicated to ~：〜に献身している, 〜専念している】&lt;/b&gt;&lt;/span&gt;
&lt;span class="ml"&gt;&lt;span class="explanation_tag"&gt;dedicateの語源&lt;/span&gt;
dedicateは、ラテン語de（離れて）と、dicare（宣言する）が合わさってできた語。もともとは、世間から切り離して神に属するものだと宣言する、宗教的な奉献を表した。そこから宗教に関わらず、一般的な意味として、時間やエネルギーなどを「捧げる」、作品や碑などを「献呈する」という意味になった。
&lt;span class="spacer"&gt;&lt;/span&gt;［dedicate A to B］という形で「AをBに捧げる」という意味になる。
&lt;span class="spacer"&gt;&lt;/span&gt;&lt;span class="explanation_tag"&gt;イメージ&lt;/span&gt;
［A be dedicated to B］は直訳すると、AはBに対して（to B）捧げられている（be dedicated）となる。A自身が、Bに対して時間・労力・能力などを捧げていることから、「AはBに献身している, 専念している」という意味になる。&lt;/span&gt;</t>
  </si>
  <si>
    <t>&lt;span class="w"&gt;&lt;b&gt;【24.bear：～を耐える, ～を産む, ～を心に抱く】&lt;/b&gt;&lt;/span&gt;
&lt;span class="ml"&gt;古英語beran（運ぶ, 持ってくる, 耐える, 産む）にさかのぼる語。この語の核は「何かを抱えこむ」というイメージ。
&lt;span class="spacer"&gt;&lt;/span&gt;子どもをお腹に抱えこむ
＝「産む」
&lt;span class="spacer"&gt;&lt;/span&gt;負担や辛いことを抱えこむ
＝「耐える」
&lt;span class="spacer"&gt;&lt;/span&gt;考えを頭や心に抱えこむ
＝「心に抱く」という意味になる。&lt;/span&gt;</t>
    <rPh sb="111" eb="112">
      <t>ゴ</t>
    </rPh>
    <phoneticPr fontId="1"/>
  </si>
  <si>
    <t>&lt;span class="w"&gt;&lt;b&gt;【33.exist：存在する】&lt;/b&gt;&lt;/span&gt;
&lt;span class="ml"&gt;ラテン語に由来する語で、以下の2つの要素から成る。
&lt;span class="spacer"&gt;&lt;/span&gt;ex（外に）
sistere（立たせる）
&lt;span class="spacer"&gt;&lt;/span&gt;このまま日本語にすると「外側に立たせる」となる。見えないところから外側に出て立たせる。その結果、目の前に現れて「存在する」という意味になる。
&lt;div class="sample_image exist"&gt;&lt;/div&gt;&lt;/span&gt;</t>
    <phoneticPr fontId="1"/>
  </si>
  <si>
    <t>&lt;span class="w"&gt;&lt;b&gt;【130.contain：〜を含む, 感情などを抑える】&lt;/b&gt;&lt;/span&gt;
&lt;span class="ml"&gt;ラテン語に由来する語で、以下の2つの要素から成る。
&lt;span class="spacer"&gt;&lt;/span&gt;com（共に）
tenere（保持する）
&lt;span class="spacer"&gt;&lt;/span&gt;このまま日本語にすると「共に保持する」となる。ある状態や物を一緒にまとめて保っておくイメージ。ここから感情を自分の内側にまとめて保つ＝「感情などを抑える」、物を何かの中にまとめて保つ＝「含む」という意味になる。&lt;/span&gt;</t>
  </si>
  <si>
    <t>&lt;span class="w"&gt;&lt;b&gt;【224.ignore：～を無視する】&lt;/b&gt;&lt;/span&gt;
&lt;span class="ml"&gt;ラテン語に由来する語で、以下の2つの要素から成る。
&lt;span class="spacer"&gt;&lt;/span&gt;in（否定）
gnarus（知っている）
&lt;span class="spacer"&gt;&lt;/span&gt;このまま日本語にすると「知らない」となる。気に留めることなく知らないふりをすることから、「無視する」という意味になった。
&lt;span class="spacer"&gt;&lt;/span&gt;形容詞ignorant（無知な）,や名詞ignorance（無知）もセットで覚えておく。&lt;/span&gt;</t>
  </si>
  <si>
    <t>&lt;span class="w"&gt;&lt;b&gt;【1040.equip：〜を備えつける】&lt;/b&gt;&lt;/span&gt;
&lt;span class="ml"&gt;古ノルド語skip（船）から派生したskipa（船を装備する, 整える, 秩序立てて配置する）に由来する。
&lt;span class="spacer"&gt;&lt;/span&gt;もともとは船に関する用語で、出港に必要な物を船に装備することを表した。そこから船に限定されず一般的に使われるようになって、特定の目的に必要なモノや知識、スキルなどを「備えつける」という意味になった。
&lt;div class="sample_image equip"&gt;&lt;/div&gt;&lt;/span&gt;</t>
  </si>
  <si>
    <t>&lt;span class="w"&gt;&lt;b&gt;【561.be identical to / with ~：〜と同一である】&lt;/b&gt;&lt;/span&gt;
&lt;span class="ml"&gt;&lt;span class="explanation_tag"&gt;イメージ&lt;/span&gt;
&lt;strong&gt;id&lt;/strong&gt;enticalは、アカウントにログインする時に、ログインしようとしている人がどのアカウントと同一かを識別する&lt;strong&gt;ID&lt;/strong&gt;と関連させて覚えればよい。
&lt;span class="spacer"&gt;&lt;/span&gt;動詞&lt;strong&gt;id&lt;/strong&gt;entify（同一視する）・名詞&lt;strong&gt;id&lt;/strong&gt;entification（同一かの識別）, &lt;strong&gt;id&lt;/strong&gt;entity（同一性, 身元）・形容詞&lt;strong&gt;id&lt;/strong&gt;enticalは、すべて「同一」や同一かの「識別」に関わる意味になる。
&lt;span class="spacer"&gt;&lt;/span&gt;そこから［be identical to / with A］は、「Aと同一である」という意味になる。&lt;/span&gt;</t>
  </si>
  <si>
    <t>&lt;span class="w"&gt;&lt;b&gt;【564.be lacking in ~：〜に欠けている, 不足している】&lt;/b&gt;&lt;/span&gt;
&lt;span class="ml"&gt;&lt;span class="explanation_tag"&gt;イメージ&lt;/span&gt;
［be lacking in A］は、Aという範囲で（in A）不足している（be lacking）ことから、「〜に欠けている, 不足している」という意味になる。&lt;/span&gt;</t>
  </si>
  <si>
    <t>&lt;span class="w"&gt;&lt;b&gt;【568.be popular with / among ~：〜に人気がある】&lt;/b&gt;&lt;/span&gt;
&lt;span class="ml"&gt;［be popular with / among A］は直訳の通り、「Aに人気がある」という意味になる。among Aは、Aという集団の中で人気があるイメージ。&lt;/span&gt;</t>
  </si>
  <si>
    <t>&lt;span class="w"&gt;&lt;b&gt;【570.be content / contented with ~：〜に満足している】&lt;/b&gt;&lt;/span&gt;
&lt;span class="ml"&gt;contentは、動詞containの形容詞と考えればよい。
&lt;span class="spacer"&gt;&lt;/span&gt;&lt;span class="explanation_tag"&gt;containの語源&lt;/span&gt;
containは、ラテン語com（共に）と、tenere（保持する）が合わさってできた語。
&lt;span class="spacer"&gt;&lt;/span&gt;ある状態や物を一緒にまとめて保っておくイメージから、感情を自分の内側にまとめて保つ＝「感情などを抑える」、物を何かの中にまとめて保つ＝「含む」という意味になる。
&lt;span class="spacer"&gt;&lt;/span&gt;&lt;span class="explanation_tag"&gt;イメージ&lt;/span&gt;
content / contentedは、動詞contain（含む）の形容詞と考える。自分の心の器の中にきっちりと何かが含まれていて、それ以上何かを望むことのない満足した状態を表す。
&lt;span class="spacer"&gt;&lt;/span&gt;［be content / contented with A］は、何で満たされているかをwith Aで示して、「Aに満足している」という意味になる。&lt;/span&gt;</t>
  </si>
  <si>
    <t>&lt;span class="w"&gt;&lt;b&gt;【571.be confronted with / by ~：（困難・問題など）に直面している】&lt;/b&gt;&lt;/span&gt;
&lt;span class="ml"&gt;confrontedは、動詞confrontの過去分詞。
&lt;span class="spacer"&gt;&lt;/span&gt;&lt;span class="explanation_tag"&gt;confrontの語源&lt;/span&gt;
confrontは、ラテン語com（共に）と、frontem（前面, 額）が合わさってできた語。
&lt;span class="spacer"&gt;&lt;/span&gt;相手の前面とこちらの前面が共に一致する（くっつく）イメージから、自分のすぐ前に何かがある＝「立ち向かう, 立ちはだかる」という意味になる。
&lt;span class="spacer"&gt;&lt;/span&gt;confrontは、［confront A with B］という形で、「AをBに直面させる, 立ちはだかるようにする」という意味になる。
&lt;span class="spacer"&gt;&lt;/span&gt;&lt;span class="explanation_tag"&gt;イメージ&lt;/span&gt;
［A be confronted with / by B］は、［confront A with B：AをBに直面させる］が、Aを主語とする受動態になったもの。そこから、「AはBに直面している」という意味になる。&lt;/span&gt;</t>
  </si>
  <si>
    <t>&lt;span class="w"&gt;&lt;b&gt;【573.be characteristic of ~：〜の特徴である, 〜に特有である】&lt;/b&gt;&lt;/span&gt;
&lt;span class="ml"&gt;&lt;span class="explanation_tag"&gt;イメージ&lt;/span&gt;
characteristicは、character（キャラクター）が形容詞になったもの。キャラクターは、それぞれの個性や特徴を持っているので、characteristicは、何かの「特徴である」、何かに「特有の」という意味になる。
&lt;span class="spacer"&gt;&lt;/span&gt;［be characteristic of A］は直訳の通り、「Aの特徴である」や「Aに特有である」という意味になる。&lt;/span&gt;</t>
  </si>
  <si>
    <t>&lt;span class="w"&gt;&lt;b&gt;【575.be ignorant of ~：〜知らない】&lt;/b&gt;&lt;/span&gt;
&lt;span class="ml"&gt;&lt;span class="explanation_tag"&gt;語源&lt;/span&gt;
ignorantは、ラテン語in（否定）と、gnarus（知っている）が合わさってできた語。そこから「知らない」という意味になる。
&lt;span class="spacer"&gt;&lt;/span&gt;［be ignorant of A］は、Aで対象を表して、「Aを知らない」という意味になる。&lt;/span&gt;</t>
  </si>
  <si>
    <t>&lt;span class="w"&gt;&lt;b&gt;【578.be guilty of ~：〜について有罪である, 〜の罪を犯している】&lt;/b&gt;&lt;/span&gt;
&lt;span class="ml"&gt;&lt;span class="explanation_tag"&gt;イメージ&lt;/span&gt;
guiltyは、guilt（罪, 罪悪感）が形容詞になったものと考えればよい。［be guilty of A］は、Aについて罪がある状態を表して、「Aについて有罪である, Aの罪を犯している」という意味になる。&lt;/span&gt;</t>
  </si>
  <si>
    <t>&lt;span class="w"&gt;&lt;b&gt;【580.be tolerant of ~：〜に対して寛容である】&lt;/b&gt;&lt;/span&gt;
&lt;span class="ml"&gt;&lt;span class="explanation_tag"&gt;イメージ&lt;/span&gt;
tolerantは、動詞tolerate（耐える）の形容詞として考えればよい。何かを耐えるということは、それを許容する余裕があるということ。
&lt;span class="spacer"&gt;&lt;/span&gt;［be tolerant of A］は、Aを耐えられるものとして受け入れることから、「Aに寛容である」という意味になる。&lt;/span&gt;</t>
  </si>
  <si>
    <t>&lt;span class="w"&gt;&lt;b&gt;【581.be wary of ~：〜に用心深い】&lt;/b&gt;&lt;/span&gt;
&lt;span class="ml"&gt;&lt;span class="explanation_tag"&gt;語源&lt;/span&gt;
waryは、古英語wær（気づいている, 警戒している）と、y（形容詞化）が合わさってできた語。古英語wærからは、aware（気づいている, 認識している）も生まれている。
&lt;span class="spacer"&gt;&lt;/span&gt;waryとawareのどちらも、核は「意識や注意を向けている状態」。
&lt;span class="spacer"&gt;&lt;/span&gt;［be wary of A］は、Aに意識や注意を向けることから、「Aに用心している」という意味になる。&lt;/span&gt;</t>
  </si>
  <si>
    <t>&lt;span class="w"&gt;&lt;b&gt;【582.be suitable for / to ~：〜に適している】&lt;/b&gt;&lt;/span&gt;
&lt;span class="ml"&gt;suitableは、動詞suit（適する, 似合う）が形容詞になったものと考えればよい。
&lt;span class="spacer"&gt;&lt;/span&gt;&lt;span class="explanation_tag"&gt;suitの語源&lt;/span&gt;
動詞suitは、名詞suitから派生したもの。名詞suitは、ラテン語sequi（付き従う, 追う）に由来し、1300年頃の中英語では、ある人に付き従う人たちの一団や、そのような人々が着るお揃いの衣服を意味した&lt;span class="obsolete"&gt;（これが現在の「スーツ」の由来）&lt;/span&gt;。
&lt;span class="spacer"&gt;&lt;/span&gt;動詞suit（適する, 似合う）への発展は、そのような同じ服を着た一団に加わることに由来すると考えられる。
&lt;span class="spacer"&gt;&lt;/span&gt;つまり、付き人たちの仲間に加わるということは、その集団に入り、お揃いの服を着る能力や素質がある者なので、集団に入るのに「適する」、そしてお揃いの服が「似合う」という意味になったと考えられる。
&lt;span class="spacer"&gt;&lt;/span&gt;そしてそこから、何かに「適する」、何かが「似合う, 合う」といった意味へと広がっていった。
&lt;span class="spacer"&gt;&lt;/span&gt;&lt;span class="explanation_tag"&gt;イメージ&lt;/span&gt;
［be suitable for / to A］は、Aに対して合っていることから、「Aに適している」という意味になる。&lt;/span&gt;</t>
  </si>
  <si>
    <t>&lt;span class="w"&gt;&lt;b&gt;【583.be grateful (to A) for B：Bのことで（Aに）感謝している】&lt;/b&gt;&lt;/span&gt;
&lt;span class="ml"&gt;&lt;span class="explanation_tag"&gt;語源&lt;/span&gt;
gratefulは、ラテン語grate（好ましい, 喜ばしい, 感謝される）に由来し、英語段階でful（満ちた）が付いた。
&lt;span class="spacer"&gt;&lt;/span&gt;ありがたい出来事を受け取って喜びに満ちることから、感謝の気持ちが生まれ、何かに対して「感謝している」という意味になる。
&lt;span class="spacer"&gt;&lt;/span&gt;［be grateful (to A) for B］は直訳の通り、「Bのことで（Aに）感謝している」という意味になる。
&lt;span class="spacer"&gt;&lt;/span&gt;&lt;span class="explanation_tag"&gt;関連語&lt;/span&gt;
ラテン語grate（喜ばしい）からは、以下の語も生まれている。
&lt;span class="spacer"&gt;&lt;/span&gt;con&lt;strong&gt;grat&lt;/strong&gt;ulate
con&lt;strong&gt;grat&lt;/strong&gt;ulation
喜ばしいことから、祝うという意味になった。&lt;/span&gt;</t>
  </si>
  <si>
    <t>&lt;span class="w"&gt;&lt;b&gt;【585.come down with ~：（病気）にかかる】&lt;/b&gt;&lt;/span&gt;
&lt;span class="ml"&gt;&lt;span class="explanation_tag"&gt;イメージ&lt;/span&gt;
［come down with 病気］は、病気を抱えて（with 病気）体調・体が下に崩れる（down）状態になる（come）イメージから、「（病気）にかかる」という意味になる。&lt;/span&gt;</t>
  </si>
  <si>
    <t>&lt;span class="w"&gt;&lt;b&gt;【586.come into being / existence：出現する】&lt;/b&gt;&lt;/span&gt;
&lt;span class="ml"&gt;existence（存在）は、exist（存在する）の名詞として覚えればよい。
&lt;span class="spacer"&gt;&lt;/span&gt;&lt;span class="explanation_tag"&gt;existの語源&lt;/span&gt;
existは、ラテン語ex（外に）と、sistere（立たせる）が合わさってできた語。
&lt;span class="spacer"&gt;&lt;/span&gt;見えないところから外側に出て立たせる。その結果、目の前に現れて「存在する」という意味になる。
&lt;span class="spacer"&gt;&lt;/span&gt;&lt;span class="explanation_tag"&gt;イメージ&lt;/span&gt;
［come into being / existence］は直訳すると、存在（being / existence）の中に（into）来る（come）となる。これは、存在しない状態から存在する状態になることを表して、「出現する」という意味になる。
&lt;span class="spacer"&gt;&lt;/span&gt;&lt;span class="explanation_tag"&gt;補足&lt;/span&gt;
come, goには「ある状態になる」という意味があるので、覚えておくとよい。&lt;/span&gt;</t>
    <rPh sb="52" eb="54">
      <t>シュツゲン</t>
    </rPh>
    <rPh sb="96" eb="98">
      <t>ソンザイ</t>
    </rPh>
    <rPh sb="107" eb="109">
      <t>ソンザイ</t>
    </rPh>
    <rPh sb="113" eb="115">
      <t>メイシ</t>
    </rPh>
    <rPh sb="118" eb="119">
      <t>オボ</t>
    </rPh>
    <rPh sb="210" eb="211">
      <t>ゴ</t>
    </rPh>
    <rPh sb="233" eb="234">
      <t>ア</t>
    </rPh>
    <rPh sb="241" eb="242">
      <t>ゴ</t>
    </rPh>
    <rPh sb="419" eb="421">
      <t>チョクヤク</t>
    </rPh>
    <rPh sb="425" eb="427">
      <t>ソンザイ</t>
    </rPh>
    <rPh sb="447" eb="448">
      <t>ナカ</t>
    </rPh>
    <rPh sb="455" eb="456">
      <t>ク</t>
    </rPh>
    <rPh sb="471" eb="473">
      <t>ソンザイ</t>
    </rPh>
    <rPh sb="476" eb="478">
      <t>ジョウタイ</t>
    </rPh>
    <rPh sb="480" eb="482">
      <t>ソンザイ</t>
    </rPh>
    <rPh sb="484" eb="486">
      <t>ジョウタイ</t>
    </rPh>
    <rPh sb="492" eb="493">
      <t>アラワ</t>
    </rPh>
    <rPh sb="497" eb="499">
      <t>シュツゲン</t>
    </rPh>
    <rPh sb="505" eb="507">
      <t>イミ</t>
    </rPh>
    <rPh sb="593" eb="595">
      <t>ジョウタイ</t>
    </rPh>
    <rPh sb="602" eb="604">
      <t>イミ</t>
    </rPh>
    <rPh sb="610" eb="611">
      <t>オボ</t>
    </rPh>
    <phoneticPr fontId="1"/>
  </si>
  <si>
    <t>&lt;span class="w"&gt;&lt;b&gt;【587.come true：実現する】&lt;/b&gt;&lt;/span&gt;
&lt;span class="ml"&gt;このcomeは「ある状態になる」という意味。［S come true］で、Sがtrue（真実）になる＝「実現する」という意味になる。&lt;/span&gt;</t>
    <rPh sb="34" eb="36">
      <t>ジツゲン</t>
    </rPh>
    <rPh sb="78" eb="80">
      <t>ジョウタイ</t>
    </rPh>
    <rPh sb="87" eb="89">
      <t>イミ</t>
    </rPh>
    <rPh sb="112" eb="114">
      <t>シンジツ</t>
    </rPh>
    <rPh sb="120" eb="122">
      <t>ジツゲン</t>
    </rPh>
    <rPh sb="128" eb="130">
      <t>イミ</t>
    </rPh>
    <phoneticPr fontId="1"/>
  </si>
  <si>
    <t>&lt;span class="w"&gt;&lt;b&gt;【589.get in touch (with ~)：（～と）連絡を取る】&lt;/b&gt;&lt;/span&gt;
&lt;span class="ml"&gt;&lt;span class="explanation_tag"&gt;イメージ&lt;/span&gt;
［get in touch (with A)］は、（Aと）接触している状態（in touch）になる（get）ことから、「Aと連絡を取る」といういみになる。&lt;/span&gt;</t>
    <rPh sb="50" eb="52">
      <t>レンラク</t>
    </rPh>
    <rPh sb="53" eb="54">
      <t>ト</t>
    </rPh>
    <rPh sb="156" eb="158">
      <t>セッショク</t>
    </rPh>
    <rPh sb="162" eb="164">
      <t>ジョウタイ</t>
    </rPh>
    <rPh sb="190" eb="192">
      <t>レンラク</t>
    </rPh>
    <rPh sb="193" eb="194">
      <t>ト</t>
    </rPh>
    <phoneticPr fontId="1"/>
  </si>
  <si>
    <t>&lt;span class="w"&gt;&lt;b&gt;【590.go blind：失明する】&lt;/b&gt;&lt;/span&gt;
&lt;span class="ml"&gt;&lt;span class="explanation_tag"&gt;イメージ&lt;/span&gt;
このgoは、「～になる」という意味。
&lt;span class="spacer"&gt;&lt;/span&gt;［go blind］は、目が見えない状態（blind）になる（go）ことから、「失明する」という意味になる。
&lt;span class="spacer"&gt;&lt;/span&gt;&lt;span class="explanation_tag"&gt;補足&lt;/span&gt;
blind（目が見えない, 失明した, ブラインド）は、ブラインドサッカーや日よけのブラインドなど、日本語でも使われる。&lt;/span&gt;</t>
    <rPh sb="33" eb="35">
      <t>シツメイ</t>
    </rPh>
    <rPh sb="124" eb="126">
      <t>イミ</t>
    </rPh>
    <rPh sb="168" eb="169">
      <t>メ</t>
    </rPh>
    <rPh sb="170" eb="171">
      <t>ミ</t>
    </rPh>
    <rPh sb="174" eb="176">
      <t>ジョウタイ</t>
    </rPh>
    <rPh sb="196" eb="198">
      <t>シツメイ</t>
    </rPh>
    <rPh sb="204" eb="206">
      <t>イミ</t>
    </rPh>
    <rPh sb="285" eb="286">
      <t>メ</t>
    </rPh>
    <rPh sb="287" eb="288">
      <t>ミ</t>
    </rPh>
    <rPh sb="293" eb="295">
      <t>シツメイ</t>
    </rPh>
    <rPh sb="317" eb="318">
      <t>ヒ</t>
    </rPh>
    <rPh sb="329" eb="332">
      <t>ニホンゴ</t>
    </rPh>
    <rPh sb="334" eb="335">
      <t>ツカ</t>
    </rPh>
    <phoneticPr fontId="1"/>
  </si>
  <si>
    <t>&lt;span class="w"&gt;&lt;b&gt;【591.have A in common (with B)：（Bと）共通にAを持っている】&lt;/b&gt;&lt;/span&gt;
&lt;span class="ml"&gt;［have A in common (with B)］は直訳の通り、「Bと（with B）共通に（in common）Aを持っている」という意味になる。&lt;/span&gt;</t>
    <rPh sb="54" eb="56">
      <t>キョウツウ</t>
    </rPh>
    <rPh sb="59" eb="60">
      <t>モ</t>
    </rPh>
    <rPh sb="122" eb="124">
      <t>チョクヤク</t>
    </rPh>
    <rPh sb="125" eb="126">
      <t>トオ</t>
    </rPh>
    <rPh sb="139" eb="141">
      <t>キョウツウ</t>
    </rPh>
    <rPh sb="155" eb="156">
      <t>モ</t>
    </rPh>
    <rPh sb="164" eb="166">
      <t>イミ</t>
    </rPh>
    <phoneticPr fontId="1"/>
  </si>
  <si>
    <t>&lt;span class="w"&gt;&lt;b&gt;【592.keep / bear ~ in mind：～を心にとどめておく】&lt;/b&gt;&lt;/span&gt;
&lt;span class="ml"&gt;&lt;span class="explanation_tag"&gt;bearの語源&lt;/span&gt;
bearは、古英語beran（運ぶ, 持ってくる, 耐える, 産む）にさかのぼる。この語の核は「何かを抱えこむ」というイメージ。bearの過去分詞はborn（生まれる）からも抱え込むイメージが浮かぶ。
&lt;span class="spacer"&gt;&lt;/span&gt;子どもをお腹に抱えこむ＝「産む」
負担や辛いことを抱えこむ＝「耐える」
考えを頭や心に抱えこむ＝「心に抱く」
&lt;span class="spacer"&gt;&lt;/span&gt;&lt;span class="explanation_tag"&gt;イメージ&lt;/span&gt;
［keep / bear A in mind］は、Aを心の中に（in mind）保つ（keep） / 抱え込む（bear）ことから、「Aを心の中にとどめておく」という意味になる。&lt;/span&gt;</t>
    <rPh sb="48" eb="49">
      <t>ココロ</t>
    </rPh>
    <rPh sb="412" eb="413">
      <t>ココロ</t>
    </rPh>
    <rPh sb="414" eb="415">
      <t>ナカ</t>
    </rPh>
    <rPh sb="425" eb="426">
      <t>タモ</t>
    </rPh>
    <rPh sb="436" eb="437">
      <t>カカ</t>
    </rPh>
    <rPh sb="438" eb="439">
      <t>コ</t>
    </rPh>
    <rPh sb="454" eb="455">
      <t>ココロ</t>
    </rPh>
    <rPh sb="456" eb="457">
      <t>ナカ</t>
    </rPh>
    <rPh sb="468" eb="470">
      <t>イミ</t>
    </rPh>
    <phoneticPr fontId="1"/>
  </si>
  <si>
    <t>&lt;span class="w"&gt;&lt;b&gt;【594.make it：成功する, うまくやる, 間に合う】&lt;/b&gt;&lt;/span&gt;
&lt;span class="ml"&gt;&lt;span class="explanation_tag"&gt;イメージ&lt;/span&gt;
［make it］のitは、具体的な意味はなく、ある状況におけるゴール・目的を漠然とさす語。ある状況で望ましいこと（it）を為す（make）ことから、「成功する, うまくやる, 間に合う」といった意味になる。
&lt;span class="spacer"&gt;&lt;/span&gt;どのような状況かによって日本語訳は変わるので、文脈に応じて理解すればよい。&lt;/span&gt;</t>
    <rPh sb="45" eb="46">
      <t>マ</t>
    </rPh>
    <rPh sb="47" eb="48">
      <t>ア</t>
    </rPh>
    <rPh sb="135" eb="138">
      <t>グタイテキ</t>
    </rPh>
    <rPh sb="139" eb="141">
      <t>イミ</t>
    </rPh>
    <rPh sb="147" eb="149">
      <t>ジョウキョウ</t>
    </rPh>
    <rPh sb="157" eb="159">
      <t>モクテキ</t>
    </rPh>
    <rPh sb="160" eb="162">
      <t>バクゼン</t>
    </rPh>
    <rPh sb="165" eb="166">
      <t>ゴ</t>
    </rPh>
    <rPh sb="169" eb="171">
      <t>ジョウキョウ</t>
    </rPh>
    <rPh sb="172" eb="173">
      <t>ノゾ</t>
    </rPh>
    <rPh sb="183" eb="184">
      <t>ナ</t>
    </rPh>
    <rPh sb="219" eb="221">
      <t>イミ</t>
    </rPh>
    <rPh sb="259" eb="261">
      <t>ジョウキョウ</t>
    </rPh>
    <rPh sb="266" eb="271">
      <t>ニホンゴ</t>
    </rPh>
    <rPh sb="271" eb="272">
      <t>カ</t>
    </rPh>
    <rPh sb="277" eb="279">
      <t>ブンミャク</t>
    </rPh>
    <rPh sb="280" eb="281">
      <t>オウ</t>
    </rPh>
    <rPh sb="283" eb="285">
      <t>リカイ</t>
    </rPh>
    <phoneticPr fontId="1"/>
  </si>
  <si>
    <t>put ~ into practice / operation</t>
    <phoneticPr fontId="1"/>
  </si>
  <si>
    <t>&lt;span class="w"&gt;&lt;b&gt;【595.put ~ into practice / operation：～を実行する】&lt;/b&gt;&lt;/span&gt;
&lt;span class="ml"&gt;［put A into practice / operation］は直訳の通り、Aを実際に行うこと（practice / operation）の中へ置くイメージから、「Aを実行する」という意味になる。&lt;/span&gt;</t>
    <rPh sb="58" eb="60">
      <t>ジッコウ</t>
    </rPh>
    <rPh sb="126" eb="128">
      <t>チョクヤク</t>
    </rPh>
    <rPh sb="129" eb="130">
      <t>トオ</t>
    </rPh>
    <rPh sb="134" eb="136">
      <t>ジッサイ</t>
    </rPh>
    <rPh sb="137" eb="138">
      <t>オコナ</t>
    </rPh>
    <rPh sb="164" eb="165">
      <t>ナカ</t>
    </rPh>
    <rPh sb="166" eb="167">
      <t>オ</t>
    </rPh>
    <rPh sb="178" eb="180">
      <t>ジッコウ</t>
    </rPh>
    <rPh sb="186" eb="188">
      <t>イミ</t>
    </rPh>
    <phoneticPr fontId="1"/>
  </si>
  <si>
    <t>in contrast to / with ~</t>
    <phoneticPr fontId="1"/>
  </si>
  <si>
    <t>&lt;span class="w"&gt;&lt;b&gt;【597.take ~ by surprise：～を驚かす】&lt;/b&gt;&lt;/span&gt;
&lt;span class="ml"&gt;&lt;span class="explanation_tag"&gt;イメージ&lt;/span&gt;
［take A by surprise］は直訳すると、驚きによって（by surprise）Aをつかむ（take A）となる。予想外のことによってAをとらえることから、「Aを驚かす」という意味になる。&lt;/span&gt;</t>
  </si>
  <si>
    <t>&lt;span class="w"&gt;&lt;b&gt;【599.in contrast to / with ~：～と違って, ～とは対照的に】&lt;/b&gt;&lt;/span&gt;
&lt;span class="ml"&gt;&lt;span class="explanation_tag"&gt;語源&lt;/span&gt;
contrastは、ラテン語contra（〜に対して）と、stare（立つ）が合わさってできた語。あるものに対して、それとは反対の位置に立つことから、「対照, 対照的であること」を表す。
&lt;span class="spacer"&gt;&lt;/span&gt;&lt;span class="explanation_tag"&gt;イメージ&lt;/span&gt;
［in contrast to / with A］は語源から考えると、Aに対して（to A）/ Aと（with A）反対のところに立つというイメージ。そこから「Aと違って, Aとは対照的に」という意味になる。&lt;/span&gt;</t>
  </si>
  <si>
    <t>&lt;span class="w"&gt;&lt;b&gt;【600.in danger of ~：～の危険があって】&lt;/b&gt;&lt;/span&gt;
&lt;span class="ml"&gt;［in danger of A］は直訳すると、Aという危険（danger of A）の中にいる（in）となる。そこから「Aの危険があって」という意味になる。&lt;/span&gt;</t>
  </si>
  <si>
    <t>&lt;span class="w"&gt;&lt;b&gt;【18.describe：～を述べる, ～を説明する】&lt;/b&gt;&lt;/span&gt;
&lt;span class="ml"&gt;ラテン語に由来する語で、以下の2つの要素から成る。
&lt;span class="spacer"&gt;&lt;/span&gt;de（下に）
scribere（書く）
&lt;span class="spacer"&gt;&lt;/span&gt;このまま日本語にすると「下に書く」となる。何かを下に書いておくことから、「記述する」という意味になる。さらに文字にして書くことに限らず、言葉にして「説明する, 表現する」という意味になる。
&lt;div class="sample_image describe"&gt;&lt;/div&gt;&lt;/span&gt;</t>
    <phoneticPr fontId="1"/>
  </si>
  <si>
    <t>&lt;span class="w"&gt;&lt;b&gt;【60.practice：実践, 練習, 慣習】&lt;/b&gt;&lt;/span&gt;
&lt;span class="ml"&gt;ラテン語practicare（実際に行う）に由来する。
&lt;span class="spacer"&gt;&lt;/span&gt;practiceは、中学校でhs「練習」と覚えるが、もとの意味は実際に何かを行うこと＝「実践」。ある技能を身につけるために繰り返し実践することから「練習」となり、社会的に実践が繰り返されて「慣習」という意味にもなる。&lt;/span&gt;</t>
  </si>
  <si>
    <t>&lt;span class="w"&gt;&lt;b&gt;【229.exchange：～を交換する, 両替する】&lt;/b&gt;&lt;/span&gt;
&lt;span class="ml"&gt;ラテン語に由来する語で、以下の2つの要素から成る。
&lt;span class="spacer"&gt;&lt;/span&gt;ex（外へ）
cambire（交換する）
&lt;span class="spacer"&gt;&lt;/span&gt;このまま日本語にすると「外へ交換する」となる。自分の持っているものを、外部の人の等しい価値のものと交換するイメージから、「交換する, 両替する」という意味になる。&lt;/span&gt;</t>
  </si>
  <si>
    <t>&lt;span class="w"&gt;&lt;b&gt;【545.expense：経費, 費用, 犠牲】&lt;/b&gt;&lt;/span&gt;
&lt;span class="ml"&gt;ラテン語に由来する語で、以下の2つの要素から成る。
&lt;span class="spacer"&gt;&lt;/span&gt;ex（外に）
pendere（吊るす）
&lt;span class="spacer"&gt;&lt;/span&gt;このまま日本語にすると「外に吊るすもの」となる。当時はお金を天秤に吊るし、重さを量ることで支払いが行われたことから、外に吊るすものは支払われるものを表す。ここから「費用, 経費」という意味になった。
&lt;span class="spacer"&gt;&lt;/span&gt;また、お金を支払うことから意味が広がり、時間や労力、健康などの目に見えない価値あるものを支払うことから「犠牲」という意味にもなった。
&lt;span class="spacer"&gt;&lt;/span&gt;expenseから生まれた形容詞がexpensive（高価な）なので、関連させて覚えるとよい。&lt;/span&gt;</t>
  </si>
  <si>
    <t>&lt;span class="w"&gt;&lt;b&gt;【874.sake：（for the sake of）〜のために（利益・目的など）】&lt;/b&gt;&lt;/span&gt;
&lt;span class="ml"&gt;古英語sacu（訴訟の原因, 犯罪, 争い）にさかのぼる。
&lt;span class="spacer"&gt;&lt;/span&gt;古英語や中英語では、訴訟の原因、犯罪、争いなどの多様な意味を持っていたが、それらの意味にはcaseやcauseが使われるようになった。
&lt;span class="spacer"&gt;&lt;/span&gt;現在sakeは、for the sake of / for one's sake（〜のために）などの決まった表現に残っている。そのためこのフレーズで覚えておく。&lt;/span&gt;</t>
  </si>
  <si>
    <t>&lt;span class="w"&gt;&lt;b&gt;【1078.virtue：美徳, 効能】&lt;/b&gt;&lt;/span&gt;
&lt;span class="ml"&gt;ラテン語に由来する語で、以下の2つの要素から成る。
&lt;span class="spacer"&gt;&lt;/span&gt;vir（男）
us（名詞化）
&lt;span class="spacer"&gt;&lt;/span&gt;この語の核は「男にふさわしい力強さ」。古代ローマでは、戦士としての勇気や力が男にとっての理想とされていた。そこから意味が拡張し、単なる武勇に限らず、精神的・能力的な優秀さ全般を指すようになる。さらにキリスト教的な価値観の影響を受けて、道徳的な強さ＝正しさ・清らかさから「美徳」を意味するようになった。
&lt;span class="spacer"&gt;&lt;/span&gt;道徳的な美徳以前の物理的・能力的な力というニュアンスは「効能, 効力」という意味で残っている。
&lt;div class="sample_image virtue"&gt;&lt;/div&gt;&lt;/span&gt;</t>
  </si>
  <si>
    <t>&lt;span class="w"&gt;&lt;b&gt;【1469.interval：時間の間隔, 合間, 小休止】&lt;/b&gt;&lt;/span&gt;
&lt;span class="ml"&gt;ラテン語に由来する語で、以下の2つの要素から成る。
&lt;span class="spacer"&gt;&lt;/span&gt;inter（〜の間に）
vallum（杭柵, 城壁）
&lt;span class="spacer"&gt;&lt;/span&gt;もともとは、杭でできた柵や城壁の間の隙間を表した。そういった空間の隙間が、時間の隙間へと変化して「時間の間隔, 合間, 小休止」などの意味となった。
&lt;span class="spacer"&gt;&lt;/span&gt;現代でも「空間的な間隔」という意味も残っているほか、音楽において音と音の高さの間隔から「音程」という意味でも使われる。
&lt;div class="sample_image interval"&gt;&lt;/div&gt;&lt;/span&gt;</t>
  </si>
  <si>
    <t>&lt;span class="w"&gt;&lt;b&gt;【500.exchange A for B：AをBと交換する（価値の等しいもの同士の交換）】&lt;/b&gt;&lt;/span&gt;
&lt;span class="ml"&gt;&lt;span class="explanation_tag"&gt;イメージ&lt;/span&gt;
［exchange A for B］は、お金の両替・名刺の交換・情報交換・人質の交換など、等しい価値のもの同士を交換することを表して、「AをBと交換する」という意味になる。&lt;/span&gt;</t>
  </si>
  <si>
    <t>&lt;span class="w"&gt;&lt;b&gt;【601.in need of ~：〜を必要として】&lt;/b&gt;&lt;/span&gt;
&lt;span class="ml"&gt;［in need of A］は直訳すると、Aを必要な状態の中にいることを表して、「〜を必要としている」という意味になる。&lt;/span&gt;</t>
  </si>
  <si>
    <t>&lt;span class="w"&gt;&lt;b&gt;【602.in response to ~：〜に答えて（応じて）】&lt;/b&gt;&lt;/span&gt;
&lt;span class="ml"&gt;responseは、動詞respond（応える, 反応する）の名詞と考えればよい。
&lt;span class="spacer"&gt;&lt;/span&gt;&lt;span class="explanation_tag"&gt;respondの語源&lt;/span&gt;
respondは、ラテン語re（戻る）と、spondere（約束する）が合わさってできた語。
&lt;span class="spacer"&gt;&lt;/span&gt;相手が言ったことに自分も約束を返す（戻す）というイメージから、相手に「答える」や、こちらに来るものに「反応する」という意味になる。
&lt;span class="spacer"&gt;&lt;/span&gt;&lt;span class="explanation_tag"&gt;イメージ&lt;/span&gt;
［in response to A］は、Aに対して反応した状態の中にいることを表して、「Aに答えて, 応じて」という意味になる。&lt;/span&gt;</t>
  </si>
  <si>
    <t>&lt;span class="w"&gt;&lt;b&gt;【604.in the face of ~：①〜に直面して, ②〜にもかかわらず】&lt;/b&gt;&lt;/span&gt;
&lt;span class="ml"&gt;&lt;span class="explanation_tag"&gt;イメージ&lt;/span&gt;
［in (the) face of A］は、Aの顔を前にしている状況の中にいることを表して、「Aに直面して」という意味になる。
&lt;span class="spacer"&gt;&lt;/span&gt;また、何かに直面しながらも突き進むようなイメージだと、「〜にもかかわらず」という意味になる。
&lt;/span&gt;</t>
  </si>
  <si>
    <t>&lt;span class="w"&gt;&lt;b&gt;【606.in relation to ~：①〜に関連して, ②〜と比べて】&lt;/b&gt;&lt;/span&gt;
&lt;span class="ml"&gt;relationは、動詞relate（関連づける, 関連している）の名詞と考えればよい。
&lt;span class="spacer"&gt;&lt;/span&gt;&lt;span class="explanation_tag"&gt;語源&lt;/span&gt;
relateは、ラテン語re（再び）と、ferre（運ぶ）の過去分詞latusが合わさってできた語。これは、場所Aから場所Bへ移動し、そこで何かを取り、再び元の場所Aへ運ぶというイメージ。このようなAとBの間で何かを送り合う関係を作る行動から、AとBを結び付ける、AとBが結びついている＝「関連付ける, 関連している」という意味になる。
&lt;span class="spacer"&gt;&lt;/span&gt;&lt;span class="explanation_tag"&gt;イメージ&lt;/span&gt;
［in relation to A］は、①Aに対して結びついている状態や、②Aに結びつけて比べている状態を表す。そこから、①「Aに関連している」、②「Aと比べて」という意味になる。&lt;/span&gt;</t>
  </si>
  <si>
    <t>&lt;span class="w"&gt;&lt;b&gt;【608.in the presence of ~：〜の面前で, 〜のいるところで】&lt;/b&gt;&lt;/span&gt;
&lt;span class="ml"&gt;&lt;span class="explanation_tag"&gt;語源&lt;/span&gt;
presenceは、ラテン語prae（前に）と、esse（存在する）が合わさってできた語。まさに目の前に存在するというイメージから、「存在, 出席, 面前」という意味になる。
&lt;span class="spacer"&gt;&lt;/span&gt;&lt;span class="explanation_tag"&gt;イメージ&lt;/span&gt;
［in the presence of A］は、Aの目の前にいる状態を表して、「Aの面前で, Aのいるところで」という意味になる。&lt;/span&gt;</t>
  </si>
  <si>
    <t>&lt;span class="w"&gt;&lt;b&gt;【609.in honor of ~：〜に敬意を表して】&lt;/b&gt;&lt;/span&gt;
&lt;span class="ml"&gt;&lt;span class="explanation_tag"&gt;語源&lt;/span&gt;
honorは、ラテン語honorem（名誉, 名声）に由来する。ラテン語から変わらず「名誉」という意味をもつ。「名誉」ある人は「敬意」を向けられて「光栄」と覚える。
&lt;span class="spacer"&gt;&lt;/span&gt;［in honor of A］は、Aへの敬意を持った状態の中にいることを表して、「Aに敬意を表して」という意味になる。&lt;/span&gt;</t>
  </si>
  <si>
    <t>&lt;span class="w"&gt;&lt;b&gt;【611.in harmony with ~：〜と調和して】&lt;/b&gt;&lt;/span&gt;
&lt;span class="ml"&gt;&lt;span class="explanation_tag"&gt;イメージ&lt;/span&gt;
［in harmony with A］は直訳すると、Aとの（with A）ハーモニー（harmony）の中で（in）となる。そこから「Aと調和して」という意味になる。&lt;/span&gt;</t>
  </si>
  <si>
    <t>&lt;span class="w"&gt;&lt;b&gt;【612.in exchange for ~：〜と交換に】&lt;/b&gt;&lt;/span&gt;
&lt;span class="ml"&gt;&lt;span class="explanation_tag"&gt;語源&lt;/span&gt;
動詞exchangeは、ラテン語ex（外へ）と、cambire（交換する）が合わさってできた語。自分の持っているものを、外部の人の等しい価値のものと交換するイメージから、「交換する, 両替する」という意味になる。
&lt;span class="spacer"&gt;&lt;/span&gt;&lt;span class="explanation_tag"&gt;イメージ&lt;/span&gt;
［exchange A for B］は、お金の両替・名刺の交換・情報交換・人質の交換など、等しい価値のもの同士を交換することを表して、「AをBと交換する」という意味になる。
&lt;span class="spacer"&gt;&lt;/span&gt;［in exchange for A］は、「Aと交換に」という意味になる。&lt;/span&gt;</t>
  </si>
  <si>
    <t>&lt;span class="w"&gt;&lt;b&gt;【613.for the sake of ~：〜のために（利益・目的）】&lt;/b&gt;&lt;/span&gt;
&lt;span class="ml"&gt;&lt;span class="explanation_tag"&gt;語源&lt;/span&gt;
古英語sacu（訴訟の原因, 犯罪, 争い）にさかのぼる。古英語や中英語では、訴訟の原因、犯罪、争い、論争、非難などの多様な意味を持っていたが、それらの意味にはcaseやcauseなど、別の語が使われるようになった。
&lt;span class="spacer"&gt;&lt;/span&gt;英語よりもさらに前のゲルマン祖語にさかのぼると、*sako（事柄, 案件, 告発）にたどり着く。sakeは、この「事柄」というニュアンスで考えればよい。
&lt;span class="spacer"&gt;&lt;/span&gt;&lt;span class="explanation_tag"&gt;イメージ&lt;/span&gt;
現在sakeは、［for the sake of A］や［for one's sake］などの決まった表現で使われる。
&lt;span class="spacer"&gt;&lt;/span&gt;Aという事柄（the sake of A）のために（for）というイメージから、「（利益・目的）のために」という意味になる。&lt;/span&gt;</t>
  </si>
  <si>
    <t>&lt;span class="w"&gt;&lt;b&gt;【614.for fear of ~：〜を恐れて】&lt;/b&gt;&lt;/span&gt;
&lt;span class="ml"&gt;［for fear of A］は直訳すると、Aという恐れ（fear of A）のために（for）となる。そこから、「Aを恐れて」という意味になる。&lt;/span&gt;</t>
  </si>
  <si>
    <t>&lt;span class="w"&gt;&lt;b&gt;【615.for lack / want of ~：〜がないために, 〜が不足しているために】&lt;/b&gt;&lt;/span&gt;
&lt;span class="ml"&gt;&lt;span class="explanation_tag"&gt;語源&lt;/span&gt;
wantは、古ノルド語vanta（欠けている, 不足している）にさかのぼる。現代では「欲する」という意味で使われるが、もともとは何かが不足していることを表し、そこから不足しているものを欲するという心の動きに発展した。
&lt;span class="spacer"&gt;&lt;/span&gt;［for want of A］は、1400年頃から記録されており、もとの意味である「不足」と理由を表すforが合わさって、「Aがないために, Aが不足しているために」という意味になる。
&lt;span class="spacer"&gt;&lt;/span&gt;wantの代わりに、同じく「不足」を意味するlackを使った［for lack of A］も「Aがないために, Aが不足しているために」という意味になる。&lt;/span&gt;</t>
  </si>
  <si>
    <t>&lt;span class="w"&gt;&lt;b&gt;【617.at the sight of ~：〜を見て】&lt;/b&gt;&lt;/span&gt;
&lt;span class="ml"&gt;&lt;span class="explanation_tag"&gt;イメージ&lt;/span&gt;
sightは、seeの名詞として覚えればよい。
［at the sight of A］は直訳すると、「Aを見ることで」となる。そこから「Aを見て」という意味になる。&lt;/span&gt;</t>
  </si>
  <si>
    <t>&lt;span class="w"&gt;&lt;b&gt;【619.as opposed to ~：〜ではなく, 〜に対して, 〜とは対照的に】&lt;/b&gt;&lt;/span&gt;
&lt;span class="ml"&gt;&lt;span class="explanation_tag"&gt;語源&lt;/span&gt;
opposeは、ラテン語ob（〜に対して）と、ponere（置く）が合さってできた語。相手に対して自分を置く、つまり相手と自分が向かい合うように置くイメージから「反対する, 対抗させる」という意味になる。
&lt;span class="spacer"&gt;&lt;/span&gt;&lt;span class="explanation_tag"&gt;イメージ&lt;/span&gt;
［A as opposed to B］は、Bに対して（to  B）反対に置かれたもの（opposed）として（as）のAというイメージ。そこから、「BではなくA」「Bに対してA」「Bとは対照的にA」といった意味になる。&lt;/span&gt;</t>
  </si>
  <si>
    <t>&lt;span class="w"&gt;&lt;b&gt;【620.by means of ~：〜によって】&lt;/b&gt;&lt;/span&gt;
&lt;span class="ml"&gt;&lt;span class="explanation_tag"&gt;語源&lt;/span&gt;
meansは、ラテン語medius（中間の）に由来し、この語の核は「スタートとゴールの中間にあるもの」。そこから、ゴール（目的）に到達するための「手段」という意味になった。また目的を達成するための手段として「資力, 収入」という意味にもなった。
&lt;span class="spacer"&gt;&lt;/span&gt;&lt;span class="explanation_tag"&gt;イメージ&lt;/span&gt;
［by means of A］は直訳の通り、「A（という手段）によって」という意味になる。&lt;/span&gt;</t>
  </si>
  <si>
    <t>&lt;span class="w"&gt;&lt;b&gt;【621.by / in virtue of ~：〜のおかげで, 〜によって】&lt;/b&gt;&lt;/span&gt;
&lt;span class="ml"&gt;&lt;span class="explanation_tag"&gt;語源&lt;/span&gt;
virtueは、ラテン語vir（男）に由来し、この語の核は「男にふさわしい力強さ」。
&lt;span class="spacer"&gt;&lt;/span&gt;古代ローマでは、戦士としての勇気や力が男にとっての理想とされていた。そこから意味が拡張し、単なる武勇に限らず、精神的・能力的な優秀さ全般を指すようになる。さらにキリスト教的な価値観の影響を受けて、道徳的な強さ＝正しさ・清らかさから「美徳」を意味するようになった。
&lt;span class="spacer"&gt;&lt;/span&gt;道徳的な美徳以前の物理的・能力的な力というニュアンスは「効能, 効力」という意味で残っている。
&lt;span class="spacer"&gt;&lt;/span&gt;&lt;span class="explanation_tag"&gt;イメージ&lt;/span&gt;
［by / in virtue of A］のvirtueは「効能, 効力」という意味。直訳すると、「Aの効力によって」「Aの効力において」となる。そこから「Aのおかげで, Aによって」という意味になる。&lt;/span&gt;</t>
  </si>
  <si>
    <t>&lt;span class="w"&gt;&lt;b&gt;【624.with / in regard to ~：〜に関して】&lt;/b&gt;&lt;/span&gt;
&lt;span class="ml"&gt;&lt;span class="explanation_tag"&gt;語源&lt;/span&gt;
regardは、古フランス語re（強意）と、garder（見る, 注意する）が合さってできた語。このgarderは、ボディガードのguard（監視者）の語源でもある。つまり、gard部分の意味の核は「注意して見ること」。ここからregardは、以下のような意味になる。
&lt;span class="spacer"&gt;&lt;/span&gt;①「注意を向けること」
②何かに注意を向けるということは、その対象に注意を向ける価値があるということから、「敬意」
③注意というニュアンスが薄まってただ対象に「目を向けること, 関連」
&lt;span class="spacer"&gt;&lt;/span&gt;&lt;span class="explanation_tag"&gt;イメージ&lt;/span&gt;
［with / in regard to A］は、Aという話題に目を向ける（regard to A）状況・状態（with / in）を表す。そこから「Aに関して」という話題の限定する表現になる。&lt;/span&gt;</t>
  </si>
  <si>
    <t>&lt;span class="w"&gt;&lt;b&gt;【625.in part：部分的には, 一部には】&lt;/b&gt;&lt;/span&gt;
&lt;span class="ml"&gt;［in part］は直訳すると、部分において（in part）となる。その直訳の通り、「部分的には」「一部は」という意味になる。
&lt;/span&gt;</t>
  </si>
  <si>
    <t>&lt;span class="w"&gt;&lt;b&gt;【626.in turn：順番に】&lt;/b&gt;&lt;/span&gt;
&lt;span class="ml"&gt;［in turn］は直訳の通り、順番において＝「順番に, 順々に」という意味になる。&lt;/span&gt;</t>
  </si>
  <si>
    <t>&lt;span class="w"&gt;&lt;b&gt;【628.in practice：実際には】&lt;/b&gt;&lt;/span&gt;
&lt;span class="ml"&gt;&lt;span class="explanation_tag"&gt;語源&lt;/span&gt;
practiceは、ラテン語practicare（実際に行う）に由来する。
&lt;span class="spacer"&gt;&lt;/span&gt;practiceは、中学校では「練習」と覚えるが、もとの意味は実際に何かを行うこと＝「実践」。ある技能を身につけるために繰り返し実践することから「練習」となり、社会的に実践が繰り返されて「慣習」という意味にもなる。
&lt;span class="spacer"&gt;&lt;/span&gt;&lt;span class="explanation_tag"&gt;イメージ&lt;/span&gt;
［in practice］は直訳すると、実際に行われること（practice）において（in）となる。つまり、理論や仮説ではなく、事実・現実であることを表して、「実際には」という意味になる。&lt;/span&gt;</t>
  </si>
  <si>
    <t>&lt;span class="w"&gt;&lt;b&gt;【629.in demand：需要があって】&lt;/b&gt;&lt;/span&gt;
&lt;span class="ml"&gt;&lt;span class="explanation_tag"&gt;語源&lt;/span&gt;
demandは、ラテン語de（完全に）と、mandare（命じる, 委ねる）が合さってできた語。自分の望みを相手に命じて完全に委ねるイメージから、相手への「要求」や誰かからの「需要」という意味になる。
&lt;span class="spacer"&gt;&lt;/span&gt;&lt;span class="explanation_tag"&gt;イメージ&lt;/span&gt;
［in demand］は、需要がある状態の中にいることを表して、「需要があって」という意味になる。&lt;/span&gt;</t>
  </si>
  <si>
    <t>&lt;span class="w"&gt;&lt;b&gt;【630.in the meanwhile / meantime：その間に, 一方で】&lt;/b&gt;&lt;/span&gt;
&lt;span class="ml"&gt;&lt;span class="explanation_tag"&gt;meanwhile / meantimeの語源&lt;/span&gt;
形容詞meanは、ラテン語medius（中間の）に由来する。これは名詞means（手段）と同じである。
&lt;span class="spacer"&gt;&lt;/span&gt;whileは、古英語hwileにさかのぼる。この頃は時間という意味を持っていたが、後に時間を指す語としてtimeが一般的に使われるようになったため、meanwhile, all the while, for a whileのような決まった表現にしか「時間」という意味は残っていない。
&lt;span class="spacer"&gt;&lt;/span&gt;mean（中間の）とwhile / time（時間）が合さったmeanwhile / meantimeは、「何かの間の時間」を意味する。
&lt;span class="spacer"&gt;&lt;/span&gt;&lt;span class="explanation_tag"&gt;イメージ&lt;/span&gt;
［in the meanwhile / meantime］は直訳すると、何かの間の時間（meanwhile / meantime）において（in）となる。Aという出来事が進行している間の時間で、Bという出来事が進んでいるという同時性を表す。
&lt;span class="spacer"&gt;&lt;/span&gt;そこから、「その間に」や「一方で」という意味になる。&lt;/span&gt;</t>
  </si>
  <si>
    <t>&lt;span class="w"&gt;&lt;b&gt;【631.in all likelihood：十中八九】&lt;/b&gt;&lt;/span&gt;
&lt;span class="ml"&gt;&lt;span class="explanation_tag"&gt;語源&lt;/span&gt;
likelyhoodは、likely（可能性が高い）と、-hood（〜の状態）が合さってできた語。
&lt;span class="spacer"&gt;&lt;/span&gt;［in all likelihood］は、likelihoodの可能性をallで強調し、かなり可能性が高い状態（all likelihood）の中にある（in）ことを示す。そこから、「十中八九」という意味になる。&lt;/span&gt;</t>
  </si>
  <si>
    <t>&lt;span class="w"&gt;&lt;b&gt;【632.at work：①職場で, 仕事中で, ②作用して, 作動中で】&lt;/b&gt;&lt;/span&gt;
&lt;span class="ml"&gt;&lt;span class="explanation_tag"&gt;イメージ&lt;/span&gt;
［at work］は、人や物が&lt;strong&gt;活動状態&lt;/strong&gt;であることをピンポイント（at）で表す。そこから、人が「職場で, 仕事中で」、目に見えない力が「作用して」、機械などが「作動中で」といった意味になる。&lt;/span&gt;</t>
  </si>
  <si>
    <t>&lt;span class="w"&gt;&lt;b&gt;【633.at risk：危険な状態で】&lt;/b&gt;&lt;/span&gt;
&lt;span class="ml"&gt;［at risk］は直訳の通り、リスクがある状態であることをピンポイント（at）で表して、「危険な状態で」という意味になる。&lt;/span&gt;</t>
  </si>
  <si>
    <t>&lt;span class="w"&gt;&lt;b&gt;【634.at a loss：途方に暮れて, 困って】&lt;/b&gt;&lt;/span&gt;
&lt;span class="ml"&gt;&lt;span class="explanation_tag"&gt;語源&lt;/span&gt;
lossは、古英語losにさかのぼるが、この頃の意味は残っていない。現在の「失うこと, 損失」という意味は、14世紀にloseの過去分詞lostと関連づけられて生まれたもの。
&lt;span class="spacer"&gt;&lt;/span&gt;［at a loss］は、1590年代に見られ、もともとは狩猟犬が獲物の臭跡を見失ってウロウロする状態（at）を表した。そこから人間にも使われるようになり、「途方に暮れて, 困って」という意味になった。&lt;/span&gt;</t>
  </si>
  <si>
    <t>&lt;span class="w"&gt;&lt;b&gt;【635.at first sight：一見したところでは, 一目で】&lt;/b&gt;&lt;/span&gt;
&lt;span class="ml"&gt;［at first sight］は直訳すると、最初の（first）見ること（sight）で（at）となる。そこから最初に見たということを表して、「一見したところでは, 一目で」という意味になる。&lt;/span&gt;</t>
  </si>
  <si>
    <t>&lt;span class="w"&gt;&lt;b&gt;【636.at heart：心の底では, 根は】&lt;/b&gt;&lt;/span&gt;
&lt;span class="ml"&gt;［at heart］は、ある人の見た目や状況による外見的な判断ではなく、心の奥底の一点（at）を表して、「心の底では, 根は」といった意味になる。&lt;/span&gt;</t>
  </si>
  <si>
    <t>&lt;span class="w"&gt;&lt;b&gt;【637.at intervals：ときどき, あちこちに】&lt;/b&gt;&lt;/span&gt;
&lt;span class="ml"&gt;&lt;span class="explanation_tag"&gt;語源&lt;/span&gt;
intervalは、ラテン語inter（〜の間に）と、vallum（杭柵, 城壁）が合さってできた語。もともとは、杭でできた柵や城壁の間の隙間を表した。そういった空間の隙間が、時間の隙間へと変化して、「時間の間隔, 合間, 小休止」などの意味となった。
&lt;span class="spacer"&gt;&lt;/span&gt;現代でも「空間的な間隔」という意味が残っているほか、音楽において音と音の高さの間隔から「音程」という意味でも使われる。
&lt;span class="spacer"&gt;&lt;/span&gt;&lt;span class="explanation_tag"&gt;イメージ&lt;/span&gt;
［at intervals］は、何かがある（⚫︎）&lt;span class="arrow"&gt;→&lt;/span&gt;ない（interval）&lt;span class="arrow"&gt;→&lt;/span&gt;ある（⚫︎）&lt;span class="arrow"&gt;→&lt;/span&gt;ない（interval） … というように複数のintervalと、何かがある点（⚫︎at）があることから、時間において「ときどき」、空間において「あちこち」という意味になる。
&lt;span class="spacer"&gt;&lt;/span&gt;日本語でインターバルと言うと時間的な間隔という意味が思い浮かぶが、語源で見た通り、空間の隙間という意味もある。&lt;/span&gt;</t>
  </si>
  <si>
    <t>&lt;span class="w"&gt;&lt;b&gt;【638.on (the / an) average：平均して】&lt;/b&gt;&lt;/span&gt;
&lt;span class="ml"&gt;&lt;span class="explanation_tag"&gt;語源&lt;/span&gt;
averageは、もともとは海上貿易で用いられた語。嵐などで遭難した船の安全を守るために、マストを切り落としたり、貨物を海中に捨てたり、その他の方法によって船上で財産の損失が生じた場合に、特定の個人に損失を負担させるのではなく、船や貨物に関わる人たち全員で損失を分担することを表した。
&lt;span class="spacer"&gt;&lt;/span&gt;そして、関係者による損失の均等な負担から、損失に関わらず、一般的に「平均」という意味へと発展していった。
&lt;span class="spacer"&gt;&lt;/span&gt;&lt;span class="explanation_tag"&gt;イメージ&lt;/span&gt;
［on (the / an) average］は直訳すると、平均（average）に基づいて（on）となる。そこから、「平均して」という意味になる。&lt;/span&gt;</t>
  </si>
  <si>
    <t>&lt;span class="w"&gt;&lt;b&gt;【639.on a ~ basis：〜の基準 / ベースで】&lt;/b&gt;&lt;/span&gt;
&lt;span class="ml"&gt;&lt;span class="explanation_tag"&gt;イメージ&lt;/span&gt;
［on a X basis］は直訳すると、Xという基準（a X basis）に乗っかって（on）となる。これは「Xの基準で, Xのベースで」という意味が核であり、Xに入る語によって日本語訳が変わる。
&lt;span class="spacer"&gt;&lt;/span&gt;&lt;span class="explanation_tag"&gt;例&lt;/span&gt;
on a daily basis
毎日
&lt;span class="spacer"&gt;&lt;/span&gt;on a regular basis
定期的に
&lt;span class="spacer"&gt;&lt;/span&gt;on a case-by-case basis
ケースバイケースで
&lt;span class="spacer"&gt;&lt;/span&gt;on the basis of his test scores
彼のテストの点するを基準として&lt;/span&gt;</t>
  </si>
  <si>
    <t>&lt;span class="w"&gt;&lt;b&gt;【640.on a ~ scale：〜の規模で】&lt;/b&gt;&lt;/span&gt;
&lt;span class="ml"&gt;&lt;span class="explanation_tag"&gt;イメージ&lt;/span&gt;
［on a X scale］は直訳の通り、「Xの規模で」という意味になり、Xに入る語によって日本語訳が変わる。
&lt;span class="spacer"&gt;&lt;/span&gt;&lt;span class="explanation_tag"&gt;例&lt;/span&gt;
on a large scale
大規模で
&lt;span class="spacer"&gt;&lt;/span&gt;on a small scale
小規模で
&lt;span class="spacer"&gt;&lt;/span&gt;on a national scale
全国規模で
&lt;span class="spacer"&gt;&lt;/span&gt;on a global scale
世界規模で&lt;/span&gt;</t>
  </si>
  <si>
    <t>&lt;span class="w"&gt;&lt;b&gt;【641.on display：陳列中で, 展示して】&lt;/b&gt;&lt;/span&gt;
&lt;span class="ml"&gt;&lt;span class="explanation_tag"&gt;イメージ&lt;/span&gt;
［on display］は直訳すると、ディスプレイされている状態で（on）となる。そこから「陳列中で, 展示して」といった意味になるが、要は&lt;strong&gt;見える形で示されている&lt;/strong&gt;ことを表しているに過ぎない。
&lt;span class="spacer"&gt;&lt;/span&gt;そのため物だけではなく、感情や能力が見える形で示されていることも表すことができる。&lt;/span&gt;</t>
  </si>
  <si>
    <t>&lt;span class="w"&gt;&lt;b&gt;【642.on the increase：増加中で】&lt;/b&gt;&lt;/span&gt;
&lt;span class="ml"&gt;［on the increase］は直訳すると、増加（the increase）の状態にある（on）となるので、「増加中で」という意味になる。&lt;/span&gt;</t>
  </si>
  <si>
    <t>&lt;span class="w"&gt;&lt;b&gt;【643.on (one's) guard：警戒して】&lt;/b&gt;&lt;/span&gt;
&lt;span class="ml"&gt;［on guard］は直訳すると、ガード（guard）の状態にある（on）となるので、「警戒して」という意味になる。&lt;/span&gt;</t>
  </si>
  <si>
    <t>&lt;span class="w"&gt;&lt;b&gt;【644.to ~ extent / degree：〜の程度に】&lt;/b&gt;&lt;/span&gt;
&lt;span class="ml"&gt;extentは、動詞extend（伸ばす, 延ばす）の名詞として考えればよい。
&lt;span class="spacer"&gt;&lt;/span&gt;&lt;span class="explanation_tag"&gt;extentの語源&lt;/span&gt;
extendは、ラテン語ex（外に）と、tendere（伸ばす）
が合さってできた語。外に伸ばすことから、何かを「伸ばす, 延ばす」という意味になった。
&lt;span class="spacer"&gt;&lt;/span&gt;extentは、どれくらい伸びて広がるかを表すことから、「程度」という意味になる。
&lt;span class="spacer"&gt;&lt;/span&gt;&lt;span class="explanation_tag"&gt;degreeの語源&lt;/span&gt;
degreeは、ラテン語de（下に）と、gradus（一歩）が合わさってできた語。一歩ずつ上り下りする段から「段階, 度合い, 程度」といった意味になる。
&lt;span class="spacer"&gt;&lt;/span&gt;&lt;span class="explanation_tag"&gt;イメージ&lt;/span&gt;
［to X extent / degree］は、toで範囲の広がりの到達点を示して、「Xの程度に」という意味になる。
&lt;span class="spacer"&gt;&lt;/span&gt;&lt;span class="explanation_tag"&gt;例&lt;/span&gt;
to some extent
ぼんやりある程度, いくぶん
&lt;span class="spacer"&gt;&lt;/span&gt;to a certain extent
（決まった）ある程度
&lt;span class="spacer"&gt;&lt;/span&gt;to &lt;strong&gt;what&lt;/strong&gt; extent
どの程度&lt;/span&gt;</t>
  </si>
  <si>
    <t>&lt;span class="w"&gt;&lt;b&gt;【645.to one's surprise：〜が驚いたことには】&lt;/b&gt;&lt;/span&gt;
&lt;span class="ml"&gt;&lt;span class="explanation_tag"&gt;イメージ&lt;/span&gt;
［to one's surprise］は、誰かの驚き（one's surprise）に達した（to）ことを表して、「〈人〉が驚いたことに」という意味になる。
&lt;span class="spacer"&gt;&lt;/span&gt;It was a surprise to〈人〉that S V（人が驚いたことに〜）だと考えればよい。&lt;/span&gt;</t>
  </si>
  <si>
    <t>&lt;span class="w"&gt;&lt;b&gt;【646.to the point：要点を押さえた, 的を射た】&lt;/b&gt;&lt;/span&gt;
&lt;span class="ml"&gt;&lt;span class="explanation_tag"&gt;イメージ&lt;/span&gt;
［to the point］は直訳すると、要点・核心（the point）に達している（to）ことを表して、「要点を押さえた, 的を射た」という意味になる。&lt;/span&gt;</t>
  </si>
  <si>
    <t>&lt;span class="w"&gt;&lt;b&gt;【647.to make matters / things worse：さらに悪いことに】&lt;/b&gt;&lt;/span&gt;
&lt;span class="ml"&gt;［to make matters / things worse］は直訳の通り、物事・事態（matters / things）をさらに悪く（worse）する（make）ことから、「さらに悪いことに」という意味になる。&lt;/span&gt;</t>
  </si>
  <si>
    <t>&lt;span class="w"&gt;&lt;b&gt;【648.to one's advantage：〜に有利に, 〜の利益になるように, 〜に都合の良い】&lt;/b&gt;&lt;/span&gt;
&lt;span class="ml"&gt;［to one's advantage］は直訳の通り、誰かのアドバンテージであることを表して、「〜に有利に, 〜の利益になるように, 〜に都合の良い」といった意味になる。&lt;/span&gt;</t>
  </si>
  <si>
    <t>&lt;span class="w"&gt;&lt;b&gt;【649.from ~ on / onward(s)：〜から以後は】&lt;/b&gt;&lt;/span&gt;
&lt;span class="ml"&gt;&lt;span class="explanation_tag"&gt;イメージ&lt;/span&gt;
［from A on / onward(s)］のonは「継続」、onward(s)は「前方へ続く」ことを表して、Aからずっと続く＝「Aから以後は」という意味になる。
&lt;span class="spacer"&gt;&lt;/span&gt;&lt;span class="explanation_tag"&gt;例&lt;/span&gt;
from now on
今後は
&lt;span class="spacer"&gt;&lt;/span&gt;from 2020 on
2020年以後は
&lt;span class="spacer"&gt;&lt;/span&gt;from April 1 on
4月1日以後は&lt;/span&gt;</t>
  </si>
  <si>
    <t>&lt;span class="w"&gt;&lt;b&gt;【650.from ~ point of view：〜の視点からは】&lt;/b&gt;&lt;/span&gt;
&lt;span class="ml"&gt;&lt;span class="explanation_tag"&gt;イメージ&lt;/span&gt;
［from A point of view］は直訳すると、Aの（A）眺めのポイント（point of view）から（from）となる。そこから「Aの視点からは」という意味になる。&lt;/span&gt;</t>
  </si>
  <si>
    <t>&lt;span class="w"&gt;&lt;b&gt;【651.for sure / certain：確かに】&lt;/b&gt;&lt;/span&gt;
&lt;span class="ml"&gt;&lt;span class="explanation_tag"&gt;certainの語源&lt;/span&gt;
certainは、ラテン語cernere（ふるいにかける）に由来する。ふるいにかけると、落ちていくものと残るものが完全に決定されることから、何かが確定していて疑いようがない＝「確信している, 確かな」という意味になる。
&lt;span class="spacer"&gt;&lt;/span&gt;&lt;span class="explanation_tag"&gt;イメージ&lt;/span&gt;
［for sure / certain］は直訳すると「確かなこととして」となる。確実であること、確かな状態であることを表して、「確かに」という意味になる。&lt;/span&gt;</t>
  </si>
  <si>
    <t>&lt;span class="w"&gt;&lt;b&gt;【652.under way：進行中で】&lt;/b&gt;&lt;/span&gt;
&lt;span class="ml"&gt;&lt;span class="explanation_tag"&gt;イメージ&lt;/span&gt;
［under way］は、進んで行く道のもとにあることを表して、「進行中で」という意味になる。&lt;/span&gt;</t>
  </si>
  <si>
    <t>&lt;span class="w"&gt;&lt;b&gt;【653.under construction：建設中で, 工事中で】&lt;/b&gt;&lt;/span&gt;
&lt;span class="ml"&gt;&lt;span class="explanation_tag"&gt;constructの語源&lt;/span&gt;
constructは、ラテン語com（共に）と、struere（積み上げる）が合わさってできた語。パーツを一緒にして積み上げるイメージから「建設する, 構成する」という意味になる。
&lt;span class="spacer"&gt;&lt;/span&gt;&lt;span class="explanation_tag"&gt;イメージ&lt;/span&gt;
［under construction］は、進んでいく建設作業のもとにあることを表して、「建設中で, 工事中で」という意味になる。&lt;/span&gt;</t>
  </si>
  <si>
    <t>&lt;span class="w"&gt;&lt;b&gt;【655.of one's own accord / free will：自分の意志で】&lt;/b&gt;&lt;/span&gt;
&lt;span class="ml"&gt;&lt;span class="explanation_tag"&gt;accordの語源&lt;/span&gt;
accordは、ラテン語ad（～へ）と、cor（心）が合わさってできた語。相手の心へ自分の心を合わせるイメージから「合意, 一致」、そして合意の末に結ばれる「協定」という意味になった。
&lt;span class="spacer"&gt;&lt;/span&gt;さらに自分の心を向けることは、その人自身が行うことから「意志」という意味にもなった。
&lt;span class="spacer"&gt;&lt;/span&gt;&lt;span class="explanation_tag"&gt;イメージ&lt;/span&gt;
［of one's own accord / free will］は、その人自身の（one's own）意志（accord）・自由意志（free will）から（of）何かを行うことを表して、「自分の意志で」という意味になる。
&lt;span class="spacer"&gt;&lt;/span&gt;&lt;span class="explanation_tag"&gt;補足&lt;/span&gt;
自由意志とは、他人から強制されたり、外部の力によって決められたりするのではなく、自分自身の判断や選択によって行動を決める能力・意志のこと。&lt;/span&gt;</t>
  </si>
  <si>
    <t>&lt;span class="w"&gt;&lt;b&gt;【656.without fail：必ず, 間違いなく】&lt;/b&gt;&lt;/span&gt;
&lt;span class="ml"&gt;&lt;span class="explanation_tag"&gt;イメージ&lt;/span&gt;
［without fail］は直訳すると、失敗（without）なしで（without）となる。何かをするときに絶対に失敗しないことから、「必ず, 間違いなく」といった意味になる。&lt;/span&gt;</t>
    <rPh sb="37" eb="38">
      <t>カナラ</t>
    </rPh>
    <rPh sb="41" eb="43">
      <t>マチガ</t>
    </rPh>
    <rPh sb="133" eb="135">
      <t>チョクヤク</t>
    </rPh>
    <rPh sb="139" eb="141">
      <t>シッパイ</t>
    </rPh>
    <rPh sb="166" eb="167">
      <t>ナニ</t>
    </rPh>
    <rPh sb="174" eb="176">
      <t>ゼッタイ</t>
    </rPh>
    <rPh sb="177" eb="179">
      <t>シッパイ</t>
    </rPh>
    <rPh sb="188" eb="189">
      <t>カナラ</t>
    </rPh>
    <rPh sb="192" eb="194">
      <t>マチガ</t>
    </rPh>
    <rPh sb="202" eb="204">
      <t>イミ</t>
    </rPh>
    <phoneticPr fontId="1"/>
  </si>
  <si>
    <t>&lt;span class="w"&gt;&lt;b&gt;【657.behind the times：時代遅れの】&lt;/b&gt;&lt;/span&gt;
&lt;span class="ml"&gt;&lt;span class="explanation_tag"&gt;語源&lt;/span&gt;
timeは、15世紀後期からthe timeという形で「政治・文化・経済などの状況と結びついたひとつの時代」を意味するようになった。
&lt;span class="spacer"&gt;&lt;/span&gt;例えば、いまで言えば「大恐慌時代」「激動の時代」「徳川の時代（江戸時代）」など、世の中の具体的な状況や人々の暮らしぶりとセットになった時間のまとまりを意味した。
&lt;span class="spacer"&gt;&lt;/span&gt;1590年代になると、ひとつの時代には様々な要素が含まれることを反映して、the timeから複数形のthe time&lt;strong&gt;s&lt;/strong&gt;になり、まさに人々がいま生きている「現代」を意味するようになった。
&lt;span class="spacer"&gt;&lt;/span&gt;&lt;span class="explanation_tag"&gt;イメージ&lt;/span&gt;
［behind the times］は、現代（the times）の後ろ（behind）にいることから、「時代遅れの」という意味になる。&lt;/span&gt;</t>
    <rPh sb="41" eb="44">
      <t>ジダイオク</t>
    </rPh>
    <rPh sb="124" eb="128">
      <t>セイキコウキ</t>
    </rPh>
    <rPh sb="141" eb="142">
      <t>カタチ</t>
    </rPh>
    <rPh sb="144" eb="146">
      <t>セイジ</t>
    </rPh>
    <rPh sb="150" eb="152">
      <t>ケイザイ</t>
    </rPh>
    <rPh sb="155" eb="157">
      <t>ジョウキョウ</t>
    </rPh>
    <rPh sb="158" eb="159">
      <t>ムス</t>
    </rPh>
    <rPh sb="167" eb="169">
      <t>ジダイ</t>
    </rPh>
    <rPh sb="171" eb="173">
      <t>イミ</t>
    </rPh>
    <rPh sb="211" eb="212">
      <t>タト</t>
    </rPh>
    <rPh sb="218" eb="219">
      <t>イ</t>
    </rPh>
    <rPh sb="222" eb="227">
      <t>ダイキョウコウジダイ</t>
    </rPh>
    <rPh sb="229" eb="231">
      <t>ゲキドウ</t>
    </rPh>
    <rPh sb="232" eb="234">
      <t>ジダイ</t>
    </rPh>
    <rPh sb="236" eb="238">
      <t>トクガワ</t>
    </rPh>
    <rPh sb="239" eb="241">
      <t>ジダイ</t>
    </rPh>
    <rPh sb="242" eb="246">
      <t>エドジダイ</t>
    </rPh>
    <rPh sb="286" eb="288">
      <t>イミ</t>
    </rPh>
    <rPh sb="324" eb="326">
      <t>ネンダイ</t>
    </rPh>
    <rPh sb="335" eb="337">
      <t>ジダイ</t>
    </rPh>
    <rPh sb="339" eb="341">
      <t>サマザマ</t>
    </rPh>
    <rPh sb="342" eb="344">
      <t>ヨウソ</t>
    </rPh>
    <rPh sb="345" eb="346">
      <t>フク</t>
    </rPh>
    <rPh sb="352" eb="354">
      <t>ハンエイ</t>
    </rPh>
    <rPh sb="367" eb="370">
      <t>フクスウケイ</t>
    </rPh>
    <rPh sb="404" eb="406">
      <t>ヒトビト</t>
    </rPh>
    <rPh sb="409" eb="410">
      <t>イ</t>
    </rPh>
    <rPh sb="415" eb="417">
      <t>ゲンダイ</t>
    </rPh>
    <rPh sb="419" eb="421">
      <t>イミ</t>
    </rPh>
    <rPh sb="521" eb="523">
      <t>ゲンダイ</t>
    </rPh>
    <rPh sb="535" eb="536">
      <t>ウシ</t>
    </rPh>
    <rPh sb="554" eb="557">
      <t>ジダイオク</t>
    </rPh>
    <rPh sb="563" eb="565">
      <t>イミ</t>
    </rPh>
    <phoneticPr fontId="1"/>
  </si>
  <si>
    <t>&lt;span class="w"&gt;&lt;b&gt;【658.beyond description：言葉では言い表せない】&lt;/b&gt;&lt;/span&gt;
&lt;span class="ml"&gt;descriptionは、動詞describe（描写する）の名詞として覚えればよい。
&lt;span class="explanation_tag"&gt;describeの語源&lt;/span&gt;
describeは、ラテン語de（下に）と、scribere（書く）が合わさってできた語。何かを下に書いておくことから、「記述する」という意味になる。さらに文字にして書くことに限らず、言葉にして「説明する, 表現する」という意味になる。
&lt;span class="spacer"&gt;&lt;/span&gt;&lt;span class="explanation_tag"&gt;イメージ&lt;/span&gt;
［beyond description］は、何かが言葉にすること（description）を超えている（beyond）ことから、「言葉では言い表せない」という意味になる。&lt;/span&gt;</t>
    <rPh sb="43" eb="45">
      <t>コトバ</t>
    </rPh>
    <rPh sb="47" eb="48">
      <t>イ</t>
    </rPh>
    <rPh sb="49" eb="50">
      <t>アラワ</t>
    </rPh>
    <rPh sb="96" eb="98">
      <t>ドウシ</t>
    </rPh>
    <rPh sb="107" eb="109">
      <t>ビョウシャ</t>
    </rPh>
    <rPh sb="113" eb="115">
      <t>メイシ</t>
    </rPh>
    <rPh sb="118" eb="119">
      <t>オボ</t>
    </rPh>
    <rPh sb="188" eb="189">
      <t>ゴ</t>
    </rPh>
    <rPh sb="210" eb="211">
      <t>ア</t>
    </rPh>
    <rPh sb="218" eb="219">
      <t>ゴ</t>
    </rPh>
    <rPh sb="386" eb="387">
      <t>ナニ</t>
    </rPh>
    <rPh sb="389" eb="391">
      <t>コトバ</t>
    </rPh>
    <rPh sb="410" eb="411">
      <t>コ</t>
    </rPh>
    <rPh sb="429" eb="431">
      <t>コトバ</t>
    </rPh>
    <rPh sb="433" eb="434">
      <t>イ</t>
    </rPh>
    <rPh sb="435" eb="436">
      <t>アラワ</t>
    </rPh>
    <rPh sb="443" eb="445">
      <t>イミ</t>
    </rPh>
    <phoneticPr fontId="1"/>
  </si>
  <si>
    <t>&lt;span class="w"&gt;&lt;b&gt;【659.out of breath：息切れして】&lt;/b&gt;&lt;/span&gt;
&lt;span class="ml"&gt;&lt;span class="explanation_tag"&gt;イメージ&lt;/span&gt;
outは、「外に」&lt;span class="arrow"&gt;→&lt;/span&gt;全て外に&lt;span class="arrow"&gt;→&lt;/span&gt;「完全に」&lt;span class="arrow"&gt;→&lt;/span&gt;何かが完全になくなって「尽きて」という意味を持つ。
&lt;span class="spacer"&gt;&lt;/span&gt;［out of breath］は、息（breath）が尽きた状態（out）を表して、「息切れして」という意味になる。&lt;/span&gt;</t>
    <rPh sb="38" eb="40">
      <t>イキギ</t>
    </rPh>
    <rPh sb="236" eb="238">
      <t>イミ</t>
    </rPh>
    <rPh sb="239" eb="240">
      <t>モ</t>
    </rPh>
    <rPh sb="288" eb="289">
      <t>イキ</t>
    </rPh>
    <rPh sb="298" eb="299">
      <t>ツ</t>
    </rPh>
    <rPh sb="301" eb="303">
      <t>ジョウタイ</t>
    </rPh>
    <rPh sb="309" eb="310">
      <t>アラワ</t>
    </rPh>
    <rPh sb="314" eb="316">
      <t>イキギ</t>
    </rPh>
    <rPh sb="323" eb="325">
      <t>イミ</t>
    </rPh>
    <phoneticPr fontId="1"/>
  </si>
  <si>
    <t>&lt;span class="w"&gt;&lt;b&gt;【660.out of character：性格に合わない, その人らしくない, 調和しない】&lt;/b&gt;&lt;/span&gt;
&lt;span class="ml"&gt;&lt;span class="explanation_tag"&gt;イメージ&lt;/span&gt;
［out of character］は直訳の通り、固有の特徴や性格（character）の外にいる（out of）ことから、「性格に合わない, その人らしくない, 調和しない」という意味になる。&lt;/span&gt;</t>
    <rPh sb="41" eb="43">
      <t>セイカク</t>
    </rPh>
    <rPh sb="44" eb="45">
      <t>ア</t>
    </rPh>
    <rPh sb="52" eb="53">
      <t>ヒト</t>
    </rPh>
    <rPh sb="60" eb="62">
      <t>チョウワ</t>
    </rPh>
    <rPh sb="156" eb="158">
      <t>チョクヤク</t>
    </rPh>
    <rPh sb="159" eb="160">
      <t>トオ</t>
    </rPh>
    <rPh sb="162" eb="164">
      <t>コユウ</t>
    </rPh>
    <rPh sb="165" eb="167">
      <t>トクチョウ</t>
    </rPh>
    <rPh sb="168" eb="170">
      <t>セイカク</t>
    </rPh>
    <rPh sb="182" eb="183">
      <t>ソト</t>
    </rPh>
    <rPh sb="228" eb="230">
      <t>イミ</t>
    </rPh>
    <phoneticPr fontId="1"/>
  </si>
  <si>
    <t>no matter how / what / when</t>
    <phoneticPr fontId="1"/>
  </si>
  <si>
    <t>&lt;span class="w"&gt;&lt;b&gt;【661.no matter how / what / when：どんなに / 何が / いつ～でも】&lt;/b&gt;&lt;/span&gt;
&lt;span class="ml"&gt;&lt;span class="explanation_tag"&gt;イメージ&lt;/span&gt;
［no matter］は直訳すると、「問題ではない」「重要ではない」となる。そこから、後ろに続く内容があったとしても問題ではない、関係ないということを表して、「どんなに / 何が / いつ～でも」といった意味になる。
&lt;span class="spacer"&gt;&lt;/span&gt;&lt;span class="explanation_tag"&gt;補足&lt;/span&gt;
［no matter 疑問詞］は次の形で言い換えることができる。
no matter how＝however
no matter what＝whatever
no matter when＝whenever
no matter where＝wherever
no matter who＝whoever
no matter which＝whichever&lt;/span&gt;</t>
    <rPh sb="59" eb="60">
      <t>ナニ</t>
    </rPh>
    <rPh sb="153" eb="155">
      <t>チョクヤク</t>
    </rPh>
    <rPh sb="160" eb="162">
      <t>モンダイ</t>
    </rPh>
    <rPh sb="168" eb="170">
      <t>ジュウヨウ</t>
    </rPh>
    <rPh sb="184" eb="185">
      <t>ウシ</t>
    </rPh>
    <rPh sb="187" eb="188">
      <t>ツヅ</t>
    </rPh>
    <rPh sb="189" eb="191">
      <t>ナイヨウ</t>
    </rPh>
    <rPh sb="199" eb="201">
      <t>モンダイ</t>
    </rPh>
    <rPh sb="206" eb="208">
      <t>カンケイ</t>
    </rPh>
    <rPh sb="216" eb="217">
      <t>アラワ</t>
    </rPh>
    <rPh sb="243" eb="245">
      <t>イミ</t>
    </rPh>
    <rPh sb="308" eb="310">
      <t>ホソク</t>
    </rPh>
    <rPh sb="334" eb="335">
      <t>ツギ</t>
    </rPh>
    <rPh sb="336" eb="337">
      <t>カタチ</t>
    </rPh>
    <rPh sb="338" eb="339">
      <t>イ</t>
    </rPh>
    <phoneticPr fontId="1"/>
  </si>
  <si>
    <t>&lt;span class="w"&gt;&lt;b&gt;【662.what we call ~：いわゆる～】&lt;/b&gt;&lt;/span&gt;
&lt;span class="ml"&gt;&lt;span class="explanation_tag"&gt;イメージ&lt;/span&gt;
［what we call A］は、直訳すると「世間一般がAと呼ぶもの
」となる。みんながAと呼んでいるので「いわゆるA」という訳になる。&lt;/span&gt;</t>
    <rPh sb="134" eb="136">
      <t>チョクヤク</t>
    </rPh>
    <rPh sb="140" eb="142">
      <t>セケン</t>
    </rPh>
    <rPh sb="142" eb="144">
      <t>イッパン</t>
    </rPh>
    <rPh sb="147" eb="148">
      <t>ヨ</t>
    </rPh>
    <rPh sb="163" eb="164">
      <t>ヨ</t>
    </rPh>
    <rPh sb="180" eb="181">
      <t>ヤク</t>
    </rPh>
    <phoneticPr fontId="1"/>
  </si>
  <si>
    <t>&lt;span class="w"&gt;&lt;b&gt;【400.nevertheless：それにもかかわらず】&lt;/b&gt;&lt;/span&gt;
&lt;span class="ml"&gt;&lt;div class="sample_image nevertheless"&gt;&lt;/div&gt;
&lt;b&gt;［比較級の程度表現を置く場所］&lt;/b&gt;
much bigger / even better / no longerのように程度表現を比較級の前におくことができる。
&lt;span class="spacer"&gt;&lt;/span&gt;&lt;b&gt;［neverとnoneはゼロ］&lt;/b&gt;
never / noneは比較級the lessの程度がゼロ（no）であるということを表す。つまりA nevertheless Bは「Aがあると普通ならBはlessになる。それなのにlessにならない」＝「〜それにもかかわらず…」となる。
&lt;span class="spacer"&gt;&lt;/span&gt;&lt;b&gt;［なぜnever / noneがゼロ（no）になるのか］&lt;/b&gt;
英語noは形容詞と副詞の2種類があり、その語源をみればnever / noneがnoの役割をするのかがわかる。
&lt;span class="spacer"&gt;&lt;/span&gt;形容詞no：古英語nē+ān（=not one）
副詞no：古英語nē+ā（=not ever）
&lt;span class="spacer"&gt;&lt;/span&gt;noの語源であるnot oneはnoneに、not everはneverになるので、この2つがthe lessの前でno（ゼロ）の役割を果たすことになる。
&lt;span class="spacer"&gt;&lt;/span&gt;&lt;b&gt;［all + the + 比較級 との関連］&lt;/b&gt;
none / never（ゼロ）ではなく、allを使うと「それだけいっそう〜」と比較級の程度を強調することができる。
&lt;span class="spacer"&gt;&lt;/span&gt;The storm made the journey &lt;strong&gt;all the more dangerous&lt;/strong&gt;.
直訳：嵐は旅をよりいっそう危険にした。
&lt;span class="spacer"&gt;&lt;/span&gt;&lt;b&gt;［theの正体］&lt;/b&gt;
このtheは、名詞の前につく定冠詞the（その）ではなく、「その分だけ」を意味する副詞the。A nevertheless Bは「Aがあっても、その分だけ（the）Bがlessになることはnone / never（ゼロ）だ」ということ。&lt;/span&gt;</t>
  </si>
  <si>
    <t>&lt;span class="w"&gt;&lt;b&gt;【106.used to do / be：昔は〜したものだ, 昔は〜だった（今は違う）】&lt;/b&gt;&lt;/span&gt;
&lt;span class="ml"&gt;&lt;span class="explanation_tag"&gt;語源&lt;/span&gt;
useには、かつて「習慣づける, 慣れさせる」という意味があった。基本的な意味である「使う」から、日々繰り返し使うことで何かに慣れる・何かを習慣にするという意味へと発展した。
&lt;span class="spacer"&gt;&lt;/span&gt;used to doは、1300年頃から使われている表現。
&lt;span class="spacer"&gt;&lt;/span&gt;&lt;span class="explanation_tag"&gt;イメージ&lt;/span&gt;
［used to］は、have toやneed toのように助動詞的に使われる。
［&lt;strong&gt;used to&lt;/strong&gt; do / be］は、過去に何かを習慣的に行っていた、過去に継続的にある状態であったことを表す。そこから「昔は〜したものだ, 昔は〜だった」という意味になる。
&lt;span class="spacer"&gt;&lt;/span&gt;過去に繰り返し行っていたことや、過去の状態に言及するだけなので「今はしていない」というニュアンスが含まれる。
&lt;span class="spacer"&gt;&lt;/span&gt;また否定文［didn't use to do］は、昔はしていなかった（けれど今はしている）ということを意味する。
&lt;span class="spacer"&gt;&lt;/span&gt;&lt;span class="explanation_tag"&gt;be used to doing / 名詞&lt;/span&gt;
［be used to doing］のusedも語源は同じで、繰り返し使うことから生まれた「慣れている」という意味。
［be used］は、何かに慣れている状態であるということを表す。そして［to doing / 名詞］で慣れている対象を示して「〜に慣れている」という状態を意味する。
&lt;span class="spacer"&gt;&lt;/span&gt;&lt;span class="explanation_tag"&gt;used to do / be used to doing&lt;/span&gt;
［助動詞：used to］
&lt;strong&gt;used to&lt;/strong&gt; do / be
習慣的にdo / be
&lt;span class="spacer"&gt;&lt;/span&gt;［形容詞：used］
&lt;strong&gt;be used&lt;/strong&gt; to doing
doingの習慣がある
&lt;span class="spacer"&gt;&lt;/span&gt;&lt;span class="explanation_tag"&gt;関連語&lt;/span&gt;
useと語源的に関連するusualは「いつも通りの」という繰り返されたことで生まれる習慣を表す。ここからuseに「習慣」を表す意味があったことがわかる。&lt;/span&gt;</t>
  </si>
  <si>
    <t>&lt;span class="w"&gt;&lt;b&gt;【523.take a chance / chances：思い切ってやってみる】&lt;/b&gt;&lt;/span&gt;
&lt;span class="ml"&gt;&lt;span class="explanation_tag"&gt;語源&lt;/span&gt;
chanceは、ラテン語cadere（落ちる）から派生した*cadentia（起こったこと, 降ってきたもの）に由来する。これはサイコロ遊びで用いられた語で、振られたサイコロは何の目が出るかわからないことから、「見込み, 運, 偶然, 危険, 機会」といった意味になった。
&lt;span class="spacer"&gt;&lt;/span&gt;&lt;span class="explanation_tag"&gt;イメージ&lt;/span&gt;
［take a chance / chances］は、どうなるかわからないものをつかむイメージから、「思い切ってやってみる」という意味になる。
&lt;span class="spacer"&gt;&lt;/span&gt;複数形chancesだと、習慣的・繰り返しということになる。&lt;/span&gt;</t>
  </si>
  <si>
    <t>&lt;span class="w"&gt;&lt;b&gt;【663.what S is：現在のS】&lt;/b&gt;&lt;/span&gt;
&lt;span class="ml"&gt;&lt;span class="explanation_tag"&gt;イメージ&lt;/span&gt;
［what S is］は直訳すると、Sがいま現在の存在・状態である（S be）もの（what）となる。これは、Sの現在の本質や性質全体を表しているので「現在のS」という訳になり、いま現在のSの全体を表現する。
&lt;span class="spacer"&gt;&lt;/span&gt;&lt;span class="explanation_tag"&gt;例&lt;/span&gt;
［what you like］
whatはlikeの目的語、つまり［you like X］のXがwhat（もの・こと）になっている。本来ならXにはlikeの具体的な対象が入るが、whatは特定の対象に限定せず、「あなたが好きなもの」という全体を漠然と表す。
言葉の機能から考えると、&lt;strong&gt;whatは変数Xのまま&lt;/strong&gt;であり、好きなものであれば何でも含まれて、「あなたの好きなもの」となる。
&lt;span class="spacer"&gt;&lt;/span&gt;You can buy the picture if you like it. であれば、likeの対象は「絵」に限定されている。
&lt;span class="spacer"&gt;&lt;/span&gt;You can buy what you like. なら、likeの対象は限定されず、好きなもの全体を表している。
&lt;span class="spacer"&gt;&lt;/span&gt;
&lt;span class="spacer"&gt;&lt;/span&gt;［what you are］
whatはareの補語、つまり［you are X］のXがwhat（もの・こと）になっている。本来ならXにはyouの状態や性質などが入るが、whatは特定の状態や性質に限定せず、「あなたのいまの状態・性質」という、いまのyouという存在全体を漠然と表す。
言葉の機能から考えると、&lt;strong&gt;whatは変数Xのまま&lt;/strong&gt;であり、youの状態・性質は全て含まれるので、youという存在全体を表す。
&lt;span class="spacer"&gt;&lt;/span&gt;I like him because he is kind. であれば、彼のkindという性質に限定されている。
&lt;span class="spacer"&gt;&lt;/span&gt;I like him for what he is. なら、彼の状態・性質は限定されず、いま現在の彼全体を表している。
&lt;span class="spacer"&gt;&lt;/span&gt;&lt;span class="explanation_tag"&gt;補足&lt;/span&gt;
［what S will be］なら「将来のS」
［what S was / were］なら「昔のS」
［what S used to be］なら「かつてのS（今は違う）」となる。&lt;/span&gt;</t>
  </si>
  <si>
    <t>&lt;span class="w"&gt;&lt;b&gt;【664.~ will do：〜は役に立つ, 〜でいい】&lt;/b&gt;&lt;/span&gt;
&lt;span class="ml"&gt;&lt;span class="explanation_tag"&gt;イメージ&lt;/span&gt;
［S will do］は、Sが期待されることや望まれる役割を実際に果たすということから、「Sは役立つ, Sでいい」という意味になる。&lt;/span&gt;</t>
  </si>
  <si>
    <t>&lt;span class="w"&gt;&lt;b&gt;【665.may well do：①おそらく〜するだろう, ②〜するのももっともだ】&lt;/b&gt;&lt;/span&gt;
&lt;span class="ml"&gt;&lt;span class="explanation_tag"&gt;イメージ&lt;/span&gt;
［may well V］のwellは、助動詞mayを強調しているだけ。mayには①かもしれない（可能性）、②してもよい（許可・容認）という意味があるので、それぞれ分けて考える。
&lt;span class="spacer"&gt;&lt;/span&gt;&lt;span class="explanation_tag"&gt;①可能性の強調&lt;/span&gt;
may（かもしれない）という弱めの推量をwellで強調すれば、「おそらく〜だろう」という意味になる。
&lt;span class="spacer"&gt;&lt;/span&gt;&lt;span class="explanation_tag"&gt;②許可・容認の強調&lt;/span&gt;
may（してもよい）という許可をwellで強調すれば、当然〜してもよい＝「〜するのももっともだ, 当然だ」という意味になる。&lt;/span&gt;</t>
  </si>
  <si>
    <t>&lt;span class="w"&gt;&lt;b&gt;【667.cannot V too (…)：いくら〜してもしすぎることはない】&lt;/b&gt;&lt;/span&gt;
&lt;span class="ml"&gt;&lt;span class="explanation_tag"&gt;イメージ&lt;/span&gt;
［cannot V too …］は直訳すると、「…すぎる」という過剰な状態までVすることはできない、となる。つまり、どれだけVしても、過剰にはなれないのだから、「いくら〜してもしすぎることはない」という意味になる。&lt;/span&gt;</t>
  </si>
  <si>
    <t>&lt;span class="w"&gt;&lt;b&gt;【668.the last 名詞 to do ~：最も〜しそうにない〈名詞〉】&lt;/b&gt;&lt;/span&gt;
&lt;span class="ml"&gt;&lt;span class="explanation_tag"&gt;イメージ&lt;/span&gt;
［the last 名詞 to do A］は直訳すると、「Aする最後の〈名詞〉」となる。つまり、Aする名詞を挙げていったら最後に思いつく〈名詞〉を表すことから、「最もAしそうにない〈名詞〉」という意味になる。&lt;/span&gt;</t>
  </si>
  <si>
    <t>&lt;span class="w"&gt;&lt;b&gt;【670.to tell (you) the truth：実を言うと】&lt;/b&gt;&lt;/span&gt;
&lt;span class="ml"&gt;［to tell (you) the truth］は直訳すると、「本当のことを言うと」となる。直訳通りに覚えてもよいし、「実を言うと」と覚えてもよい。&lt;/span&gt;</t>
  </si>
  <si>
    <t>&lt;span class="w"&gt;&lt;b&gt;【671.needless to say：言うまでもなく】&lt;/b&gt;&lt;/span&gt;
&lt;span class="ml"&gt;［needless to say］は直訳の通り、言う必要がない＝「言うまでもなく」という意味になる。&lt;/span&gt;</t>
  </si>
  <si>
    <t>&lt;span class="w"&gt;&lt;b&gt;【672.feel like doing / 名詞：〜したい気がする】&lt;/b&gt;&lt;/span&gt;
&lt;span class="ml"&gt;［feel like doing / 名詞］は直訳すると、何かをすること（doing）や〈名詞〉のような（like）気分がする（feel）となる。そこから「〜したい気がする」という意味になる。&lt;/span&gt;</t>
  </si>
  <si>
    <t>&lt;span class="w"&gt;&lt;b&gt;【673.be used to doing：〜するのに慣れている】&lt;/b&gt;&lt;/span&gt;
&lt;span class="ml"&gt;&lt;span class="explanation_tag"&gt;語源&lt;/span&gt;
useには、かつて「習慣づける, 慣れさせる」という意味があった。基本的な意味である「使う」から、日々繰り返し使うことで何かに慣れる・何かを習慣にするという意味へと発展した。
&lt;span class="spacer"&gt;&lt;/span&gt;&lt;span class="explanation_tag"&gt;イメージ&lt;/span&gt;
［be used to doing］は、［be used］で慣れている状態であることを表し、［to doing］で慣れている対象を示す。そこから、「〜するのに慣れている」という意味になる。&lt;/span&gt;</t>
  </si>
  <si>
    <t>&lt;span class="w"&gt;&lt;b&gt;【674.cannot help doing：〜せずにはいられない】&lt;/b&gt;&lt;/span&gt;
&lt;span class="ml"&gt;&lt;span class="explanation_tag"&gt;イメージ&lt;/span&gt;
［cannnot help doing］のhelpは「避ける」という意味だとされるが、それをいちいち覚えるのではなく、次のようにイメージすればよい。
cannnot help (oneself from) doing
自分自身を〜することから助けることができない
&lt;span class="arrow"&gt;→&lt;/span&gt;「〜せずにはいられない」&lt;/span&gt;</t>
  </si>
  <si>
    <t>&lt;span class="w"&gt;&lt;b&gt;【675.come close / near to doing：もう少しで〜しそうになる】&lt;/b&gt;&lt;/span&gt;
&lt;span class="ml"&gt;&lt;span class="explanation_tag"&gt;イメージ&lt;/span&gt;
［come close / near to doing］は、直訳すると「doingの近くに来る」となる。完全にdoingのところまで達するのではなく、すぐ近くなので「もう少しで〜しそうになる」という意味になる。&lt;/span&gt;</t>
  </si>
  <si>
    <t>&lt;span class="w"&gt;&lt;b&gt;【676.with a view to doing：〜する目的で】&lt;/b&gt;&lt;/span&gt;
&lt;span class="ml"&gt;&lt;span class="explanation_tag"&gt;イメージ&lt;/span&gt;
［with a view to doing］は直訳すると、何かをすることへの（to doing）視野を持って（with a view）となる。doingを視野に入れて何かをすることから、「〜する目的で」という意味になる。&lt;/span&gt;</t>
  </si>
  <si>
    <t>&lt;span class="w"&gt;&lt;b&gt;【677.joking / kidding aside：冗談はさておき】&lt;/b&gt;&lt;/span&gt;
&lt;span class="ml"&gt;&lt;span class="explanation_tag"&gt;イメージ&lt;/span&gt;
［joking / kidding aside］は直訳の通り、冗談（joking / kidding）を脇に置いておくことから、「冗談はさておき」という意味になる。
&lt;span class="spacer"&gt;&lt;/span&gt;kidding（動詞kid）は、おそらく子どものように扱うことから、「冗談を言う」という意味になった。&lt;/span&gt;</t>
  </si>
  <si>
    <t>&lt;span class="w"&gt;&lt;b&gt;【678.catch ~ doing：〜が…しているところを見つける】&lt;/b&gt;&lt;/span&gt;
&lt;span class="ml"&gt;&lt;span class="explanation_tag"&gt;イメージ&lt;/span&gt;
［catch A doing］は直訳の通り、「Aが〜しているところを見つける」という意味になる。&lt;/span&gt;</t>
  </si>
  <si>
    <t>&lt;span class="w"&gt;&lt;b&gt;【679.speaking / talking of ~：〜と言えば】&lt;/b&gt;&lt;/span&gt;
&lt;span class="ml"&gt;［speaking / talking of A］は、of（〜について）で話題を直接示して、「Aと言えば」という意味になる。&lt;/span&gt;</t>
  </si>
  <si>
    <t>&lt;span class="w"&gt;&lt;b&gt;【680.judging from / by ~：〜から判断すると】&lt;/b&gt;&lt;/span&gt;
&lt;span class="ml"&gt;&lt;span class="explanation_tag"&gt;イメージ&lt;/span&gt;
［judging from / by A］は直訳の通り、「Aから / Aによって判断すると」という意味になる。&lt;/span&gt;</t>
  </si>
  <si>
    <t>&lt;span class="w"&gt;&lt;b&gt;【682.in itself：それ自体では】&lt;/b&gt;&lt;/span&gt;
&lt;span class="ml"&gt;&lt;span class="explanation_tag"&gt;イメージ&lt;/span&gt;
［in itself］は、itが指す対象の周囲にあるものではなく、対象自体の中身に目を向けるイメージ。そこから、他との関係ではなく「それ自体では」という意味になる。&lt;/span&gt;</t>
  </si>
  <si>
    <t>&lt;span class="w"&gt;&lt;b&gt;【683.to oneself：①自分だけに, ②自分自身に対して】&lt;/b&gt;&lt;/span&gt;
&lt;span class="ml"&gt;&lt;span class="explanation_tag"&gt;イメージ&lt;/span&gt;
［to oneself］は、空間や物を自分自身に向けるなら、①「自分だけに」という占有の意味になる。
&lt;span class="spacer"&gt;&lt;/span&gt;言葉などを自分自身に向けるなら、②「自分自身に対して」という意味になる。&lt;/span&gt;</t>
  </si>
  <si>
    <t>&lt;span class="w"&gt;&lt;b&gt;【685.none other than ~：ほかならぬ〜, まさしく〜】&lt;/b&gt;&lt;/span&gt;
&lt;span class="ml"&gt;&lt;span class="explanation_tag"&gt;イメージ&lt;/span&gt;
［none other than A］は直訳すると、Aと比べて（than A）他の（other）何ものでもない（none）となる。A以外の何ものでもないことを表すので、「ほかならぬA, まさしくA」という意味になる。&lt;/span&gt;</t>
  </si>
  <si>
    <t>&lt;span class="w"&gt;&lt;b&gt;【689.as ~ as any：誰・どれにも劣らず〜】&lt;/b&gt;&lt;/span&gt;
&lt;span class="ml"&gt;&lt;span class="explanation_tag"&gt;イメージ&lt;/span&gt;
anyは「any＞0」という0より大きく無限までいくイメージで覚える。［as ~ as any］は比較対象がanyなので、Aと比べても、Bと比べても、Cと比べても …というように無限に比較していくイメージ。そこから誰と比べても、何と比べても同等であることを表して、「誰・どれにも劣らず〜」という意味になる。&lt;/span&gt;</t>
  </si>
  <si>
    <t>&lt;span class="w"&gt;&lt;b&gt;【690.all the 比較級：ますます〜, それだけいっそう〜】&lt;/b&gt;&lt;/span&gt;
&lt;span class="ml"&gt;&lt;span class="explanation_tag"&gt;イメージ&lt;/span&gt;
［all the 比較級］のallは程度を強調する働きをし、theは「その分だけ」を意味する副詞。何かがあって、その分だけ（the）さらに（all）〈比較級〉になることから、「ますます〜, それだけいっそう〜」という意味になる。
&lt;span class="spacer"&gt;&lt;/span&gt;通常は、文脈やifなどで前提を示したり、for / becauseで理由を提示したりして、どの分だけ〈比較級〉の程度が増すかを示す。
&lt;span class="spacer"&gt;&lt;/span&gt;&lt;span class="explanation_tag"&gt;例&lt;/span&gt;
The room looked all the larger.
これだと何の分だけより広いのかがわからない。
&lt;span class="spacer"&gt;&lt;/span&gt;The room looked all the larger because it was empty.
これなら「部屋が空だからその分いっそう広い」とい理解できる。&lt;/span&gt;</t>
  </si>
  <si>
    <t>&lt;span class="w"&gt;&lt;b&gt;【691.that much 比較級：それだけいっそう〜】&lt;/b&gt;&lt;/span&gt;
&lt;span class="ml"&gt;&lt;span class="explanation_tag"&gt;イメージ&lt;/span&gt;
［that much 比較級］は、［all the 比較級］と構造も意味も同じ。
all（強調）the（その分だけ）比較級
that（それだけ）much（強調）比較級
&lt;span class="spacer"&gt;&lt;/span&gt;前提や理由が何かあって、それによって「それだけいっそう〜」という意味になる。&lt;/span&gt;</t>
  </si>
  <si>
    <t>&lt;span class="w"&gt;&lt;b&gt;【692.much / still less ~：まして〜はいっそうない】&lt;/b&gt;&lt;/span&gt;
&lt;span class="ml"&gt;&lt;span class="explanation_tag"&gt;イメージ&lt;/span&gt;
［much / still less A］のmuch / stillは、比較級lessの程度を強調しているだけ。前に書かれた否定的な内容を受けて、Aはさらに（much / still）可能性が少ない（less）と述べることから、「ましてAはいっそうない」という意味になる。&lt;/span&gt;</t>
  </si>
  <si>
    <t>&lt;span class="w"&gt;&lt;b&gt;【694.know better (than to do)：〜するほど馬鹿ではない, 〜しないだけの分別がある】&lt;/b&gt;&lt;/span&gt;
&lt;span class="ml"&gt;&lt;span class="explanation_tag"&gt;イメージ&lt;/span&gt;
［know better (than to do)］は直訳すると、〜することよりも（than to do）より良いこと（better）を知っている（know）となる。
&lt;span class="spacer"&gt;&lt;/span&gt;つまり、to doをするほど愚かではない、to doをしないくらいの物事の分別はあるということを表して、「〜するほど馬鹿ではない, 〜しないだけの分別がある」という意味になる。&lt;/span&gt;</t>
  </si>
  <si>
    <t>&lt;span class="w"&gt;&lt;b&gt;【697.to the best of one's knowledge：（人）の知る限り】&lt;/b&gt;&lt;/span&gt;
&lt;span class="ml"&gt;&lt;span class="explanation_tag"&gt;イメージ&lt;/span&gt;
［to the best of one's knowledge］は直訳すると、人の知識（one's knowledge）のベストまで（to the best of）となる。
&lt;span class="spacer"&gt;&lt;/span&gt;これは、ある人の知識の範囲の最大限まで考慮することを表して、「（人）の知る限り」という意味になる。
&lt;/span&gt;</t>
  </si>
  <si>
    <t>&lt;span class="w"&gt;&lt;b&gt;【698.not ~ (in) the least：まったく〜ない, 少しも〜ない】&lt;/b&gt;&lt;/span&gt;
&lt;span class="ml"&gt;&lt;span class="explanation_tag"&gt;イメージ&lt;/span&gt;
［not ~ (in) the least］は直訳すると、「最も少ない部分においても〜ない」となる。つまり、日本語で言えば「1ミリもない」という表現と同じで、「まったく〜ない, 少しも〜ない」という意味になる。&lt;/span&gt;</t>
  </si>
  <si>
    <t>&lt;span class="w"&gt;&lt;b&gt;【699.to the full / fullest：心ゆくまで, 十分に, 最大まで】&lt;/b&gt;&lt;/span&gt;
&lt;span class="ml"&gt;&lt;span class="explanation_tag"&gt;イメージ&lt;/span&gt;
［to the full / fullest］は直訳の通り、「フル・満タン・いっぱいまで」＝「心ゆくまで, 十分に, 最大まで」といった意味になる。&lt;/span&gt;</t>
  </si>
  <si>
    <t>&lt;span class="w"&gt;&lt;b&gt;【700.by far：はるかに（比較級・最上級の強調表現）】&lt;/b&gt;&lt;/span&gt;
&lt;span class="ml"&gt;&lt;span class="explanation_tag"&gt;イメージ&lt;/span&gt;
［by far］は、byで他との「差」があること示し、farでその差が「遠い」ことを表す。つまり、他と比べたときに圧倒的な差があることを表して、「はるかに」という強調の表現になる。
&lt;span class="spacer"&gt;&lt;/span&gt;&lt;span class="explanation_tag"&gt;差を表すbyの例&lt;/span&gt;
We won the game by 2 points.
私たちは2点差で勝った
&lt;span class="spacer"&gt;&lt;/span&gt;The price increased by 10%.
価格が10%上がった&lt;/span&gt;</t>
  </si>
  <si>
    <t>&lt;span class="w"&gt;&lt;b&gt;【701.provided (that) S V ~：もし〜ならば】&lt;/b&gt;&lt;/span&gt;
&lt;span class="ml"&gt;&lt;span class="explanation_tag"&gt;provideの語源&lt;/span&gt;
provideは、ラテン語pro（前に）と、videre（見る）が合わさってできた語。&lt;strong&gt;先を見越してあらかじめ与える&lt;/strong&gt;ことから、必要なものを「供給する」という意味になった。
&lt;span class="spacer"&gt;&lt;/span&gt;15世紀初頭には、過去分詞providedが「〜という条件で」という接続詞として用いられている。
&lt;span class="spacer"&gt;&lt;/span&gt;&lt;span class="explanation_tag"&gt;イメージ&lt;/span&gt;
［provided (that) S V ~］は分詞構文で、［that S V］が&lt;strong&gt;あらかじめ前提として与えられている&lt;/strong&gt;、と考えればよい。そこから「もしS V ~ならば」という条件を表す接続詞になる。&lt;/span&gt;</t>
  </si>
  <si>
    <t>&lt;span class="w"&gt;&lt;b&gt;【703.the moment / minute S V ~：SがVするとすぐに】&lt;/b&gt;&lt;/span&gt;
&lt;span class="ml"&gt;&lt;span class="explanation_tag"&gt;minuteの語源&lt;/span&gt;
minuteは、ラテン語minuere（小さくする）の過去分詞minutus（小さい, 微細な）に由来する。
&lt;span class="spacer"&gt;&lt;/span&gt;中世ラテン語では、数学者Ptolemyが、円の60分の1を表すためにpars &lt;strong&gt;minuta&lt;/strong&gt; prima（第一の小さい部分）という語を用いた。その後、この語は1時間の60分の1も意味するようになり、時間の単位の「分」として使われるようになった。&lt;span class="obsolete"&gt;その次の単位はsecunda minutaであり、これが後にsecond（秒）となった。&lt;/span&gt;
&lt;span class="spacer"&gt;&lt;/span&gt;minuteは「分」だけではなく、もとになったラテン語の「微細な」という意味の通り、「短い時間, 瞬間」という意味も持っている。
&lt;span class="spacer"&gt;&lt;/span&gt;&lt;span class="explanation_tag"&gt;momentの語源&lt;/span&gt;
momentは、ラテン語movere（動かす）に由来する。一部の学者は、天秤の針をわずかに動かすほどのごく小さい粒子という概念を経て、ごく小さな時間の区分＝「瞬間」という意味になったと考えている。
&lt;span class="spacer"&gt;&lt;/span&gt;&lt;span class="explanation_tag"&gt;イメージ&lt;/span&gt;
［the moment / minute S V ~］は、timeの後に関係副詞whenが省略されており、［S V ~］がthe moment / minute（瞬間）を修飾すると考えればよい。
&lt;span class="spacer"&gt;&lt;/span&gt;moment / minuteはどちらも「短い時間, 瞬間」を意味する。SがVする瞬間に別のことが起こるので、「SがVするとすぐに」という接続詞的な表現になる。&lt;/span&gt;</t>
  </si>
  <si>
    <t>&lt;span class="w"&gt;&lt;b&gt;【704.when it comes to ~：〜のこととなると】&lt;/b&gt;&lt;/span&gt;
&lt;span class="ml"&gt;&lt;span class="explanation_tag"&gt;イメージ&lt;/span&gt;
［when it comes to A］のitは、具体的な名詞を指すわけではなく、話題全体を指す形式主語だと考えればよい。つまり、話題がAに達すると＝「Aのこととなると」という意味になる。&lt;/span&gt;</t>
  </si>
  <si>
    <t>&lt;span class="w"&gt;&lt;b&gt;【705.as it is：①実際のところは, ②（事物が）あるがままの】&lt;/b&gt;&lt;/span&gt;
&lt;span class="ml"&gt;&lt;span class="explanation_tag"&gt;語源&lt;/span&gt;
asは、古英語eal（all）と、swa（so）が合わさってできた語にさかのぼる。もともとは「まったくそのように, 完全に同様に」という意味だった。&lt;span class="obsolete"&gt;だからas ~ asは「同じくらい」という意味になる。&lt;/span&gt;
&lt;span class="spacer"&gt;&lt;/span&gt;つまり、asの核には「一致」というイメージがある。
&lt;span class="spacer"&gt;&lt;/span&gt;&lt;span class="explanation_tag"&gt;イメージ&lt;/span&gt;
［as it is］は、it isに一致させるイメージ。このitは、特定の何かを指すわけではなく、全体の状況や状態を表す。この場合は、be動詞が現在形なので、いま現在の状況や状態を表す。
&lt;span class="spacer"&gt;&lt;/span&gt;①ある前提や仮定の後に［as it is］が置かれれば、前提や仮定の話から、いま現在の状況や状態（it is）に話を一致させる（as）ので、「実際のところは」という意味になる。
&lt;span class="spacer"&gt;&lt;/span&gt;②事物について［as it is］が使われれば、いま現在の状態に一致させることから、「ありのままの」という意味になる。
&lt;span class="spacer"&gt;&lt;/span&gt;&lt;span class="explanation_tag"&gt;①の例&lt;/span&gt;
I hoped things would get better, but as it is, they are getting worse.
事態が良くなることを望んでいた
（前提）
↓
実際のところは
（it is＝現実の状況へ話を一致させる）
↓
悪化している
&lt;span class="spacer"&gt;&lt;/span&gt;&lt;span class="explanation_tag"&gt;②の例&lt;/span&gt;
Leave the room as it is.
部屋をいま現在の状態（it is）に一致させて（as）残しておく&lt;/span&gt;</t>
  </si>
  <si>
    <t>&lt;span class="w"&gt;&lt;b&gt;【707.as follows：次のとおり】&lt;/b&gt;&lt;/span&gt;
&lt;span class="ml"&gt;&lt;span class="explanation_tag"&gt;語源&lt;/span&gt;
asは、古英語eal（all）と、swa（so）が合わさってできた語にさかのぼる。もともとは「まったくそのように, 完全に同様に」という意味だった。&lt;span class="obsolete"&gt;だからas ~ asは「同じくらい」という意味になる。&lt;/span&gt;
&lt;span class="spacer"&gt;&lt;/span&gt;つまり、asの核には「一致」というイメージがある。
&lt;span class="spacer"&gt;&lt;/span&gt;&lt;span class="explanation_tag"&gt;イメージ&lt;/span&gt;
［as follows］は、後に従う（フォローする）ものと一致（as）というイメージから、「次のとおり」という意味になる。&lt;/span&gt;</t>
  </si>
  <si>
    <t>&lt;span class="w"&gt;&lt;b&gt;【708.as is often the case (with ~) ：〜にはよくあることだが】&lt;/b&gt;&lt;/span&gt;
&lt;span class="ml"&gt;&lt;span class="spacer"&gt;&lt;/span&gt;&lt;span class="explanation_tag"&gt;イメージ&lt;/span&gt;
［as is often the case (with A)］のasは関係代名詞であり、文のメインとなる部分全体を指す。直訳すると、Aに関して（with A）そのことは（as）よく（often）起こる出来事（the case）となり、そこから「Aにはよくあることだが」という意味になる。
&lt;span class="spacer"&gt;&lt;/span&gt;&lt;span class="explanation_tag"&gt;例&lt;/span&gt;
&lt;strong&gt;As&lt;/strong&gt; is often the case with him, &lt;strong&gt;he was late again&lt;/strong&gt;.
&lt;span class="spacer"&gt;&lt;/span&gt;最初の関係代名詞asは、この文のメインとなるhe was late againを受けている。細かく日本語訳すると、「彼が遅れるというのはよくあることだが、彼はまた遅れた」となる。&lt;/span&gt;</t>
  </si>
  <si>
    <t>&lt;span class="w"&gt;&lt;b&gt;【709.as〈複数名詞 / 不可算名詞〉go：一般の〜としては, 〜にしては】&lt;/b&gt;&lt;/span&gt;
&lt;span class="ml"&gt;&lt;span class="explanation_tag"&gt;イメージ&lt;/span&gt;
［as〈複数名詞 / 不可算名詞〉go］のgoは物理的な移動ではなく、〈名詞〉のイメージが世間一般を通過するニュアンス。そこから、一般的に受け取られている〈名詞〉としては（as）となり、「一般の〜としては, 〜にしては」という世間的なイメージとの対比表現になる。
&lt;span class="spacer"&gt;&lt;/span&gt;&lt;span class="explanation_tag"&gt;例&lt;/span&gt;
As politicians go, he is honest.
一般的に通っている政治家のイメージとしては、彼は正直だ
＝政治家にしては、彼は正直だ&lt;/span&gt;</t>
  </si>
  <si>
    <t>&lt;span class="w"&gt;&lt;b&gt;【710.if only S V ~：①〜でありさえすれば, ②〜でさえあればなあ】&lt;/b&gt;&lt;/span&gt;
&lt;span class="ml"&gt;&lt;span class="explanation_tag"&gt;イメージ&lt;/span&gt;
［if only S V 〜］は、ifという語による条件設定の範囲を、only（〜だけ）が強調している。
&lt;span class="spacer"&gt;&lt;/span&gt;①if onlyの後が直説法（現実と時制が一致）なら、もしも〜という条件さえ満たせば＝「〜でありさえすれば」という条件ifの限定になる。
&lt;span class="spacer"&gt;&lt;/span&gt;②if onlyの後が仮定法なら、もしも〜だけでも現実になれば＝「〜でありさえすればなあ」という限定的な願望になる。&lt;/span&gt;</t>
  </si>
  <si>
    <t>&lt;span class="w"&gt;&lt;b&gt;【712.(in) the way S V ~：SがVする方法において】&lt;/b&gt;&lt;/span&gt;
&lt;span class="ml"&gt;&lt;span class="explanation_tag"&gt;イメージ&lt;/span&gt;
［(in) the way S V ~］は、the wayの後に関係詞が省略されている。［S V ~］がthe way（方法）を修飾して、「SがVする方法において」という意味になる。&lt;/span&gt;</t>
  </si>
  <si>
    <t>&lt;span class="w"&gt;&lt;b&gt;【714.with ease：簡単に】&lt;/b&gt;&lt;/span&gt;
&lt;span class="ml"&gt;&lt;span class="explanation_tag"&gt;イメージ&lt;/span&gt;
［with ease］のように、［with＋抽象名詞］は副詞の働きをする。そこから「簡単に」という意味になる。
&lt;span class="spacer"&gt;&lt;/span&gt;簡単さ（ease）を持って（with）何かをすることから、「簡単に」何かをするとイメージすればよい。
&lt;span class="spacer"&gt;&lt;/span&gt;&lt;span class="explanation_tag"&gt;例&lt;/span&gt;
with confidence
自信を持って
&lt;span class="spacer"&gt;&lt;/span&gt;with care
注意深く
&lt;span class="spacer"&gt;&lt;/span&gt;with difficulty
苦労して&lt;/span&gt;</t>
  </si>
  <si>
    <t>&lt;span class="w"&gt;&lt;b&gt;【715.believe it or not：まさかと思うような話だが】&lt;/b&gt;&lt;/span&gt;
&lt;span class="ml"&gt;&lt;span class="explanation_tag"&gt;イメージ&lt;/span&gt;
［believe it or not］は、直訳すると「信じようと信じまいと」となる。つまり、今から言うことに対して相手が信じられない可能性があるが、話し手にとっては事実であることを表して、「まさかと思うような話だが」「信じられないかもしれないが」「意外だが」のようなニュアンスになる。
&lt;span class="spacer"&gt;&lt;/span&gt;この表現は特に、熟語帳通りの日本語で覚える必要はない。&lt;/span&gt;</t>
  </si>
  <si>
    <t>&lt;span class="w"&gt;&lt;b&gt;【716.not all that ~：それほど〜ではない】&lt;/b&gt;&lt;/span&gt;
&lt;span class="ml"&gt;&lt;span class="explanation_tag"&gt;イメージ&lt;/span&gt;
［not all that ~］のallは「強調」で、thatは副詞「それほど」という意味。これが合わさって「それほど〜ではない」という意味になる。
&lt;span class="spacer"&gt;&lt;/span&gt;&lt;span class="explanation_tag"&gt;例&lt;/span&gt;
It's not &lt;strong&gt;that&lt;/strong&gt; cold.
それほど寒くない
&lt;span class="spacer"&gt;&lt;/span&gt;It's not &lt;strong&gt;all that&lt;/strong&gt; cold.
（騒ぐような）それほど寒くない&lt;/span&gt;</t>
  </si>
  <si>
    <t>&lt;span class="w"&gt;&lt;b&gt;【717.the 比較級 ~ , the 比較級 …：〜であればあるほど、いっそう…】&lt;/b&gt;&lt;/span&gt;
&lt;span class="ml"&gt;&lt;span class="explanation_tag"&gt;イメージ&lt;/span&gt;
［the 比較級 ~ , the 比較級 …］は、前のtheが「どれだけ」という意味で、後ろのtheが「その分だけ」という意味。
&lt;span class="spacer"&gt;&lt;/span&gt;「〜」部分の比較級が&lt;strong&gt;どれだけ&lt;/strong&gt;の程度になるかによって、&lt;strong&gt;その分だけ&lt;/strong&gt;「…」になる、という呼応関係にある。
&lt;span class="spacer"&gt;&lt;/span&gt;例えば、「〜」部分が10段階の5なら、それに応じて「…」は5になる。「〜」部分が8なら、「…」もさらに上がって8になる、というイメージ。
&lt;span class="spacer"&gt;&lt;/span&gt;そこから「〜すればするほど、いっそう…」という意味になる。&lt;/span&gt;</t>
  </si>
  <si>
    <t>&lt;span class="w"&gt;&lt;b&gt;【718.(Just) As ~ , so …：（ちょうど）〜であるように、…だ】&lt;/b&gt;&lt;/span&gt;
&lt;span class="ml"&gt;&lt;span class="explanation_tag"&gt;語源&lt;/span&gt;
asは、古英語eal（all）と、swa（so）が合わさってできた語にさかのぼる。もともとは「まったくそのように, 完全に同様に」という意味だった。&lt;span class="obsolete"&gt;だからas ~ asは「同じくらい」という意味になる。&lt;/span&gt;
&lt;span class="spacer"&gt;&lt;/span&gt;つまり、asの核には「一致」というイメージがある。
&lt;span class="spacer"&gt;&lt;/span&gt;&lt;span class="explanation_tag"&gt;イメージ&lt;/span&gt;
［(Just) As ~ , so …］はasの語源的イメージをもとに考えると、「〜であるのと一致して（as）、Bもそのように…だ（so）」となる。これをきれいな日本語にすると、「〜であるように…だ」となる。
&lt;span class="spacer"&gt;&lt;/span&gt;justは「ちょうど〜であるように」と、asを強調する働きをする。&lt;/span&gt;</t>
  </si>
  <si>
    <t>&lt;span class="w"&gt;&lt;b&gt;【719.(It is) No wonder (that) S V ~：〜なのは不思議がない, 〜なのは当然だ】&lt;/b&gt;&lt;/span&gt;
&lt;span class="ml"&gt;&lt;span class="explanation_tag"&gt;イメージ&lt;/span&gt;
［(It is) No wonder (that) S V ~］は、意味上の主語［that S V ~］に対してno wonder（不思議がゼロ）なので、「不思議はない, 当然だ」という意味になる。&lt;/span&gt;</t>
  </si>
  <si>
    <t>&lt;span class="w"&gt;&lt;b&gt;【720.It happens that S V ~：たまたま〜だ】&lt;/b&gt;&lt;/span&gt;
&lt;span class="ml"&gt;&lt;span class="explanation_tag"&gt;語源&lt;/span&gt;
happenは、古ノルド語happ（偶然）に由来する。そこから予期しないことが偶然起こる、単純に何かが起こるという意味になった。
&lt;span class="spacer"&gt;&lt;/span&gt;&lt;span class="explanation_tag"&gt;イメージ&lt;/span&gt;
［It happens that S V ~］は、happenの語源の通り「偶然」というニュアンスを含み、「たまたま〜だ」という意味になる。&lt;/span&gt;</t>
  </si>
  <si>
    <t>&lt;span class="w"&gt;&lt;b&gt;【721.(The) Chances are (that) ~：おそらく〜だろう】&lt;/b&gt;&lt;/span&gt;
&lt;span class="ml"&gt;&lt;span class="explanation_tag"&gt;語源&lt;/span&gt;
chanceは、ラテン語cadere（落ちる）から派生した*cadentia（起こったこと, 降ってきたもの）に由来する。これはサイコロ遊びで用いられた語で、振られたサイコロは何の目が出るかわからないことから、「見込み, 運, 偶然, 危険, 機会」といった意味になった。
&lt;span class="spacer"&gt;&lt;/span&gt;&lt;span class="explanation_tag"&gt;イメージ&lt;/span&gt;
［(The) Chances are (that) ~］は語源的に考えると、「〜である見込みだ」となり、そうなる見込みが高いことを表す。そのため「おそらく〜だろう」という訳になる。
&lt;span class="spacer"&gt;&lt;/span&gt;&lt;span class="explanation_tag"&gt;補足&lt;/span&gt;
chancesという複数形は、古くからある慣用的な表現。&lt;/span&gt;</t>
  </si>
  <si>
    <t>&lt;span class="w"&gt;&lt;b&gt;【722.There is no doing ~：〜することはできない】&lt;/b&gt;&lt;/span&gt;
&lt;span class="ml"&gt;&lt;span class="explanation_tag"&gt;イメージ&lt;/span&gt;
［There is no doing ~］は直訳すると、ゼロの「何かをすること（no doing 〜）」が存在する（there is）となる。つまり「〜する余地」が一切存在しないので、「〜できない」という意味になる。&lt;/span&gt;</t>
  </si>
  <si>
    <t>&lt;span class="w"&gt;&lt;b&gt;【723.not so much A as B：AというよりむしろB】&lt;/b&gt;&lt;/span&gt;
&lt;span class="ml"&gt;&lt;span class="explanation_tag"&gt;イメージ&lt;/span&gt;
［not so much A as B］は、主語に関するただの同等比較。
&lt;span class="spacer"&gt;&lt;/span&gt;
中学で習う同等比較は、異なる主語同士を比べる。
A is &lt;strong&gt;not so&lt;/strong&gt; ~ &lt;strong&gt;as&lt;/strong&gt; B.
主語Aは、主語Bほど〜ない
&lt;span class="spacer"&gt;&lt;/span&gt;［not so much A as B］は、&lt;strong&gt;同一の主語に関する&lt;/strong&gt;性質や状態などの&lt;strong&gt;程度&lt;/strong&gt;を比較する。
S … &lt;strong&gt;not so much&lt;/strong&gt; A &lt;strong&gt;as&lt;/strong&gt; B.
主語Sは、BほどAの程度（much）がない
＝SはAの程度よりBの方が上
＝Sは「AというよりもむしろB」という意味になる。&lt;/span&gt;</t>
  </si>
  <si>
    <t>&lt;span class="w"&gt;&lt;b&gt;【725.never do … without ~：〜なしで…することはない, …すれば必ず〜する】&lt;/b&gt;&lt;/span&gt;
&lt;span class="ml"&gt;&lt;span class="explanation_tag"&gt;イメージ&lt;/span&gt;
［never do … without ~］は直訳の「〜なしで…することはない」で覚えればよい。この直訳の見方を変えれば、「…する」には常に「〜」がくっついてくるので、「…すれば必ず〜する」という訳にもなる。&lt;/span&gt;</t>
  </si>
  <si>
    <t>&lt;span class="w"&gt;&lt;b&gt;【726.It goes without saying that S V ~：〜は言うまでもない】&lt;/b&gt;&lt;/span&gt;
&lt;span class="ml"&gt;&lt;span class="explanation_tag"&gt;イメージ&lt;/span&gt;
［It goes without saying that S V ~］のitは形式主語で、意味上の主語は［that S V ~］部分。
&lt;span class="spacer"&gt;&lt;/span&gt;つまり意味は［That S V ~ goes without saying.］で考えればよい。直訳すると「〜ということは、言わなくても、そのまま話が通っていく」となる。ということは、「〜なのは言うまでもない」という意味になる。&lt;/span&gt;</t>
  </si>
  <si>
    <t>&lt;span class="w"&gt;&lt;b&gt;【728.It is not long before ~：〜するのに長くはかからない, まもなく〜する】&lt;/b&gt;&lt;/span&gt;
&lt;span class="ml"&gt;&lt;span class="explanation_tag"&gt;イメージ&lt;/span&gt;
［It is not long before ~］は直訳の通り、「〜する前に（時間が）長くはならない」という意味なので、きれいに日本語にすると「まもなく〜する」となる。&lt;/span&gt;</t>
  </si>
  <si>
    <t>&lt;span class="w"&gt;&lt;b&gt;【612.bother：〜を悩ます, 〜に面倒をかける】&lt;/b&gt;&lt;/span&gt;
&lt;span class="ml"&gt;語源不明の語だが、アイルランド語bodhairim（私は耳を聞こえなくする, 耳を塞ぐ）に由来する可能性がある。
&lt;span class="spacer"&gt;&lt;/span&gt;耳を塞ぐほどの耳ざわりな音がしている状態から、ごちゃごちゃした状態や心がざわつく状態へとつながり、相手を混乱させて「悩ます, 面倒をかける」へと発展したと考えられる。&lt;/span&gt;</t>
  </si>
  <si>
    <t>&lt;span class="w"&gt;&lt;b&gt;【733.A is to B what C is to D .：AのBに対する関係は、CのDに対する関係と同じだ】&lt;/b&gt;&lt;/span&gt;
&lt;span class="ml"&gt;&lt;span class="explanation_tag"&gt;イメージ&lt;/span&gt;
［A is to B what C is to D］は、シンプルに「Bに対するA」is「Dに対するC」と考えればよい。そこから「AのBに対する関係は、CのDに対する関係（と同じ）だ」という意味になる。
&lt;span class="spacer"&gt;&lt;/span&gt;&lt;span class="explanation_tag"&gt;補足&lt;/span&gt;
この表現は、本来は次のような構造になっている。
【A】is［what C is to D］ 【to B】
【A】=［what C is to D］ 【to B】
&lt;span class="spacer"&gt;&lt;/span&gt;Aは、Bに対して、CがDに対するものだ
＝Bに対するAは、Dに対するCだ
＝Bに対するAは、Dに対するCと同じだ&lt;/span&gt;</t>
  </si>
  <si>
    <t>&lt;span class="w"&gt;&lt;b&gt;【734.not so much as do ~：〜さえしない】&lt;/b&gt;&lt;/span&gt;
&lt;span class="ml"&gt;&lt;span class="explanation_tag"&gt;語源&lt;/span&gt;
asは、古英語eal（all）と、swa（so）が合わさってできた語にさかのぼる。もともとは「まったくそのように, 完全に同様に」という意味だった。&lt;span class="obsolete"&gt;だからas ~ asは「同じくらい」という意味になる。&lt;/span&gt;
&lt;span class="spacer"&gt;&lt;/span&gt;つまり、asの核には「一致」というイメージがある。
&lt;span class="spacer"&gt;&lt;/span&gt;&lt;span class="explanation_tag"&gt;イメージ&lt;/span&gt;
［not so much as do ~］は程度を表すmuchを使った、as ~ as（同等比較）の否定として考えればよい。
&lt;span class="spacer"&gt;&lt;/span&gt;［not so much as do ~］は、［do ~］と一致する（as）程度（so much）の行動をしていない（not）ということから、「〜さえしない」という意味になる。&lt;/span&gt;</t>
  </si>
  <si>
    <t>&lt;span class="w"&gt;&lt;b&gt;【735.Nothing is more ~ than A.：Aほど〜なものはない】&lt;/b&gt;&lt;/span&gt;
&lt;span class="ml"&gt;&lt;span class="explanation_tag"&gt;イメージ&lt;/span&gt;
［Nothing is more ~ than A.］は直訳すると、「nothingはAよりも、より〜である」となる。つまり、Aよりも〜なものは何もないので、「Aほど〜なものはない」という最上級の表現になる。&lt;/span&gt;</t>
  </si>
  <si>
    <t>&lt;span class="w"&gt;&lt;b&gt;【736.the former ~ , the latter …：前者は〜、後者は…】&lt;/b&gt;&lt;/span&gt;
&lt;span class="ml"&gt;&lt;span class="explanation_tag"&gt;formerの語源&lt;/span&gt;
formerは、印欧祖語&lt;strong&gt;*per-（前へ）&lt;/strong&gt;と、-mo（最上級）が合わさってできた*pre-mo-にさかのぼる。そこからゲルマン祖語を経て、古英語forma（最も前の, 最初の）となった。
&lt;span class="spacer"&gt;&lt;/span&gt;印欧祖語段階から最上級の要素が含まれていたのだが、古英語では、さらに最上級の接尾辞-estを付け加えて、formest（現在のforemost）という二重最上級が登場する。
&lt;span class="spacer"&gt;&lt;/span&gt;そしてこの最上級-estの付加にならって、比較級として作られたのが現在のformerである。
&lt;span class="spacer"&gt;&lt;/span&gt;12世紀半ばに「時間的により前の」という意味で使われ、1580年代から「2つあるもののうち前者の」という意味になった。
&lt;span class="spacer"&gt;&lt;/span&gt;&lt;span class="explanation_tag"&gt;latterの語源&lt;/span&gt;
latterは、古英語&lt;strong&gt;læt（遅い）&lt;/strong&gt;の比較級lætra（より遅い）にさかのぼる。この語からは、時間的により後であることを表すlaterと、「順番的に後者である」ことを表すlatterが生まれている。
&lt;span class="spacer"&gt;&lt;/span&gt;&lt;span class="explanation_tag"&gt;イメージ&lt;/span&gt;
［the former ~ , the latter …］は、既に述べられている2つのうち、前（for）の方＝「前者」と、後（lat）の方＝「後者」を述べる表現。既に2つとも述べられているので、特定するtheがついている。&lt;/span&gt;</t>
  </si>
  <si>
    <t>&lt;span class="w"&gt;&lt;b&gt;【737.A is one thing ; B is another：AとBは別ものである】&lt;/b&gt;&lt;/span&gt;
&lt;span class="ml"&gt;&lt;span class="explanation_tag"&gt;イメージ&lt;/span&gt;
［A is one thing ; B is another］は直訳の通り、Aは一つのこと、Bはもう一つのこと（Aに対して別の一つのこと）というイメージ。そのため「AとBは別ものである」という意味になる。
&lt;span class="spacer"&gt;&lt;/span&gt;［A is one thing ; B is another］は、この訳を覚えなければならないわけではない。one / another（あるもの / 別のもの）の対比を理解していればよい。&lt;/span&gt;</t>
  </si>
  <si>
    <t>&lt;span class="w"&gt;&lt;b&gt;【738.All one has to do is (to) do.：ただ〜さえすればよい】&lt;/b&gt;&lt;/span&gt;
&lt;span class="ml"&gt;&lt;span class="explanation_tag"&gt;イメージ&lt;/span&gt;
［All one has to do is (to) do.］は、［all］の後に関係詞が省略されており、［one has to do］が後ろから修飾していると考えればよい。
&lt;span class="spacer"&gt;&lt;/span&gt;直訳すると「〈人〉がしなければならない全てのことは、(to) doである」となる。言い換えれば、［(to) do］だけすればよいので、「ただ〜さえすればよい」という訳になる。&lt;/span&gt;</t>
  </si>
  <si>
    <t>&lt;span class="w"&gt;&lt;b&gt;【739.Suffice (it) to say that S V ~：〜といえば十分だろう】&lt;/b&gt;&lt;/span&gt;
&lt;span class="ml"&gt;&lt;span class="explanation_tag"&gt;イメージ&lt;/span&gt;
［Suffice (it) to say that S V ~］のsufficeは、sufficient（十分な）の動詞で「十分である」という意味。［to say that S V ~］で十分である（suffice）ことから、「〜といえば十分だろう」という意味になる。
&lt;span class="spacer"&gt;&lt;/span&gt;&lt;span class="explanation_tag"&gt;補足&lt;/span&gt;
形式主語itと動詞sufficeが倒置されているSuffice (it)は、提案・要求・命令・願望を表す際に使われる仮定法現在の表現。
&lt;span class="spacer"&gt;&lt;/span&gt;仮定法とは、現実世界を言葉にするのではなく、話者の頭の中にあるものを言葉にしているので、時制を現実に一致させる必要がない。
&lt;span class="spacer"&gt;&lt;/span&gt;仮定法現在は古くからの慣用表現として残っているので、難しいことは考えず、「イメージ」で述べたように、sufficeとsufficientを関連させて覚えればよい。&lt;/span&gt;</t>
  </si>
  <si>
    <t>&lt;span class="w"&gt;&lt;b&gt;【741.be forced to do：やむなく〜する】&lt;/b&gt;&lt;/span&gt;
&lt;span class="ml"&gt;&lt;span class="explanation_tag"&gt;イメージ&lt;/span&gt;
［be forced to do］は直訳すると、「〜することを強制される」となる。そこから「やむなく〜する」という強制感の強い訳になる。&lt;/span&gt;</t>
  </si>
  <si>
    <t>&lt;span class="w"&gt;&lt;b&gt;【745.tend to do：〜する傾向がある, 〜しがちである】&lt;/b&gt;&lt;/span&gt;
&lt;span class="ml"&gt;&lt;span class="explanation_tag"&gt;語源&lt;/span&gt;
tendは、ラテン語tendere（伸ばす, 引っ張る）に由来する。心や注意をある対象に向かって「伸ばす」イメージから、ある対象の方へ向かいやすい＝「傾向がある」という意味になる。
&lt;span class="spacer"&gt;&lt;/span&gt;［tend to do A］は、（他のことではなく）Aする方へ心や注意が伸びることから、「Aしがち, Aする傾向がある」という意味になる。&lt;/span&gt;</t>
  </si>
  <si>
    <t>&lt;span class="w"&gt;&lt;b&gt;【746.happen to do：偶然〜する】&lt;/b&gt;&lt;/span&gt;
&lt;span class="ml"&gt;&lt;span class="explanation_tag"&gt;語源&lt;/span&gt;
happenは、古ノルド語happ（偶然）に由来する。そこから予期しないことが偶然起こる、単純に何かが起こるという意味になった。
&lt;span class="spacer"&gt;&lt;/span&gt;&lt;span class="explanation_tag"&gt;イメージ&lt;/span&gt;
［happen to do ~］は、予期せずdoに向かう（to）イメージから「たまたま〜する」という意味になる。&lt;/span&gt;</t>
  </si>
  <si>
    <t xml:space="preserve">&lt;span class="w"&gt;&lt;b&gt;【749.bother to do：わざわざ〜する】&lt;/b&gt;&lt;/span&gt;
&lt;span class="ml"&gt;&lt;span class="explanation_tag"&gt;語源&lt;/span&gt;
botherは、語源不明の語だが、アイルランド語bodhairim（私は耳を聞こえなくする, 耳を塞ぐ）に由来する可能性がある。
&lt;span class="spacer"&gt;&lt;/span&gt;耳を塞ぐほどの耳ざわりな音がしている状態から、ごちゃごちゃした状態や心がざわつく状態へとつながり、相手を混乱させて「悩ます, 面倒をかける」や、自分が「思い悩む」へと発展したと考えられる。
&lt;span class="spacer"&gt;&lt;/span&gt;&lt;span class="explanation_tag"&gt;イメージ&lt;/span&gt;
botherで重要なのは、ごちゃごちゃした状態がもたらす「面倒」や「悩ましさ」。
&lt;span class="spacer"&gt;&lt;/span&gt;［bother to do］は、面倒や悩みを承知でdoへ向かう（to）イメージから、「わざわざ〜する」という意味になる。&lt;/span&gt;  </t>
  </si>
  <si>
    <t>&lt;span class="w"&gt;&lt;b&gt;【750.come to an end / a close：終わる】&lt;/b&gt;&lt;/span&gt;
&lt;span class="ml"&gt;&lt;span class="explanation_tag"&gt;イメージ&lt;/span&gt;
［come to an end / a close］は直訳の通り、終わりに（to an end / a close）至る（come）ことから、「終わる」という意味になる。&lt;/span&gt;</t>
  </si>
  <si>
    <t>&lt;span class="w"&gt;&lt;b&gt;【753.spend 時間 (in) doing：〜して〈時間〉を過ごす】&lt;/b&gt;&lt;/span&gt;
&lt;span class="ml"&gt;&lt;span class="explanation_tag"&gt;イメージ&lt;/span&gt;
［spend 時間 (in) doing］は直訳すると、doing（の中）に時間を費やす（spend）となる。そこから「〜して〈時間〉を過ごす」という意味になる。&lt;/span&gt;</t>
  </si>
  <si>
    <t>&lt;span class="w"&gt;&lt;b&gt;【754.make a point of doing：〜することを重視する, 必ず〜するようにしている】&lt;/b&gt;&lt;/span&gt;
&lt;span class="ml"&gt;&lt;span class="explanation_tag"&gt;イメージ&lt;/span&gt;
［make a point of doing］は直訳すると、doingについて（of）重要な点を作る（make a point）となる。様々な行動の中でdoingをポイントにしているので、「〜することを重視する」という意味になる。
&lt;span class="spacer"&gt;&lt;/span&gt;さらにその行動を重視していることから、「必ず〜するようにしている」という意味になる。&lt;/span&gt;</t>
  </si>
  <si>
    <t>&lt;span class="w"&gt;&lt;b&gt;【755.S remain to be seen：Sは未定である】&lt;/b&gt;&lt;/span&gt;
&lt;span class="ml"&gt;&lt;span class="explanation_tag"&gt;イメージ&lt;/span&gt;
［be to do］と関連させて理解する。
①義務
②予定・運命
③可能
④意志
&lt;span class="spacer"&gt;&lt;/span&gt;［S &lt;strong&gt;is&lt;/strong&gt; to be seen］だと、Sはこれから見られる状態である＝「今はわからない」という意味になる。
&lt;span class="obsolete"&gt;ただし可能・義務などの解釈もある。&lt;/span&gt;
&lt;span class="spacer"&gt;&lt;/span&gt;［S &lt;strong&gt;remain&lt;/strong&gt; to be seen］は、Sはこれから見られる状態のまま残っている＝まだ結果が決まっていない＝「Sは未定である」という意味になる。&lt;/span&gt;</t>
  </si>
  <si>
    <t>&lt;span class="w"&gt;&lt;b&gt;【756.bring oneself to do：〜する気持ちになる】&lt;/b&gt;&lt;/span&gt;
&lt;span class="ml"&gt;&lt;span class="explanation_tag"&gt;イメージ&lt;/span&gt;
［bring oneself to do］は、to do（〜すること）へと自分自身を持っていくイメージから、「〜する気持ちになる」という意味になる。&lt;/span&gt;</t>
  </si>
  <si>
    <t>&lt;span class="w"&gt;&lt;b&gt;【757.take the trouble to do：わざわざ〜する】&lt;/b&gt;&lt;/span&gt;
&lt;span class="ml"&gt;&lt;span class="explanation_tag"&gt;イメージ&lt;/span&gt;
［take the trouble to do］は、to doがthe troubleを修飾している。何かをする（to do）手間・面倒（trouble）を引き受ける（take）ことから、「わざわざ〜する」という意味になる。&lt;/span&gt;</t>
  </si>
  <si>
    <t>&lt;span class="w"&gt;&lt;b&gt;【758.leave nothing to be desired：申し分ない】&lt;/b&gt;&lt;/span&gt;
&lt;span class="ml"&gt;&lt;span class="explanation_tag"&gt;イメージ&lt;/span&gt;
［leave nothing to be desired］は、to be desiredがnothingを修飾している。望まれるもの（to be desired）は何も（nothing）残っていないことから、もうこれ以上望みはない＝「申し分ない」という意味になる。&lt;/span&gt;</t>
  </si>
  <si>
    <t>&lt;span class="w"&gt;&lt;b&gt;【759.in order to do｜so as to do：〜するために】&lt;/b&gt;&lt;/span&gt;
&lt;span class="ml"&gt;&lt;span class="explanation_tag"&gt;［in order to do］のイメージ&lt;/span&gt;
［〈行動〉in order to do］は、to doがorderを修飾している。直訳すると、「何かをするための（to do）順序（order）の中に（in）いて〈行動〉している」となる。
&lt;span class="spacer"&gt;&lt;/span&gt;つまり、to doという目的に向けた手順を踏んでいることから、「〜するために」という意味になる。
&lt;span class="spacer"&gt;&lt;/span&gt;to doがorederを修飾しているので、「〜しないために」という否定にするときは、［&lt;strong&gt;not&lt;/strong&gt; to do］にする。
&lt;span class="spacer"&gt;&lt;/span&gt;&lt;span class="explanation_tag"&gt;［so as to do］のイメージ&lt;/span&gt;
［〈行動〉so as to do］は、「何かの〈行動〉をしている&lt;span class="arrow"&gt;→&lt;/span&gt;そのように（so）&lt;span class="arrow"&gt;→&lt;/span&gt;どのようにかと言うと、to doと一致（as）するように」というイメージ。
&lt;span class="spacer"&gt;&lt;/span&gt;「〜するのと一致するように〈行動〉している」ということから、「〜するために」という意味になる。
&lt;span class="spacer"&gt;&lt;/span&gt;as to doは「〜することと一致するように」なので、「〜しないために」という否定にするときは、［as &lt;strong&gt;not&lt;/strong&gt; to do］にする。&lt;/span&gt;</t>
  </si>
  <si>
    <t>&lt;span class="w"&gt;&lt;b&gt;【760.in that S V ~：〜の点で, 〜という理由で】&lt;/b&gt;&lt;/span&gt;
&lt;span class="ml"&gt;&lt;span class="explanation_tag"&gt;イメージ&lt;/span&gt;
［… in that S V ~］は直訳すると、「SがVすること（that S V）において（in）… だ」となる。これを綺麗に訳したら、「SがVする点において…」となる。
&lt;span class="spacer"&gt;&lt;/span&gt;さらに「SがVする点」と「…」の関係性によっては「〜という理由で」という日本語にすることもできる。
&lt;span class="spacer"&gt;&lt;/span&gt;&lt;span class="explanation_tag"&gt;例&lt;/span&gt;
This new system is better in that it is more efficient.
この新しいシステムは、より効率的である&lt;strong&gt;という点において&lt;/strong&gt;、より優れている
＝この新しいシステムは、より効率的である&lt;strong&gt;という理由で&lt;/strong&gt;、より優れている&lt;/span&gt;</t>
  </si>
  <si>
    <t>&lt;span class="w"&gt;&lt;b&gt;【761.as / so long as ~：（条件・時間の制限）〜する限り】&lt;/b&gt;&lt;/span&gt;
&lt;span class="ml"&gt;&lt;span class="explanation_tag"&gt;イメージ&lt;/span&gt;
［… as / so long as ~］はもともと、「〜」と「…」の長さが同じであることを表す。そこから「同じ長さであれば」という条件へと発展し、時間や条件に関して「〜する限り」という意味になる。
&lt;span class="spacer"&gt;&lt;/span&gt;&lt;span class="explanation_tag"&gt;例&lt;/span&gt;
［同じ長さ］
This rope is as long as that one.
このロープはあれと&lt;strong&gt;同じくらい長い&lt;/strong&gt;
&lt;span class="spacer"&gt;&lt;/span&gt;［条件・時間の制限へ発展］
You can stay here as long as you keep quiet.
あなたが静かにしている時間と&lt;strong&gt;同じ時間の長さ&lt;/strong&gt;、ここにいてもよい
&lt;span class="arrow"&gt;→&lt;/span&gt;静かに&lt;strong&gt;する限り&lt;/strong&gt;、ここにいてよい&lt;/span&gt;</t>
  </si>
  <si>
    <t>&lt;span class="w"&gt;&lt;b&gt;【763.so (that) S can do ~：Sが〜できるように】&lt;/b&gt;&lt;/span&gt;
&lt;span class="ml"&gt;&lt;span class="explanation_tag"&gt;イメージ&lt;/span&gt;
［… so (that) S can do ~］のsoは「そのように」という意味。「…する」&lt;span class="arrow"&gt;→&lt;/span&gt;そのように（so）&lt;span class="arrow"&gt;→&lt;/span&gt;どのようにかというと「Sが〜できるように」。
&lt;span class="spacer"&gt;&lt;/span&gt;そこから「Sが〜できるように…」という意味になる。&lt;/span&gt;</t>
  </si>
  <si>
    <t>&lt;span class="w"&gt;&lt;b&gt;【764.by the time S V ~：SがVするまでに】&lt;/b&gt;&lt;/span&gt;
&lt;span class="ml"&gt;&lt;span class="explanation_tag"&gt;イメージ&lt;/span&gt;
［by the time S V ~］のbyは「〜までに」という意味で、［S V ~］がthe timeを修飾している。そこから「SがVするまでに」という意味になる。&lt;/span&gt;</t>
  </si>
  <si>
    <t>&lt;span class="w"&gt;&lt;b&gt;【765.~ , so (that) …：〜、その結果　…】&lt;/b&gt;&lt;/span&gt;
&lt;span class="ml"&gt;&lt;span class="explanation_tag"&gt;イメージ&lt;/span&gt;
［~ , so (that) …］のsoは「そのように」という意味。［〜］があって、そのようにして［…］へと繋がることから、「〜、その結果 …」という意味になる。&lt;/span&gt;</t>
  </si>
  <si>
    <t>&lt;span class="w"&gt;&lt;b&gt;【766.now (that) S V ~：今はもう〜なので】&lt;/b&gt;&lt;/span&gt;
&lt;span class="ml"&gt;&lt;span class="explanation_tag"&gt;イメージ&lt;/span&gt;
［now (that) S V ~］は直訳すると、「今は〜ということ」となる。これが主節に対する理由になっているので、「今はもう〜なので …」という訳になる。
&lt;span class="spacer"&gt;&lt;/span&gt;&lt;span class="explanation_tag"&gt;例&lt;/span&gt;
Now that you are here, we can start.
今はあなたがここにいる、なので始められる&lt;/span&gt;</t>
  </si>
  <si>
    <t>&lt;span class="w"&gt;&lt;b&gt;【767.in case S V ~：①もし〜なら, ②〜の場合に備えて】&lt;/b&gt;&lt;/span&gt;
&lt;span class="ml"&gt;&lt;span class="spacer"&gt;&lt;/span&gt;&lt;span class="explanation_tag"&gt;イメージ&lt;/span&gt;
［in case S V ~］は直訳のイメージで覚えればよい。直訳すると、SがVするケース・場合（case S V）において（in）となる。「このケースではこう、別のケースではこう」というように場合分けするイメージから、「もし〜ならば」という条件分けの意味になる。
&lt;span class="spacer"&gt;&lt;/span&gt;また、あらかじめ場合分けしておくイメージから、「〜の場合に備えて」という意味になる。&lt;/span&gt;</t>
  </si>
  <si>
    <t>&lt;span class="w"&gt;&lt;b&gt;【768.given (that) ~：〜を考慮すると, 〜を前提とすれば】&lt;/b&gt;&lt;/span&gt;
&lt;span class="ml"&gt;&lt;span class="explanation_tag"&gt;イメージ&lt;/span&gt;
［given (that) ~］は、［〜］がすでに前提として与えられている、ということを表しているだけ。そこから「〜を前提とすれば」「〜を考慮すれば」という意味になる。&lt;/span&gt;</t>
  </si>
  <si>
    <t>&lt;span class="w"&gt;&lt;b&gt;【769.even as ~：まさに〜するときに】&lt;/b&gt;&lt;/span&gt;
&lt;span class="ml"&gt;&lt;span class="explanation_tag"&gt;語源&lt;/span&gt;
asは、古英語eal（all）と、swa（so）が合わさってできた語にさかのぼる。もともとは「まったくそのように, 完全に同様に」という意味だった。&lt;span class="obsolete"&gt;だからas ~ asは「同じくらい」という意味になる。&lt;/span&gt;
&lt;span class="spacer"&gt;&lt;/span&gt;つまり、asの核には「一致」というイメージがある。
&lt;span class="spacer"&gt;&lt;/span&gt;&lt;span class="explanation_tag"&gt;イメージ&lt;/span&gt;
［even as ~］のasは時間の一致（同時性）を表し、evenはその同時性を強調する。そこから「まさに〜するときに」という同時性の強調表現となる。&lt;/span&gt;</t>
  </si>
  <si>
    <t>&lt;span class="w"&gt;&lt;b&gt;【771.on (the) condition (that) S V ~：〜という条件で】&lt;/b&gt;&lt;/span&gt;
&lt;span class="ml"&gt;&lt;span class="explanation_tag"&gt;イメージ&lt;/span&gt;
［on (the) condition (that) S V ~］は、［S V］というcondition（条件）の上に立っていることを表して、「〜という条件で」という意味になる。&lt;/span&gt;</t>
  </si>
  <si>
    <t>&lt;span class="w"&gt;&lt;b&gt;【772.lest S (should) do ~：Sが〜しないように, Sが〜するといけないから】&lt;/b&gt;&lt;/span&gt;
&lt;span class="ml"&gt;&lt;span class="explanation_tag"&gt;lestの語源&lt;/span&gt;
lestは、古英語þy læs þeというフレーズにさかのぼる。現代英語で言えば、that（それによって）less（より少なく）the（その分だけ）にあたる。
&lt;span class="spacer"&gt;&lt;/span&gt;A þy læs þe B（A that less the B）は直訳すると、A〈それによって〉〈その分だけ〉Bの程度が〈より少なくなるように〉となる。
&lt;span class="spacer"&gt;&lt;/span&gt;その後、中英語においてþyが消失し、læs þe（その分だけ少なくなるように）が1語になってleste（現代のlest）になった。
&lt;span class="spacer"&gt;&lt;/span&gt;&lt;span class="explanation_tag"&gt;イメージ&lt;/span&gt;
［lest S (should) do ~］は、「S (should) do ~」の程度がlessになるように何かをするイメージ。そこから「Sが〜しないように, Sが〜するといけないから」という訳になる。&lt;/span&gt;</t>
  </si>
  <si>
    <t>&lt;span class="w"&gt;&lt;b&gt;【774.…, and ~ at that：…だ、その上〜だ】&lt;/b&gt;&lt;/span&gt;
&lt;span class="ml"&gt;&lt;span class="explanation_tag"&gt;イメージ&lt;/span&gt;
［…, and ~ at that］は、文の流れ通り、始まりから終わりまでの直訳からイメージをつかめばよい。
&lt;span class="spacer"&gt;&lt;/span&gt;まず［…］部分で何らかの情報を提示する。次にandで後半へと繋いで、［〜］で情報を追加し、最後にthat（前に述べた…部分全体）という点でね（at）という形で〈情報の追加〉を念押しする。
&lt;span class="spacer"&gt;&lt;/span&gt;きれいな日本語にすると「…だ、その上〜だ」という形になるが、直訳的な「…だ、そして〜だ、その点に関してね」というイメージを持っておけばよい。&lt;/span&gt;</t>
  </si>
  <si>
    <t>&lt;span class="w"&gt;&lt;b&gt;【777.go ahead：先に行く, 先へ進む】&lt;/b&gt;&lt;/span&gt;
&lt;span class="ml"&gt;&lt;span class="explanation_tag"&gt;語源&lt;/span&gt;
aheadは1620年代に、a（上に）と、head（先頭）が合わさってできた語。もともとは航海用語で船の前方を表したが、そこから一般的に「前へ」という意味になった。
&lt;span class="spacer"&gt;&lt;/span&gt;&lt;span class="explanation_tag"&gt;イメージ&lt;/span&gt;
［go ahead］は直訳の通り、「先に行く」「先へ進む」という意味になる。&lt;/span&gt;</t>
  </si>
  <si>
    <t>&lt;span class="w"&gt;&lt;b&gt;【778.check out ~：①〜を見てみる, 〜を点検する, ②（図書館などから）〜を借り出す】&lt;/b&gt;&lt;/span&gt;
&lt;span class="ml"&gt;&lt;span class="explanation_tag"&gt;イメージ&lt;/span&gt;
［check out A］は、注意を外側へ向けて（out）チェックすることから、①「〜を見てみる, 〜を点検する」という意味になる。
&lt;span class="spacer"&gt;&lt;/span&gt;また何かを確認して、外に出す・外に出ることから、「〜を借り出す」という意味になる。
&lt;span class="spacer"&gt;&lt;/span&gt;&lt;span class="explanation_tag"&gt;補足&lt;/span&gt;
check ~ outの語順にもなる。&lt;/span&gt;</t>
  </si>
  <si>
    <t>&lt;span class="w"&gt;&lt;b&gt;【781.give ~ a try：〜を試してみる】&lt;/b&gt;&lt;/span&gt;
&lt;span class="ml"&gt;&lt;span class="explanation_tag"&gt;イメージ&lt;/span&gt;
［give X a try］は直訳すると、「Xに1回の試みを与える」となる。そこから、気楽に「Xを試してみる」という意味になる。&lt;/span&gt;</t>
  </si>
  <si>
    <t>&lt;span class="w"&gt;&lt;b&gt;【782.give ~ a hand：〜に手を貸す】&lt;/b&gt;&lt;/span&gt;
&lt;span class="ml"&gt;［give X a hand］は直訳の通り、「手を貸す」という意味になる。&lt;/span&gt;</t>
  </si>
  <si>
    <t>&lt;span class="w"&gt;&lt;b&gt;【783.call back (~)：（〜に）折り返し電話をする, 〜を呼び戻す】&lt;/b&gt;&lt;/span&gt;
&lt;span class="ml"&gt;&lt;span class="explanation_tag"&gt;イメージ&lt;/span&gt;
［call back (~)］は、①電話をし返すことから「（〜に）折り返し電話をする」、②誰かを呼んで（call）戻す（back）ことから「〜を呼び戻す」という意味になる。
&lt;span class="spacer"&gt;&lt;/span&gt;&lt;span class="explanation_tag"&gt;補足&lt;/span&gt;
call ~ backの語順にもなる。&lt;/span&gt;</t>
  </si>
  <si>
    <t>&lt;span class="w"&gt;&lt;b&gt;【786.hold one's breath：息を止める】&lt;/b&gt;&lt;/span&gt;
&lt;span class="ml"&gt;&lt;span class="explanation_tag"&gt;イメージ&lt;/span&gt;
［hold one's breath］は、自分の息（one's breath）を保持する（hold）することから、「息を止める」という意味になる。&lt;/span&gt;</t>
  </si>
  <si>
    <t>&lt;span class="w"&gt;&lt;b&gt;【788.having said that：そうは言ったものの】&lt;/b&gt;&lt;/span&gt;
&lt;span class="ml"&gt;&lt;span class="explanation_tag"&gt;イメージ&lt;/span&gt;
［having said that］は、分詞構文が慣用的なフレーズになったもの。既に述べた内容をthatで示し、既に述べているということを時制が一つ前になっているhaving saidで示す。そこから「そうは言ったものの」という意味になる。&lt;/span&gt;</t>
  </si>
  <si>
    <t>&lt;span class="w"&gt;&lt;b&gt;【790.ask〈人〉a favor：〈人〉にお願いをする】&lt;/b&gt;&lt;/span&gt;
&lt;span class="ml"&gt;&lt;span class="explanation_tag"&gt;語源&lt;/span&gt;
名詞favorは、ラテン語favor（好意, 支持, 偏愛）に由来する。この語の核は、相手に対して好意を持つこと、そして好意を持って相手に何かをすること。
&lt;span class="spacer"&gt;&lt;/span&gt;14世紀半ばから「善意, 親切な配慮」、14世紀後期から「親切な行為」という意味で使われた。
&lt;span class="spacer"&gt;&lt;/span&gt;&lt;span class="explanation_tag"&gt;イメージ&lt;/span&gt;
［ask〈人〉a favor］は語源をもとに直訳すると、「人に対して、（自分への）好意や親切な行為を求める」となる。そこから、「〈人〉にお願いをする」という意味になる。&lt;/span&gt;</t>
  </si>
  <si>
    <t>&lt;span class="w"&gt;&lt;b&gt;【791.drive at ~：（be driving atで）～のつもりである】&lt;/b&gt;&lt;/span&gt;
&lt;span class="ml"&gt;&lt;span class="explanation_tag"&gt;語源&lt;/span&gt;
driveは、古英語drifan（何かを動かすように強いる, ある方向や方法へ押しやる）にさかのぼる。
&lt;span class="spacer"&gt;&lt;/span&gt;driveと聞くと「運転する」という意味が思い浮かぶかもしれないが、この語が使われた古英語の時代（500-1100年）には、当然車など存在しない。
&lt;span class="spacer"&gt;&lt;/span&gt;driveの核は、「何かをある方向に押しやる」こと。そこから馬車について、馬をコントロールして目的地まで向かわせるという意味になり、その後自動車の登場により、運転するという意味になった。
&lt;span class="spacer"&gt;&lt;/span&gt;&lt;span class="explanation_tag"&gt;イメージ&lt;/span&gt;
［drive at］は、会話において、少し遠回しな感じで話をある方向に向かわせているイメージ。そこから「〜のつもりである」という言葉の意図を表す意味になる。
&lt;span class="spacer"&gt;&lt;/span&gt;&lt;span class="explanation_tag"&gt;例&lt;/span&gt;
What are you driving at?
あなたは話を何に向かわせてるの？
&lt;span class="arrow"&gt;→&lt;/span&gt;あなたは何が言いたいの？
&lt;span class="arrow"&gt;→&lt;/span&gt;どういうつもり？
&lt;span class="spacer"&gt;&lt;/span&gt;Are you driving at the fact that it was my fault?
あなたは私のせいだという事実に話を向かわせているの？
&lt;span class="arrow"&gt;→&lt;/span&gt;あなたは私のせいだと言いたいの？&lt;/span&gt;</t>
  </si>
  <si>
    <t>lose (one's) face</t>
    <phoneticPr fontId="1"/>
  </si>
  <si>
    <t>&lt;span class="w"&gt;&lt;b&gt;【792.lose (one's) face：面目を失う】&lt;/b&gt;&lt;/span&gt;
&lt;span class="ml"&gt;&lt;span class="explanation_tag"&gt;イメージ&lt;/span&gt;
［lose (one's) face］は直訳すると「顔を失う」となる。この「顔」は世の中に向ける顔、つまり世間体・名誉・威信を表している。そこから「面目を失う」という意味になる。&lt;/span&gt;</t>
  </si>
  <si>
    <t>&lt;span class="w"&gt;&lt;b&gt;【793.before one knows it：あっという間に】&lt;/b&gt;&lt;/span&gt;
&lt;span class="ml"&gt;&lt;span class="explanation_tag"&gt;イメージ&lt;/span&gt;
［before S knows it］は直訳すると、「Sがそれを知る（気づく）前に」となる。状況や状態の変化を頭で認識してそれを意識する前に何かが起こっていることを表して、「あっという間に」という意味になる。&lt;/span&gt;</t>
  </si>
  <si>
    <t>stick around / about</t>
    <phoneticPr fontId="1"/>
  </si>
  <si>
    <t>&lt;span class="w"&gt;&lt;b&gt;【795.call it a day：その日の仕事を終える】&lt;/b&gt;&lt;/span&gt;
&lt;span class="ml"&gt;&lt;span class="explanation_tag"&gt;語源&lt;/span&gt;
1875年に学校の教師に関して使われている。
to close the school at noon and call it a day
正午に学校を閉めてその日の仕事を終わりにする
&lt;span class="spacer"&gt;&lt;/span&gt;1877年には、day's laborという形が見られる。
to call it a day’s labor
それを一日分の労働とみなす
&lt;span class="spacer"&gt;&lt;/span&gt;1902年までに、その日の仕事をやめる、努力を打ち切るという意味で使われた。
&lt;span class="spacer"&gt;&lt;/span&gt;&lt;span class="explanation_tag"&gt;イメージ&lt;/span&gt;
［call it a day］は、それ（＝その時点で行われた労働）を1日（分の仕事）と呼ぶことから、「その日の仕事を終える」「今日はここまでで切り上げる」という意味になる。
&lt;span class="spacer"&gt;&lt;/span&gt;&lt;span class="explanation_tag"&gt;補足&lt;/span&gt;
時間帯が夜であれば、［call it a &lt;strong&gt;night&lt;/strong&gt;］となる。&lt;/span&gt;</t>
  </si>
  <si>
    <t>&lt;span class="w"&gt;&lt;b&gt;【796.have (a) good command of ~：～を自由に使いこなす能力がある】&lt;/b&gt;&lt;/span&gt;
&lt;span class="ml"&gt;&lt;span class="explanation_tag"&gt;語源&lt;/span&gt;
動詞commandは、ラテン語com（強意）と、manus（手）、dare（与える）が合わさってできた語。
&lt;span class="spacer"&gt;&lt;/span&gt;もともとは何かを手渡すことや委ねることを表したが、そこから意味が強まって、権力をもって「命じる」という意味になった。また、命令によって他の人や物を動かすことから「指揮する」、軍事において指揮者が戦場全体を見渡すことから、一般的に「景色を見渡す」という意味にもなった。
&lt;span class="spacer"&gt;&lt;/span&gt;名詞commandは、この動詞から派生したもの。相手に命令して自分の思い通りにすることから、「何かを支配する力」や「言語や技術などを使いこなす能力」という意味が生まれた。
&lt;span class="spacer"&gt;&lt;/span&gt;&lt;span class="explanation_tag"&gt;イメージ&lt;/span&gt;
［have (a) good command of A］は、Aを自分のもののように支配して使いこなす優れた（good）能力を持っていることを表す。そこから「～を自由に使いこなす能力がある」という意味になる。&lt;/span&gt;</t>
  </si>
  <si>
    <t>&lt;span class="w"&gt;&lt;b&gt;【798.pay a visit (to ~)：（～を）訪問する】&lt;/b&gt;&lt;/span&gt;
&lt;span class="ml"&gt;&lt;span class="explanation_tag"&gt;イメージ&lt;/span&gt;
［pay a visit (to A)］のpayは、何かを与えることを意味する。（Aに対して）1度の訪問（a visit）を与えることから、「（〜を）訪れる」という意味になる。&lt;/span&gt;</t>
  </si>
  <si>
    <t>&lt;span class="w"&gt;&lt;b&gt;【799.S serve〈人〉right：Sは〈人〉に当然の報いだ】&lt;/b&gt;&lt;/span&gt;
&lt;span class="ml"&gt;&lt;span class="explanation_tag"&gt;語源&lt;/span&gt;
serveは、ラテン語servire（召使いである, 奉仕する）に由来する。召使いのように相手に接することから、何かに「仕える, 奉公する」という意味になった。
&lt;span class="spacer"&gt;&lt;/span&gt;service（サービス）も語源的にserveと関連し、こちらはラテン語servus（奴隷）にさかのぼる。奴隷が主人のためにあれこれすることが、現代のサービスへと発展した。
&lt;span class="spacer"&gt;&lt;/span&gt;またテニスの「サーブ」は英語serveから派生したもの。もともと貴族の遊びであるテニスの第一球目は、使用人がコートの横からボールを投げ入れていた。つまり、サーブとは使用人による奉仕だった。
&lt;span class="spacer"&gt;&lt;/span&gt;&lt;span class="explanation_tag"&gt;イメージ&lt;/span&gt;
［S serve〈人〉right］は語源的に考えると、Sがその人に正しく（right）仕えている（serve）ことを表す。出来事が主語になれば、その出来事が擬人化されて、出来事がその人に起きて（仕えて）当然である＝「Sは〈人〉に当然の報いだ」という意味になる。&lt;/span&gt;</t>
  </si>
  <si>
    <t>&lt;span class="w"&gt;&lt;b&gt;【802.turn a blind eye to ~：〜を見て見ぬふりをする】&lt;/b&gt;&lt;/span&gt;
&lt;span class="ml"&gt;&lt;span class="explanation_tag"&gt;イメージ&lt;/span&gt;
［turn a blind eye to A］は直訳すると、Aに対して（to A）見えない目（a blind eye）を向ける（turn）となる。つまり、Aという対象に目を向けても見ていないことから、「Aを見て見ぬふりをする」という意味になる。&lt;/span&gt;</t>
  </si>
  <si>
    <t>&lt;span class="w"&gt;&lt;b&gt;【804.know ~ by sight：〜を見て知っている】&lt;/b&gt;&lt;/span&gt;
&lt;span class="ml"&gt;&lt;span class="explanation_tag"&gt;イメージ&lt;/span&gt;
 ［know A by sight］は直訳すると、見ることによって（by sight）Aを知っている（know A）となる。つまり外見的にAを知っているが、話したことはほとんどなく、どのような人間なのかは知らないということを表して、「Aを見て知っている」という意味になる。&lt;/span&gt;</t>
  </si>
  <si>
    <t>&lt;span class="w"&gt;&lt;b&gt;【805.pull ~'s leg：からかう】&lt;/b&gt;&lt;/span&gt;
&lt;span class="ml"&gt;&lt;span class="explanation_tag"&gt;イメージ&lt;/span&gt;
［pull ~'s leg］は、誰かの足を引っかけるように、相手を軽く「からかう」ことを意味する。&lt;/span&gt;</t>
  </si>
  <si>
    <t>&lt;span class="w"&gt;&lt;b&gt;【807.have / take a look (at ~)：（〜を）見る】&lt;/b&gt;&lt;/span&gt;
&lt;span class="ml"&gt;&lt;span class="explanation_tag"&gt;イメージ&lt;/span&gt;
［have / take a look (at ~)］は直訳すると、「1回の見るという作業を持つ」となり、そこから「〜を見る」という意味になる。&lt;/span&gt;</t>
  </si>
  <si>
    <t>&lt;span class="w"&gt;&lt;b&gt;【808.What ~ like?：〜はどんなものか】&lt;/b&gt;&lt;/span&gt;
&lt;span class="ml"&gt;&lt;span class="explanation_tag"&gt;イメージ&lt;/span&gt;
［What ~ like?］は、元の形から考えれば理解しやすい。
&lt;span class="spacer"&gt;&lt;/span&gt;The new teacher is like [A].
新しい先生はAみたいだ
&lt;span class="spacer"&gt;&lt;/span&gt;The new teacher is like [what] ?
新しい先生は何みたい？
&lt;span class="spacer"&gt;&lt;/span&gt;[what] is the new teacher like?
新しい先生はどんな人？
&lt;span class="spacer"&gt;&lt;/span&gt;このようにwhatは、前置詞likeの目的語だったものなので、「〜はどんなものか」という疑問になる。&lt;/span&gt;</t>
  </si>
  <si>
    <t>&lt;span class="w"&gt;&lt;b&gt;【809.What ~ for?：どうして〜か, 何のために〜か】&lt;/b&gt;&lt;/span&gt;
&lt;span class="ml"&gt;&lt;span class="explanation_tag"&gt;イメージ&lt;/span&gt;
［What ~ for?］は、元の形から考えれば理解しやすい。
&lt;span class="spacer"&gt;&lt;/span&gt;You use this tool for [A].
Aのためにこの道具を使う
&lt;span class="spacer"&gt;&lt;/span&gt;You use this tool for [what] ?
何のためにこの道具を使う？
&lt;span class="spacer"&gt;&lt;/span&gt;[what] do you use this tool for?
何のためにこの道具を使うの？
どうしてこの道具を使うの？
&lt;span class="spacer"&gt;&lt;/span&gt;このようにwhatは、前置詞forの目的語だったものなので、「何のために, どうして」という疑問になる。&lt;/span&gt;</t>
  </si>
  <si>
    <t>&lt;span class="w"&gt;&lt;b&gt;【810.have no idea：見当もつかない】&lt;/b&gt;&lt;/span&gt;
&lt;span class="ml"&gt;&lt;span class="explanation_tag"&gt;イメージ&lt;/span&gt;
［have no idea］は直訳の通り、アイデアがゼロなので「見当もつかない」という意味になる。&lt;/span&gt;</t>
  </si>
  <si>
    <t>&lt;span class="w"&gt;&lt;b&gt;【811.could use ~：〜があればありがたい, 〜が欲しい】&lt;/b&gt;&lt;/span&gt;
&lt;span class="ml"&gt;&lt;span class="explanation_tag"&gt;イメージ&lt;/span&gt;
［could use A］は、「もしもAがあれば有効に使えるのになぁ」という、少し遠回しな「Aが欲しい, Aがあればありがたい」という表現。&lt;/span&gt;</t>
  </si>
  <si>
    <t>&lt;span class="w"&gt;&lt;b&gt;【812.How come (S V ~) ?：どうして（〜か）】&lt;/b&gt;&lt;/span&gt;
&lt;span class="ml"&gt;&lt;span class="explanation_tag"&gt;イメージ&lt;/span&gt;
［How come (S V ~) ?］は、次のような省略だと考えれば良い。
&lt;span class="spacer"&gt;&lt;/span&gt;&lt;strong&gt;How&lt;/strong&gt; did it &lt;strong&gt;come&lt;/strong&gt; about that S V ~ ?
SVはどのように起こったの？
＝どうしてSVになったの？
&lt;span class="spacer"&gt;&lt;/span&gt;また「どうやって（SVということが）来るのか」という直訳から、「どうして〜が起こるのか」＝「どうして〜か」とイメージすればよい。&lt;/span&gt;</t>
  </si>
  <si>
    <t>&lt;span class="w"&gt;&lt;b&gt;【813.take one's time：ゆっくりやる, 自分のペースでやる】&lt;/b&gt;&lt;/span&gt;
&lt;span class="ml"&gt;&lt;span class="explanation_tag"&gt;イメージ&lt;/span&gt;
［take one's time］は、誰かのペースに合わせるのではなく、その人自身の時間をかけるということから「ゆっくりやる, 自分のペースでやる」という意味になる。&lt;/span&gt;</t>
  </si>
  <si>
    <t>&lt;span class="w"&gt;&lt;b&gt;【814.take it easy：のんびり構える】&lt;/b&gt;&lt;/span&gt;
&lt;span class="ml"&gt;&lt;span class="explanation_tag"&gt;イメージ&lt;/span&gt;
［take it easy］のitは特定の何かを指す代名詞ではなく、状況や物事全体を漠然と表す。状況や物事（it）を気楽に（easy）とらえる（take）ことから、「のんびり構える」という意味になる。&lt;/span&gt;</t>
  </si>
  <si>
    <t>&lt;span class="w"&gt;&lt;b&gt;【815.My pleasure.：どういたしまして】&lt;/b&gt;&lt;/span&gt;
&lt;span class="ml"&gt;&lt;span class="explanation_tag"&gt;イメージ&lt;/span&gt;
［My pleasure］は、Thank you.という感謝の言葉に対して、It's my pleasure.（それは私の喜びでした＝お役に立ててよかったです＝どういたしまして）からIt‘sがなくなったと考えればよい。&lt;/span&gt;</t>
  </si>
  <si>
    <t>&lt;span class="w"&gt;&lt;b&gt;【816.make oneself understood：自分の言うことを相手にわからせる】&lt;/b&gt;&lt;/span&gt;
&lt;span class="ml"&gt;&lt;span class="explanation_tag"&gt;イメージ&lt;/span&gt;
［make oneself understood］は直訳すると、自分自身（oneself）を理解された状態（understood）にする（make）となる。つまり、自分の言葉を相手に理解されるようにすることから、「自分の言うことを相手にわからせる」という意味になる。&lt;/span&gt;</t>
  </si>
  <si>
    <t>&lt;span class="w"&gt;&lt;b&gt;【818.think again：考え直す】&lt;/b&gt;&lt;/span&gt;
&lt;span class="ml"&gt;&lt;span class="explanation_tag"&gt;イメージ&lt;/span&gt;
［think again］は直訳の通り、もう一度考える＝「考え直す」という意味になる。&lt;/span&gt;</t>
  </si>
  <si>
    <t>&lt;span class="w"&gt;&lt;b&gt;【820.I'm afraid not.：残念ながらそうではない】&lt;/b&gt;&lt;/span&gt;
&lt;span class="ml"&gt;&lt;span class="explanation_tag"&gt;イメージ&lt;/span&gt;
［I'm afraid not.］は、I'm afraid that it is not so.（そうではないことが残念です）という表現のthatいかが、notの1語だけに省略されたものだと考えればよい。
&lt;span class="spacer"&gt;&lt;/span&gt;「残念ながらそのようです」の場合は、I‘m afraid so.となる。&lt;/span&gt;</t>
  </si>
  <si>
    <t>&lt;span class="w"&gt;&lt;b&gt;【821.treat A to B：AにBをごちそうする, おごる】&lt;/b&gt;&lt;/span&gt;
&lt;span class="ml"&gt;&lt;span class="explanation_tag"&gt;語源&lt;/span&gt;
treatは、物事を「扱う」、医療において「治療する」といった「対象を扱う」という意味から発展して、1710年代から「食事でもてなす」という意味がある。
&lt;span class="spacer"&gt;&lt;/span&gt;&lt;span class="explanation_tag"&gt;イメージ&lt;/span&gt;
［treat A to B］は直訳すると、「食事・物・娯楽などのBに向けてAを扱う」となる。どうぞどうぞとBの方にAを連れて行って、Aを扱うイメージから、「AにBをごちそうする, おごる」という意味になる。&lt;/span&gt;</t>
  </si>
  <si>
    <t>&lt;span class="w"&gt;&lt;b&gt;【823.come to think of it：考えてみると】&lt;/b&gt;&lt;/span&gt;
&lt;span class="ml"&gt;&lt;span class="explanation_tag"&gt;イメージ&lt;/span&gt;
［come to think of it］は、come to do（徐々に〜するようになる, doに至る）と、think of A（Aについて考える）が合わさったもの。
&lt;span class="spacer"&gt;&lt;/span&gt;直訳すると「それについて考える（think of it）ようになると（come to）」になる。このまま覚えてもよいし、すっきりまとめた「考えてみると」という訳で覚えてもよい。&lt;/span&gt;</t>
  </si>
  <si>
    <t>&lt;span class="w"&gt;&lt;b&gt;【825.Legend has it (that) S V ~：伝説によると〜ということだ】&lt;/b&gt;&lt;/span&gt;
&lt;span class="ml"&gt;&lt;span class="explanation_tag"&gt;イメージ&lt;/span&gt;
［Legend has it (that) S V ~］は直訳すると、「伝説はit＝that S Vを持っている」となる。つまり、伝説の中に「SがVすること」という話が含まれているので、「伝説によると〜ということだ」という訳になる。&lt;/span&gt;</t>
  </si>
  <si>
    <t>&lt;span class="w"&gt;&lt;b&gt;【826.Here we are.：さぁ着いた, ほらここにあった, はいできた】&lt;/b&gt;&lt;/span&gt;
&lt;span class="ml"&gt;&lt;span class="explanation_tag"&gt;イメージ&lt;/span&gt;
［Here we are.］は、hereが目的への到達・開始地点への到着を表し、「さぁ我々は目的に着いたぞ」「さぁ我々はスタートに着いたぞ」というニュアンスになる。そこから、目的地に「さぁ着いた」、目的のものが「ほらあった」、何かが完成して「はいできた」といった意味になる。&lt;/span&gt;</t>
  </si>
  <si>
    <t>&lt;span class="w"&gt;&lt;b&gt;【828.watch one's step：足元に気をつける, 行動や言動に気をつける】&lt;/b&gt;&lt;/span&gt;
&lt;span class="ml"&gt;&lt;span class="explanation_tag"&gt;イメージ&lt;/span&gt;
［watch one's step］は直訳すると、自分の1歩1歩（one's step）を注意して見る（watch）となる。そこから「足元に気をつける」という意味になる。
&lt;span class="spacer"&gt;&lt;/span&gt;また、実際に滑ったり落ちたりしないように足元に気をつけることから、比喩的に、自分の行動や言動によってトラブルや失敗を起こさないように気をつける＝「行動や言動に気をつける」という意味にもなる。&lt;/span&gt;</t>
  </si>
  <si>
    <t>&lt;span class="w"&gt;&lt;b&gt;【829.give one's regards to ~：（手紙・伝言などで）〜によろしく伝える】&lt;/b&gt;&lt;/span&gt;
&lt;span class="ml"&gt;&lt;span class="explanation_tag"&gt;語源&lt;/span&gt;
動詞regardは、古フランス語re（強意）と、garder（見る, 注意する）が合わさってできた語。このgarderは、ボディガードのguard（監視者）の語源でもある。つまり、regardのgard部分の意味の核は「注意して見る」。
&lt;span class="spacer"&gt;&lt;/span&gt;ここからまず「注意を払う」という意味になる。
&lt;span class="spacer"&gt;&lt;/span&gt;次に、何かに注意を向けるということは、その対象に注意を向ける価値があるということ。そこから「評価する, 敬意を払う」という意味になる。
&lt;span class="spacer"&gt;&lt;/span&gt;ここでは名詞regardが使われており、「尊敬, 敬意」を意味する。
&lt;span class="spacer"&gt;&lt;/span&gt;&lt;span class="explanation_tag"&gt;イメージ&lt;/span&gt;
［give one's regards to A］は直訳すると、Aに対して（to A）自分の敬意や尊敬の気持ち（one's regards）を渡しておいてください（give）となる。これを日本語で表現すると「よろしく伝える」となる。&lt;/span&gt;</t>
  </si>
  <si>
    <t>&lt;span class="w"&gt;&lt;b&gt;【830.You're kidding (me).：冗談でしょう】&lt;/b&gt;&lt;/span&gt;
&lt;span class="ml"&gt;&lt;span class="explanation_tag"&gt;イメージ&lt;/span&gt;
kidding（動詞kid）は、おそらく子どものように扱うことから、「冗談を言う」という意味になった。
&lt;span class="spacer"&gt;&lt;/span&gt;［You're kidding (me).］は直訳すれば、「あなたは（私を）からかっているでしょう」＝「冗談でしょう」となる。&lt;/span&gt;</t>
  </si>
  <si>
    <t>&lt;span class="w"&gt;&lt;b&gt;【995.vulnerable：（攻撃などに）弱い, もろい, 傷つきやすい】&lt;/b&gt;&lt;/span&gt;
&lt;span class="ml"&gt;ラテン語に由来する語で、以下の2つの要素から成る。
&lt;span class="spacer"&gt;&lt;/span&gt;vulnus（傷）
bilis（可能, 可能性）
&lt;span class="spacer"&gt;&lt;/span&gt;この語の核は「傷」と「可能性」。
→物理的、精神的、そして抽象的に傷がつくということを表し、「弱い, もろい, 傷つきやすい」という意味になった。抽象的とは、たとえば国やシステムなどが傷つきやすい、つまり脆いということを意味する。&lt;/span&gt;</t>
  </si>
  <si>
    <t>&lt;span class="w"&gt;&lt;b&gt;【835.be liable to do / to 名詞：〜しがちである, 〜を受けやすい, 〜に責任がある】&lt;/b&gt;&lt;/span&gt;
&lt;span class="ml"&gt;&lt;span class="explanation_tag"&gt;語源&lt;/span&gt;
liableは、ラテン語ligere（縛る, 結びつける, 義務で拘束する）に由来する。
&lt;span class="spacer"&gt;&lt;/span&gt;［S be liable to do / to 名詞A］は、Sが動詞（do）や名詞Aに対して縛り付けられているイメージ。縛り付けられてぎゅっと結びついているから、他の動詞ではなくdo「しがちである」、名詞Aを「受けやすい」という意味になる。
&lt;span class="spacer"&gt;&lt;/span&gt;また、語源となったラテン語の「義務で拘束する」というニュアンスが残っており、「Aに責任がある」という意味にもなる。&lt;/span&gt;</t>
  </si>
  <si>
    <t>&lt;span class="w"&gt;&lt;b&gt;【840.be worth doing：〜する価値がある】&lt;/b&gt;&lt;/span&gt;
&lt;span class="ml"&gt;&lt;span class="explanation_tag"&gt;語源&lt;/span&gt;
worthは、古英語weorþ（価値がある）にさかのぼる。この語は、中英語期の1200年頃から前置詞的に使われるようになった。
&lt;span class="spacer"&gt;&lt;/span&gt;［be wroth doing］は、前置詞的なworthの後にdoingが置かれて、「〜する価値がある」という意味になる。&lt;/span&gt;</t>
  </si>
  <si>
    <t>&lt;span class="w"&gt;&lt;b&gt;【842.be all ears：一心に耳を傾ける】&lt;/b&gt;&lt;/span&gt;
&lt;span class="ml"&gt;&lt;span class="explanation_tag"&gt;イメージ&lt;/span&gt;
［S be all ears］は直訳すると、「Sが全て（両）耳になる」となる。両耳で何かを聞くことに完全に集中していることから、「一心に耳を傾ける」という意味になる。&lt;/span&gt;</t>
  </si>
  <si>
    <t>&lt;span class="w"&gt;&lt;b&gt;【845.be (all) the rage：（大）流行している】&lt;/b&gt;&lt;/span&gt;
&lt;span class="ml"&gt;&lt;span class="spacer"&gt;&lt;/span&gt;&lt;span class="explanation_tag"&gt;語源&lt;/span&gt;
rageは、ラテン語rabies（狂気, 激怒）に由来する。ラテン語からあまり変わらず、現代でも「激怒」や、狂ったような「激しさ」を意味する。
&lt;span class="spacer"&gt;&lt;/span&gt;1785年からは、the rageで「流行」を意味するようになった。これは激怒や狂ったような激しさから比喩的に、一気に人々の間に広まり社会的なブームになる様子を表している。
&lt;span class="spacer"&gt;&lt;/span&gt;そこから［be (all) the rage］は、「（大）流行している」という意味になる。このallは、the rage（流行）を強調している。&lt;/span&gt;</t>
  </si>
  <si>
    <t>&lt;span class="w"&gt;&lt;b&gt;【550.be similar to ~：～に似ている】&lt;/b&gt;&lt;/span&gt;
&lt;span class="ml"&gt;&lt;span class="explanation_tag"&gt;語源&lt;/span&gt;
similarは、ラテン語semol（一緒に）から派生したsimilis（似ている）に由来する語。さらにさかのぼると印欧祖語*sem-（同じ）に行きつく。この印欧祖語は、英語sameの語源でもある。
&lt;span class="spacer"&gt;&lt;/span&gt;［be similar to A］は、Aに対して（to A）似ている（similar）ことから、そのまま「Aに似ている」となる。&lt;/span&gt;</t>
    <rPh sb="42" eb="43">
      <t>ニ</t>
    </rPh>
    <phoneticPr fontId="1"/>
  </si>
  <si>
    <t>&lt;span class="w"&gt;&lt;b&gt;【8.allow：～を許す, ～を考慮に入れる, ～を与える】&lt;/b&gt;&lt;/span&gt;
&lt;span class="ml"&gt;allowは2つのラテン語の単語がひとつになってできたので、それぞれ分けて考えるとよい。
&lt;span class="spacer"&gt;&lt;/span&gt;1つはallaudere（賞賛する）という語。賞賛という評価を行う場合、評価の前に考慮が必要となる。つまり様々なポイントを考慮した結果、評価が生まれる。ここから「何かを考慮に入れる」という意味になる。
&lt;span class="spacer"&gt;&lt;/span&gt;もう1つはallocare（～へ置く）という語。相手に対して何かを置くということから、何かを「与える」という意味になる。
&lt;span class="spacer"&gt;&lt;/span&gt;そして最後に、賞賛と与えるという2つの意味から、相手のことを認めて何かを与える＝相手の要求を認めて「許可する」という意味になる。&lt;/span&gt;</t>
  </si>
  <si>
    <t>&lt;span class="w"&gt;&lt;b&gt;【26.deal：～を分配する, （deal with）～を扱う, （deal in）～を商う】&lt;/b&gt;&lt;/span&gt;
&lt;span class="ml"&gt;古英語dælan（分配する）にさかのぼる語。
&lt;span class="spacer"&gt;&lt;/span&gt;この語の核は「分配する」という意味。分配する相手は、何らかの関係がある者。例えばディーラーがトランプを配るのはゲームの参加者であって、無関係な人には配らない。
&lt;span class="spacer"&gt;&lt;/span&gt;ここからdeal with Aで、Aと何らかの形で関わる＝「Aを扱う, 処理する」という意味になる。
&lt;span class="spacer"&gt;&lt;/span&gt;また、dealは利益の分配というビジネス要素と結びつき、［deal in A］で、Aを商売として扱うビジネスにおいて利益を分配することから、「Aを取り扱う, 商う」という意味になる。&lt;/span&gt;</t>
  </si>
  <si>
    <t>&lt;span class="w"&gt;&lt;b&gt;【147.account：説明, 勘定, 口座】&lt;/b&gt;&lt;/span&gt;
&lt;span class="ml"&gt;ラテン語のcom（共に）＋putare（計算する）を経た古フランス語に由来し、以下の2つの要素から成る。
&lt;span class="spacer"&gt;&lt;/span&gt;a（～へ）
cont（計算）
&lt;span class="spacer"&gt;&lt;/span&gt;このまま日本語にすると「〜への計算」となる。これは特にお金の計算やそれに関する意味へと発展していく。
&lt;span class="spacer"&gt;&lt;/span&gt;お金のやり取りの計算やそれを記したものから「勘定, 口座」という意味になる。また、預かっているお金がどうなっているかを詳細に説明することから、一般的な行動の「説明」という意味になる。&lt;/span&gt;</t>
  </si>
  <si>
    <t>&lt;span class="w"&gt;&lt;b&gt;【205.attend：～を世話をする, ～を対処する, ～を出席する】&lt;/b&gt;&lt;/span&gt;
&lt;span class="ml"&gt;ラテン語に由来する語で、以下の2つの要素から成る。
&lt;span class="spacer"&gt;&lt;/span&gt;ad（～へ）
tendere（伸ばす）
&lt;span class="spacer"&gt;&lt;/span&gt;このまま日本語にすると「何かへ伸ばす」となる。心や労力を相手へ伸ばすことから「世話をする」という意味になる。
&lt;span class="spacer"&gt;&lt;/span&gt;また、世話をするために付き添う＝一緒にどこかへ行くということから発展して、「出席する」という意味になる。
&lt;span class="spacer"&gt;&lt;/span&gt;そして労力を問題へ伸ばすことから「対処する」という意味になる。
&lt;div class="sample_image attend"&gt;&lt;/div&gt;&lt;/span&gt;</t>
  </si>
  <si>
    <t>&lt;span class="w"&gt;&lt;b&gt;【411.settle：〜を解決する, 定住する, 〜を落ち着かせる】&lt;/b&gt;&lt;/span&gt;
&lt;span class="ml"&gt;古英語setl（座席）から派生した動詞setlan（座席に座らせる, 固定位置に置く）にさかのぼる。
&lt;span class="spacer"&gt;&lt;/span&gt;この語は、何かをある場所に置いて動かないようにするイメージ。そこから、人の気持ちを「落ち着かせる」、ある場所に落ち着く＝「定住する」、物事を落ち着かせる＝「解決する」という意味になる。
&lt;div class="sample_image settle"&gt;&lt;/div&gt;&lt;/span&gt;</t>
  </si>
  <si>
    <t>&lt;span class="w"&gt;&lt;b&gt;【1038.persist：続く, 固執する】&lt;/b&gt;&lt;/span&gt;
&lt;span class="ml"&gt;ラテン語に由来する語で、以下の2つの要素から成る。
&lt;span class="spacer"&gt;&lt;/span&gt;per（完全に）
sistere（立つ）
&lt;span class="spacer"&gt;&lt;/span&gt;このまま日本語にすると「完全に立つ」となる。何があっても立ち続け、その場から動かないイメージから、その状態や行動が「続く」、何かに「固執する」という意味になる。
&lt;div class="sample_image persist"&gt;&lt;/div&gt;&lt;/span&gt;</t>
  </si>
  <si>
    <t>&lt;span class="w"&gt;&lt;b&gt;【1275.consent：同意, 承諾】&lt;/b&gt;&lt;/span&gt;
&lt;span class="ml"&gt;ラテン語に由来する語で、以下の2つの要素から成る。
&lt;span class="spacer"&gt;&lt;/span&gt;con（共に）
sentire（感じる）
&lt;span class="spacer"&gt;&lt;/span&gt;このまま日本語にすると「共に感じる」となる。感情や判断が一致することから「同意, 承諾」という意味になった。&lt;/span&gt;</t>
  </si>
  <si>
    <t>&lt;span class="w"&gt;&lt;b&gt;【849.yearn for ~：〜を恋しがる, 〜に憧れる】&lt;/b&gt;&lt;/span&gt;
&lt;span class="ml"&gt;&lt;span class="explanation_tag"&gt;語源&lt;/span&gt;
yearnは、中英語yernen（強く望む）にさかのぼる。ここからほとんど意味が変わっていない。
&lt;span class="spacer"&gt;&lt;/span&gt;［yearn for A］は、Aを強く求めるということを表す。そこから「〜を恋しがる, 〜に憧れる」といった訳になる。&lt;/span&gt;</t>
  </si>
  <si>
    <t>&lt;span class="w"&gt;&lt;b&gt;【850.count for 程度表現：〜の価値を持つ, 〜の重要性を持つ】&lt;/b&gt;&lt;/span&gt;
&lt;span class="ml"&gt;&lt;span class="explanation_tag"&gt;イメージ&lt;/span&gt;
countは「数える, 数に入る」という意味。不要なものとして切り捨てるのではなく、必要なものとしてカウントすることから、何かの「価値を持つ, 重要性を持つ」となる。
&lt;span class="spacer"&gt;&lt;/span&gt;［S count for 程度表現］は、〈程度表現〉の価値があることを表す。
&lt;span class="spacer"&gt;&lt;/span&gt;&lt;span class="explanation_tag"&gt;例&lt;/span&gt;
count for &lt;strong&gt;a lot&lt;/strong&gt;
非常に重要である
&lt;span class="spacer"&gt;&lt;/span&gt;count for &lt;strong&gt;much&lt;/strong&gt;
大きな意味を持つ
&lt;span class="spacer"&gt;&lt;/span&gt;count for &lt;strong&gt;little&lt;/strong&gt;
ほとんど意味を持たない
&lt;span class="spacer"&gt;&lt;/span&gt;count for &lt;strong&gt;nothing&lt;/strong&gt;
全く価値がない
&lt;span class="spacer"&gt;&lt;/span&gt;count for &lt;strong&gt;something&lt;/strong&gt;
多少は意味がある&lt;/span&gt;</t>
  </si>
  <si>
    <t>&lt;span class="w"&gt;&lt;b&gt;【851.cope with ~：〜に対処する】&lt;/b&gt;&lt;/span&gt;
&lt;span class="ml"&gt;&lt;span class="explanation_tag"&gt;語源&lt;/span&gt;
copeはもともと打つ・殴るという意味だったが、18世紀頃までに「対処する」という意味へと発展した。
&lt;span class="spacer"&gt;&lt;/span&gt;これは、北海において「取引する」を意味した交易用語の影響を受けたと考えられる。取引においてうまくやり取りすることから、物事に「対処する」となったと考えられる。
&lt;span class="spacer"&gt;&lt;/span&gt;そこから［cope with A］は、「Aに対処する」という意味になる。&lt;/span&gt;</t>
  </si>
  <si>
    <t>&lt;span class="w"&gt;&lt;b&gt;【859.deal in ~：（商品）を取り扱う, 〜を商う】&lt;/b&gt;&lt;/span&gt;
&lt;span class="ml"&gt;&lt;span class="explanation_tag"&gt;語源&lt;/span&gt;
dealは、古英語dælan（分配する）にさかのぼる語。
&lt;span class="spacer"&gt;&lt;/span&gt;この語の核は「分配する」という意味。分配する相手は、何らかの関係がある者。例えばディーラーがトランプを配るのはゲームの参加者であって、無関係な人には配らない。
&lt;span class="spacer"&gt;&lt;/span&gt;ここから［deal with A］で、Aと何らかの形で関わる＝「Aを扱う, 処理する」という意味になる。
&lt;span class="spacer"&gt;&lt;/span&gt;また、dealは利益の分配というビジネス要素と結びつき、［deal in A］で、Aを商売として扱うビジネスにおいて利益を分配することから、「Aを取り扱う, 商う」という意味になる。&lt;/span&gt;</t>
  </si>
  <si>
    <t>&lt;span class="w"&gt;&lt;b&gt;【861.indulge in ~：思う存分〜する, 〜にふける】&lt;/b&gt;&lt;/span&gt;
&lt;span class="ml"&gt;&lt;span class="explanation_tag"&gt;語源&lt;/span&gt;
indulgeは、ラテン語indulgere（ふける, 身を任せる）に由来する。ラテン語より前の語源は不明だが、inは「否定」を表し、後半部分は「固定される, 身を投じる」といった意味の可能性がある。
&lt;span class="spacer"&gt;&lt;/span&gt;つまり、自分の身や心が何かに固定されることなく解き放たれており、欲望に身を任せることを表す。
&lt;span class="spacer"&gt;&lt;/span&gt;そこから［indulge in A］は、欲望に任せてAの中に身を任せることから、「思う存分Aをする, Aにふける」という意味になる。&lt;/span&gt;</t>
  </si>
  <si>
    <t>&lt;span class="w"&gt;&lt;b&gt;【43.company：仲間, 会社】&lt;/b&gt;&lt;/span&gt;
&lt;span class="ml"&gt;ラテン語に由来する語で、以下の2つの要素から成る。
&lt;span class="spacer"&gt;&lt;/span&gt;com（共に）
panis（パン）
&lt;span class="spacer"&gt;&lt;/span&gt;このまま日本語にすると「共にパン（を食べる）」となる。日本語でも「同じ釜の飯を食う」という言葉があるが、食事を共にするということは「仲間」を表す。さらにこの意味から、商業的な仲間の集まりである「会社」にもなる。&lt;/span&gt;</t>
  </si>
  <si>
    <t>&lt;span class="w"&gt;&lt;b&gt;【247.pain：苦痛, 痛み, （painsで）骨折り】&lt;/b&gt;&lt;/span&gt;
&lt;span class="ml"&gt;ギリシャ語poinē（報復, 刑罰）に由来する。
&lt;span class="spacer"&gt;&lt;/span&gt;古代の報復や刑罰による苦しみが、一般的な意味での「苦痛, 痛み」となる。さらにそこから、苦痛を伴いながら何かを行うという「苦労, 骨折り」という意味にもなる。
&lt;span class="spacer"&gt;&lt;/span&gt;&lt;span class="obsolete"&gt;骨折り：努力した割に疲労しか得られなかった「骨折り損のくたびれ儲け」の「骨折り」と同じ意味。&lt;/span&gt;&lt;/span&gt;</t>
  </si>
  <si>
    <t>&lt;span class="w"&gt;&lt;b&gt;【276.track：跡, 軌道, 鉄道の番線】&lt;/b&gt;&lt;/span&gt;
&lt;span class="ml"&gt;古フランス語trac（馬の足跡, 痕跡）に由来する。
&lt;span class="spacer"&gt;&lt;/span&gt;馬の足跡は馬が通った跡のこと。ここから何かが通ってできた「跡, 軌道」や、鉄道が通る「番線」という意味になる。
&lt;span class="spacer"&gt;&lt;/span&gt;またレース用の陸上トラックや、蓄音機でレコードに跡（溝）をつけて録音した楽曲（トラック）も指す。&lt;/span&gt;</t>
  </si>
  <si>
    <t>fascinateは「対象の注意や関心をくぎ付けにする」イメージ。</t>
  </si>
  <si>
    <t>&lt;span class="w"&gt;&lt;b&gt;【369.do with ~：①（could do with）〜があればありがたい, ②（be / have done with）〜を終わらせた, ③（whatを伴って）〜を対処する】&lt;/b&gt;&lt;/span&gt;
&lt;span class="ml"&gt;&lt;span class="explanation_tag"&gt;イメージ&lt;/span&gt;
［do with A］の核は、「Aを使って何かをする」「Aに対して何かをする」という2つの直訳。この直訳をもとに、それぞれの意味を理解すればよい。
&lt;span class="spacer"&gt;&lt;/span&gt;&lt;span class="explanation_tag"&gt;could do with A&lt;/span&gt;
直訳：Aを使って何かできればなぁ
&lt;span class="arrow"&gt;→&lt;/span&gt;Aがあればなぁ
&lt;span class="arrow"&gt;→&lt;/span&gt;「Aがあればありがたい」
&lt;span class="spacer"&gt;&lt;/span&gt;&lt;span class="explanation_tag"&gt;be / have done with A&lt;/span&gt;
直訳：Aに対して完了させた（done）
&lt;span class="arrow"&gt;→&lt;/span&gt;「Aを終わらせた」
&lt;span class="spacer"&gt;&lt;/span&gt;&lt;span class="explanation_tag"&gt;what ~ do with A&lt;/span&gt;
直訳：Aに対して何をすればよいか
&lt;span class="arrow"&gt;→&lt;/span&gt;「どのようにAに対処するか」
&lt;span class="spacer"&gt;&lt;/span&gt;いずれの意味でも、「Aを使って何かをする」「Aに対して何かをする」という核から理解すればよい。&lt;/span&gt;</t>
  </si>
  <si>
    <t>&lt;span class="w"&gt;&lt;b&gt;【868.work out (~)：①うまくいく, 〜を解決する, （答えや計画）を考え出す, ②運動する】&lt;/b&gt;&lt;/span&gt;
&lt;span class="ml"&gt;&lt;span class="explanation_tag"&gt;イメージ&lt;/span&gt;
［work out］の根本的なイメージは、継続的な労働や努力によって結果を生み出す・達成する・手に入れる感じ。
&lt;span class="spacer"&gt;&lt;/span&gt;①たくさん意味があるが、根本的なイメージを覚えておけばよい。労力をかけたり努力をしたりして（work）結果を生み出す（out）ことから、「うまくいく, 〜を解決する, （答えや計画）を考え出す」といった意味になる。
&lt;span class="spacer"&gt;&lt;/span&gt;②エネルギーを使って（work）力を出す（out）ことが、ボクシングのスパーリング（試合形式の練習）に対して使われたことから発展して、一般的な「運動する」という意味になった。
&lt;span class="spacer"&gt;&lt;/span&gt;&lt;span class="explanation_tag"&gt;補足&lt;/span&gt;
①はwork ~ outの語順にもなる。&lt;/span&gt;</t>
  </si>
  <si>
    <t>&lt;span class="w"&gt;&lt;b&gt;【870.single out ~：〜を（1つだけ）選び出す】&lt;/b&gt;&lt;/span&gt;
&lt;span class="ml"&gt;&lt;span class="explanation_tag"&gt;イメージ&lt;/span&gt;
［single out A］は、シングル（1つ）を外に出すことから、「〜を（1つだけ）選び出す」という意味になる。&lt;/span&gt;</t>
  </si>
  <si>
    <t>&lt;span class="w"&gt;&lt;b&gt;【872.miss out on ~：（機会）を逃す, ～を取り逃す】&lt;/b&gt;&lt;/span&gt;
&lt;span class="ml"&gt;&lt;span class="explanation_tag"&gt;イメージ&lt;/span&gt;
［miss out on A］は、ある機会や利益について（on）、それを得る外側にいて（out）逃すイメージから、「（機会）を逃す, ～を取り逃す」という意味になる。&lt;/span&gt;</t>
    <rPh sb="39" eb="41">
      <t>キカイ</t>
    </rPh>
    <rPh sb="43" eb="44">
      <t>ノガ</t>
    </rPh>
    <rPh sb="49" eb="50">
      <t>ト</t>
    </rPh>
    <rPh sb="51" eb="52">
      <t>ノガ</t>
    </rPh>
    <rPh sb="144" eb="146">
      <t>キカイ</t>
    </rPh>
    <rPh sb="147" eb="149">
      <t>リエキ</t>
    </rPh>
    <rPh sb="161" eb="162">
      <t>エ</t>
    </rPh>
    <rPh sb="163" eb="165">
      <t>ソトガワ</t>
    </rPh>
    <rPh sb="173" eb="174">
      <t>ノガ</t>
    </rPh>
    <rPh sb="202" eb="204">
      <t>イミ</t>
    </rPh>
    <phoneticPr fontId="1"/>
  </si>
  <si>
    <t>&lt;span class="w"&gt;&lt;b&gt;【875.throw up (~)：①〜を投げ上げる, 〜をさっとあげる, ②〜を吐く】&lt;/b&gt;&lt;/span&gt;
&lt;span class="ml"&gt;&lt;span class="explanation_tag"&gt;イメージ&lt;/span&gt;
［throw up (~)］は、上方向に何かを投げる動きをイメージすればよい。そこから物理的に、①何かを「投げ上げる, さっとあげる」という意味になる。
&lt;span class="spacer"&gt;&lt;/span&gt;また物を上に投げるように、胃のなかのものがグッと上がってきて外に出ることから、「〜を吐く」という意味になる。
&lt;span class="spacer"&gt;&lt;/span&gt;&lt;span class="explanation_tag"&gt;補足&lt;/span&gt;
throw ~ upの語順にもなる。&lt;/span&gt;</t>
  </si>
  <si>
    <t>&lt;span class="w"&gt;&lt;b&gt;【878.get away with ~：①（罰を受けずに）〜をうまくやる, ②〜を持ち逃げする】&lt;/b&gt;&lt;/span&gt;
&lt;span class="ml"&gt;&lt;span class="explanation_tag"&gt;イメージ&lt;/span&gt;
［get away with A］は、get away（逃げる）と、with A（Aの状態で, Aを持って）の2つで考えればよい。
&lt;span class="spacer"&gt;&lt;/span&gt;①悪いことをした状況のまま逃げることから、「（罰を受けずに）Aをうまくやる」という意味になる。
&lt;span class="spacer"&gt;&lt;/span&gt;②何かを持ったまま逃げることから、「Aを持ち逃げする」という意味になる。&lt;/span&gt;</t>
  </si>
  <si>
    <t>&lt;span class="w"&gt;&lt;b&gt;【879.shy away (from ~)：（〜を）避ける】&lt;/b&gt;&lt;/span&gt;
&lt;span class="ml"&gt;&lt;span class="explanation_tag"&gt;語源&lt;/span&gt;
動詞shy（避ける）は、日本語でも使われる形容詞shy（シャイ）が表す、人との接触を避ける様子から派生した語。
&lt;span class="spacer"&gt;&lt;/span&gt;&lt;span class="explanation_tag"&gt;イメージ&lt;/span&gt;［shy away (from A)］は、Aから遠ざかって避けるイメージで、「Aを避ける」という意味になる。&lt;/span&gt;</t>
  </si>
  <si>
    <t>&lt;span class="w"&gt;&lt;b&gt;【881.get down to ~：（仕事・問題など）に本気で取りかかる】&lt;/b&gt;&lt;/span&gt;
&lt;span class="ml"&gt;&lt;span class="explanation_tag"&gt;イメージ&lt;/span&gt;
［S get C］は、「SがCの状態になる」を意味する。
&lt;span class="spacer"&gt;&lt;/span&gt;［get down to A］は、Aに向かって（to A）姿勢を低くして構えた状態（down）になる（get）イメージ。これは、本気でAに対して向かうことを表して、「（仕事・問題など）に本気で取りかかる」という意味になる。&lt;/span&gt;</t>
  </si>
  <si>
    <t>&lt;span class="w"&gt;&lt;b&gt;【882.let down ~：〜を失望させる】&lt;/b&gt;&lt;/span&gt;
&lt;span class="ml"&gt;&lt;span class="explanation_tag"&gt;イメージ&lt;/span&gt;
［let down A］は、文字通りの「何かを降ろす」という物理的な意味から、誰かの気持ちや希望を下げるということへと転じて、「〜を失望させる」という意味にもなった。
&lt;span class="spacer"&gt;&lt;/span&gt;&lt;span class="explanation_tag"&gt;補足&lt;/span&gt;
let ~ downの語順にもなる。&lt;/span&gt;</t>
  </si>
  <si>
    <t>&lt;span class="w"&gt;&lt;b&gt;【885.find oneself ~：（気がつくと）〜である】&lt;/b&gt;&lt;/span&gt;
&lt;span class="ml"&gt;&lt;span class="explanation_tag"&gt;イメージ&lt;/span&gt;
［find oneself ~］は、第5文型のfind O Cなので、直訳すると「OがCであると気づく」となる。ここではO＝oneself（自分自身）なので、自分自身の状態に気がつくことを表して、「（気がつくと）〜である」という意味になる。
&lt;span class="spacer"&gt;&lt;/span&gt;「〜」部分には、現在分詞がくれば「気がつくと〜している」、過去分詞がくれば「気がつくと〜されている」となる。&lt;/span&gt;</t>
  </si>
  <si>
    <t>&lt;span class="w"&gt;&lt;b&gt;【887.make good (~)：①成功する, ②（約束など）を果たす, （損害など）を償う】&lt;/b&gt;&lt;/span&gt;
&lt;span class="ml"&gt;&lt;span class="explanation_tag"&gt;イメージ&lt;/span&gt;
このgoodは、「よい」や「完全な」を意味しているとイメージすればよい。
&lt;span class="spacer"&gt;&lt;/span&gt;［make good］は、make O good（Oをよい・完全な状態にする）からOが省かれた形。本来存在しているはずのOは、文脈によって様々。
&lt;span class="spacer"&gt;&lt;/span&gt;人生やキャリアなどをよい状態、完全な状態にする場合は、①「成功する」となる。
&lt;span class="spacer"&gt;&lt;/span&gt;②約束などを完全な状態にするなら「果たす」となり、損害などのマイナスをなくして完全な状態にするなら「償う」となる。&lt;/span&gt;</t>
  </si>
  <si>
    <t>&lt;span class="w"&gt;&lt;b&gt;【889.make believe (that S V)：（〜という）ふりをする】&lt;/b&gt;&lt;/span&gt;
&lt;span class="ml"&gt;&lt;span class="explanation_tag"&gt;イメージ&lt;/span&gt;
 ［make believe (that S V)］は、make O believe that S V（OにS Vであることを信じさせる）からOが省かれた形。自分自身や他人に信じさせることから、「（〜という）ふりをする」という意味になる。
&lt;span class="spacer"&gt;&lt;/span&gt;もともとは子どもたちが使っていた言葉で、日本語で言う「ごっこ遊び」に近かった。
&lt;span class="spacer"&gt;&lt;/span&gt;&lt;span class="explanation_tag"&gt;例&lt;/span&gt;
Let's make believe (that) we are pirates.
私たちが海賊であると自分たちを信じさせよう
＝海賊のふりをしよう&lt;/span&gt;</t>
  </si>
  <si>
    <t>&lt;span class="w"&gt;&lt;b&gt;【890.take ~ for granted / take it for granted that S V ~：〜を当然のことと思う】&lt;/b&gt;&lt;/span&gt;
&lt;span class="ml"&gt;&lt;span class="explanation_tag"&gt;語源&lt;/span&gt;
grantは、ラテン語credere（信じる）に由来する。相手を信用することから発展して、信用に基づいて「許可や権利を与える, 認める」という意味になる。
&lt;span class="spacer"&gt;&lt;/span&gt;grantedは、grantの過去分詞で、「すでに与えられている, 認められている」ことから「当然のもの」という意味になる。
&lt;span class="spacer"&gt;&lt;/span&gt;&lt;span class="explanation_tag"&gt;イメージ&lt;/span&gt;
［take A for granted］は、take A for B（AをBとして受け取る）のBにgrantedが入った形。
&lt;span class="spacer"&gt;&lt;/span&gt;そこから「Aを当然のこととして受け取る」＝「Aを当然のことと思う」という意味になる。&lt;/span&gt;</t>
  </si>
  <si>
    <t>&lt;span class="w"&gt;&lt;b&gt;【891.take ~ into account：〜を考慮に入れる】&lt;/b&gt;&lt;/span&gt;
&lt;span class="ml"&gt;&lt;span class="explanation_tag"&gt;語源&lt;/span&gt;
accountは、古フランス語a（～へ）と、cont（計算）が合わさってできた語。contは、英語のcountや日本語のカウントと同じで計算を意味する。
&lt;span class="spacer"&gt;&lt;/span&gt;このまま日本語にすると「〜への計算」となるが、これは特にお金の計算や、それに関する意味へと発展していく。
&lt;span class="spacer"&gt;&lt;/span&gt;お金のやり取りの計算やそれを記したものから「勘定, 口座」という意味になる。
&lt;span class="spacer"&gt;&lt;/span&gt;&lt;span class="explanation_tag"&gt;イメージ&lt;/span&gt;
［take A into account］は語源から考えると、「Aを計算や勘定に入れる」となる。つまり、結論を出す上でAという要素を計算に入れることから、「Aを考慮する」という意味になる。
&lt;span class="spacer"&gt;&lt;/span&gt;&lt;span class="explanation_tag"&gt;補足&lt;/span&gt;
A部分が長い場合は、［take into account A］という順になる。&lt;/span&gt;</t>
  </si>
  <si>
    <t>&lt;span class="w"&gt;&lt;b&gt;【892.take hold of ~：〜をつかむ】&lt;/b&gt;&lt;/span&gt;
&lt;span class="ml"&gt;&lt;span class="explanation_tag"&gt;イメージ&lt;/span&gt;
［take hold of A］は直訳すると、「Aへの握り・掌握・支配を手に入れる」となる。そこから物理的にガッチリ「つかむ」という意味や、感情が人の心を「つかむ, 支配する」、状況を「つかむ, コントロールする」といった意味になる。&lt;/span&gt;</t>
  </si>
  <si>
    <t>&lt;span class="w"&gt;&lt;b&gt;【894.take effect：①（法などが）施行・実施される, ②（薬などが）効く】&lt;/b&gt;&lt;/span&gt;
&lt;span class="ml"&gt;&lt;span class="explanation_tag"&gt;イメージ&lt;/span&gt;
［take effect］は直訳すると、「効果を取る」となる。これは、現実において何かが効果を発揮することを表す。
&lt;span class="spacer"&gt;&lt;/span&gt;法律やルールなどが効果を発揮するなら、①「施行・実施される」となる。
&lt;span class="spacer"&gt;&lt;/span&gt;薬が体内で効果を発揮するなら、②「効く」という意味になる。&lt;/span&gt;</t>
  </si>
  <si>
    <t>&lt;span class="w"&gt;&lt;b&gt;【895.take pains：骨を折る, 苦労する】&lt;/b&gt;&lt;/span&gt;
&lt;span class="ml"&gt;&lt;span class="explanation_tag"&gt;語源&lt;/span&gt;
painは、ギリシャ語poinē（報復, 刑罰）に由来する。古代の報復や刑罰による苦しみが、一般的な意味での「苦痛, 痛み」となった。さらにそこから、苦痛を伴いながら何かを行うという「苦労, 骨折り」という意味にもなった。
&lt;span class="spacer"&gt;&lt;/span&gt;&lt;span class="obsolete"&gt;骨折り：努力した割に疲労しか得られなかった「骨折り損のくたびれ儲け」の「骨折り」と同じ意味。&lt;/span&gt;
&lt;span class="spacer"&gt;&lt;/span&gt;&lt;span class="explanation_tag"&gt;イメージ&lt;/span&gt;
［take pain&lt;strong&gt;s&lt;/strong&gt;］は、painsが複数形であることを踏まえて直訳すると、目的のための「たくさんの苦労を引き受ける」となる。そこから、目的のために「骨を折る, 苦労する」という、労力を惜しまずに努力することを表す。&lt;/span&gt;</t>
  </si>
  <si>
    <t>&lt;span class="w"&gt;&lt;b&gt;【896.keep track of ~：（記録するなどして）〜を把握する, 〜の跡を追う】&lt;/b&gt;&lt;/span&gt;
&lt;span class="ml"&gt;&lt;span class="explanation_tag"&gt;語源&lt;/span&gt;
trackは、古フランス語trac（馬の足跡, 痕跡）に由来する。馬の足跡は馬が通った跡のこと。ここから何かが通ってできた「跡, 軌道」や、鉄道が通る「番線」という意味になる。
&lt;span class="spacer"&gt;&lt;/span&gt;またレース用の陸上トラックや、蓄音機でレコードに跡（溝）をつけて録音した楽曲（トラック）も指す。
&lt;span class="spacer"&gt;&lt;/span&gt;&lt;span class="explanation_tag"&gt;イメージ&lt;/span&gt;
［keep track of A］は、Aを見失わないように、Aの跡をたどる（keep）という物理的な意味から発展して、情報やお金の流れ、人の動向など様々なことについて、「（記録するなどして）Aを把握する, Aの跡を追う」という意味になる。&lt;/span&gt;</t>
  </si>
  <si>
    <t>&lt;span class="w"&gt;&lt;b&gt;【897.keep ~ company：〜と一緒にいる, 〜の相手をする, （話や買い物など）〜に付き合う】&lt;/b&gt;&lt;/span&gt;
&lt;span class="ml"&gt;&lt;span class="explanation_tag"&gt;語源&lt;/span&gt;
companyは、ラテン語com（共に）と、panis（パン）が合わさってできた語。このまま日本語にすると「共にパン（を食べる）」となる。日本語でも「同じ釜の飯を食う」という言葉があるが、食事を共にするということは「仲間」を表す。さらにこの意味から、商業的な仲間の集まりである「会社」にもなる。
&lt;span class="spacer"&gt;&lt;/span&gt;&lt;span class="explanation_tag"&gt;イメージ&lt;/span&gt;
companyの核は、一緒にパンを食べるように「共にいる」ということ。
&lt;span class="spacer"&gt;&lt;/span&gt;［keep A company］は、keep O Cの第5文型。直訳は語源をもとに考えると、「Aを共にいる状態にキープする」となる。そこから「Aと一緒にいる, Aの相手をする, Aに付き合う」といった訳になる。&lt;/span&gt;</t>
  </si>
  <si>
    <t>&lt;span class="w"&gt;&lt;b&gt;【898.keep abreast of / with ~：（最新の状態など）に遅れずについていく】&lt;/b&gt;&lt;/span&gt;
&lt;span class="ml"&gt;&lt;span class="explanation_tag"&gt;語源&lt;/span&gt;
abreastは、15世紀半ばにon breast（胸を一直線に並べて）が1語になったもの。&lt;span class="obsolete"&gt;onは意味が薄まり、アクセントが置かれずに発音が弱まることでaになることがある。&lt;strong&gt;a&lt;/strong&gt;sleep, &lt;strong&gt;a&lt;/strong&gt;live, &lt;strong&gt;a&lt;/strong&gt;board, &lt;strong&gt;a&lt;/strong&gt;side, &lt;strong&gt;a&lt;/strong&gt;side, &lt;strong&gt;a&lt;/strong&gt;wayなどがその例。&lt;/span&gt;
&lt;span class="spacer"&gt;&lt;/span&gt;［keep abreast］は、1650年代から「最新の状態をキープする」という意味で使われている。
&lt;span class="spacer"&gt;&lt;/span&gt;&lt;span class="explanation_tag"&gt;イメージ&lt;/span&gt;
［keep abreast of / with A］は、時間と共に進んでいく流行・動向・変化などと胸を一直線に並べた状態を保つことから、「（最新の状態など）に遅れずについていく」という意味になる。&lt;/span&gt;</t>
    <rPh sb="50" eb="52">
      <t>サイシン</t>
    </rPh>
    <rPh sb="53" eb="55">
      <t>ジョウタイ</t>
    </rPh>
    <rPh sb="59" eb="60">
      <t>オク</t>
    </rPh>
    <rPh sb="149" eb="151">
      <t>セイキ</t>
    </rPh>
    <rPh sb="151" eb="152">
      <t>ナカ</t>
    </rPh>
    <rPh sb="164" eb="165">
      <t>ムネ</t>
    </rPh>
    <rPh sb="166" eb="169">
      <t>イッチョクセン</t>
    </rPh>
    <rPh sb="170" eb="171">
      <t>ナラ</t>
    </rPh>
    <rPh sb="176" eb="177">
      <t>ゴ</t>
    </rPh>
    <rPh sb="395" eb="396">
      <t>レイ</t>
    </rPh>
    <rPh sb="453" eb="455">
      <t>ネンダイ</t>
    </rPh>
    <rPh sb="458" eb="460">
      <t>サイシン</t>
    </rPh>
    <rPh sb="461" eb="463">
      <t>ジョウタイ</t>
    </rPh>
    <rPh sb="473" eb="475">
      <t>イミ</t>
    </rPh>
    <rPh sb="476" eb="477">
      <t>ツカ</t>
    </rPh>
    <rPh sb="582" eb="584">
      <t>ジカン</t>
    </rPh>
    <rPh sb="585" eb="586">
      <t>トモ</t>
    </rPh>
    <rPh sb="587" eb="588">
      <t>スス</t>
    </rPh>
    <rPh sb="592" eb="594">
      <t>リュウコウ</t>
    </rPh>
    <rPh sb="595" eb="597">
      <t>ドウコウ</t>
    </rPh>
    <rPh sb="598" eb="600">
      <t>ヘンカ</t>
    </rPh>
    <rPh sb="603" eb="604">
      <t>ムネ</t>
    </rPh>
    <rPh sb="605" eb="608">
      <t>イッチョクセン</t>
    </rPh>
    <rPh sb="609" eb="610">
      <t>ナラ</t>
    </rPh>
    <rPh sb="612" eb="614">
      <t>ジョウタイ</t>
    </rPh>
    <rPh sb="615" eb="616">
      <t>タモ</t>
    </rPh>
    <rPh sb="646" eb="648">
      <t>イミ</t>
    </rPh>
    <phoneticPr fontId="1"/>
  </si>
  <si>
    <t>&lt;span class="w"&gt;&lt;b&gt;【899.let go of ~：～を手放す】&lt;/b&gt;&lt;/span&gt;
&lt;span class="ml"&gt;&lt;span class="explanation_tag"&gt;語源&lt;/span&gt;
ofは、古英語æf（離れて）にさかのぼる。もともとofの主要な意味は「離れて」だったが、1200年頃までにoffが生まれ、「離れて」という意味を引き継いだ。
&lt;span class="spacer"&gt;&lt;/span&gt;&lt;span class="explanation_tag"&gt;イメージ&lt;/span&gt;
［let go of A］のofは、古英語の「離れて」という意味が残っている。Aを離して（of A）そのまま行かせる（let go）ことから、「Aを手放す」という意味になる。&lt;/span&gt;</t>
  </si>
  <si>
    <t>&lt;span class="w"&gt;&lt;b&gt;【901.look ~ in the eye(s)：〜の目を正視する】&lt;/b&gt;&lt;/span&gt;
&lt;span class="ml"&gt;&lt;span class="explanation_tag"&gt;イメージ&lt;/span&gt;
［look A in the eye(s)］は、Aに視線を向けて目の中を見るイメージから、「Aのめを正視する」という意味になる。&lt;/span&gt;</t>
  </si>
  <si>
    <t>&lt;span class="w"&gt;&lt;b&gt;【902.hold true：当てはまる, 有効である】&lt;/b&gt;&lt;/span&gt;
&lt;span class="ml"&gt;&lt;span class="explanation_tag"&gt;イメージ&lt;/span&gt;
［hold true］は、true（真実である, 正しい）という状態を保ち続ける、ホールドする（hold）ことから、「当てはまる, 有効である」という意味になる。&lt;/span&gt;</t>
  </si>
  <si>
    <t>&lt;span class="w"&gt;&lt;b&gt;【903.come to terms with ~：〜と折り合いがつく, （あきらめて）〜を受け入れる】&lt;/b&gt;&lt;/span&gt;
&lt;span class="ml"&gt;&lt;span class="explanation_tag"&gt;語源&lt;/span&gt;
term(s)は、ラテン語terminus（終わり, 境界線）に由来する。境界線は範囲の終わりを示すものなので、termの核は「範囲の限定」となる。
&lt;span class="spacer"&gt;&lt;/span&gt;①言葉に関して
言葉はさまざまな使い方ができるが、使い方の範囲が定められている言葉は「用語」となる。
&lt;span class="spacer"&gt;&lt;/span&gt;②時間に関して
時間は無限だが、範囲が定められている時間＝は「期間, 学期」となる。
&lt;span class="spacer"&gt;&lt;/span&gt;③関係性に関して
関係性は多様だが、範囲が定められている関係性はterms「間柄」となる。
&lt;span class="spacer"&gt;&lt;/span&gt;④無条件ではなく、範囲が定められている状態はterms「条件」となる。
&lt;span class="spacer"&gt;&lt;/span&gt;&lt;span class="explanation_tag"&gt;イメージ&lt;/span&gt;
［come to terms with A］のtermsは、Aとの「関係性, 間柄」だとイメージすればよい。Aときちんと向き合う関係（terms with A）へと至る（come to）ことから、「Aと折り合いがつく, Aを受け入れる」という意味になる。&lt;/span&gt;</t>
  </si>
  <si>
    <t>&lt;span class="w"&gt;&lt;b&gt;【904.come to light：明るみに出る】&lt;/b&gt;&lt;/span&gt;
&lt;span class="ml"&gt;&lt;span class="explanation_tag"&gt;イメージ&lt;/span&gt;
［come to light］は、隠れていたものが明るいところへ来ることから、「明るみに出る」という意味になる。&lt;/span&gt;</t>
  </si>
  <si>
    <t>&lt;span class="w"&gt;&lt;b&gt;【905.come of age：（法的に）成人になる】&lt;/b&gt;&lt;/span&gt;
&lt;span class="ml"&gt;&lt;span class="explanation_tag"&gt;イメージ&lt;/span&gt;
［come of age］のageは「年齢」や「時代」というよりも、もともと持っていた人生の段階・成熟というニュアンスを残している。
&lt;span class="spacer"&gt;&lt;/span&gt;子どもの状態から成熟した大人の段階に至ることを表して、「成人になる」という意味になる。&lt;/span&gt;</t>
  </si>
  <si>
    <t>&lt;span class="w"&gt;&lt;b&gt;【906.come in handy：役に立つ】&lt;/b&gt;&lt;/span&gt;
&lt;span class="ml"&gt;&lt;span class="explanation_tag"&gt;語源&lt;/span&gt;
handyは、1300年頃にhand（手）と、y（形容詞化）が合わさってできた語。手でさっと使えて「便利な, 役立つ」という意味になる。
&lt;span class="spacer"&gt;&lt;/span&gt;日本語でも使われる「ハンディ」と同じ。ハンディファン（手で持つ扇風機）やハンディ掃除機（片手で持てる掃除機）のような便利で役立つものをイメージすればよい。
&lt;span class="spacer"&gt;&lt;/span&gt;&lt;span class="explanation_tag"&gt;イメージ&lt;/span&gt;
［come in handy］は直訳の通り、役に立つ状態の中に（in handy）至る（come）＝「役に立つ」となる。&lt;/span&gt;</t>
  </si>
  <si>
    <t>&lt;span class="w"&gt;&lt;b&gt;【910.put ~ to use：〜を利用する】&lt;/b&gt;&lt;/span&gt;
&lt;span class="ml"&gt;&lt;span class="explanation_tag"&gt;イメージ&lt;/span&gt;
［put A to use］は、既にあるAを使用状態へと移行するイメージで、「Aを利用する」という意味になる。&lt;/span&gt;</t>
  </si>
  <si>
    <t>&lt;span class="w"&gt;&lt;b&gt;【911.stand to reason：理屈に合う, もっともである】&lt;/b&gt;&lt;/span&gt;
&lt;span class="ml"&gt;&lt;span class="explanation_tag"&gt;reasonの語源&lt;/span&gt;
reasonは、ラテン語reri（計算する, 考える）に由来する。この語の核は「論理的な思考」で、もともとは計算することと、考えることの2つを表したが、英語に入ってくるまでに計算系の語と思考系の語に分かれた。
&lt;span class="spacer"&gt;&lt;/span&gt;計算系の語はratioとなり、数学において、あるものと別のものの数量を比べる「比率」という意味で使われるようになった。
&lt;span class="spacer"&gt;&lt;/span&gt;一方、思考系の語はreasonとなり、「理由」や「理性」を意味するようになった。
&lt;span class="spacer"&gt;&lt;/span&gt;&lt;span class="explanation_tag"&gt;stand to reasonの語源&lt;/span&gt;
［stand to reason］は1620年までに見られる表現だが、それより前はstand with reasonが使われていた。
&lt;span class="spacer"&gt;&lt;/span&gt;withを使った古い表現の直訳を考えると、「理性で考えたこと＝理屈・道理とともに立つ」となる。これはつまり、理屈や道理から離れることなく、それに従っていることを表している。
&lt;span class="spacer"&gt;&lt;/span&gt;そこから、［stand to reason］も同様に、理屈・道理に従っている＝「理にかなっている, もっともである」という意味になる。&lt;/span&gt;</t>
  </si>
  <si>
    <t>&lt;span class="w"&gt;&lt;b&gt;【912.see / do the sights (of ~)：（〜の）観光をする】&lt;/b&gt;&lt;/span&gt;
&lt;span class="ml"&gt;&lt;span class="explanation_tag"&gt;イメージ&lt;/span&gt;
sight(s)はseeの名詞なので、核は「見ること, 見えること」。定冠詞のtheで特定され、複数形になったthe sightsは、ある場所にあるいくつかの名所を表す。
&lt;span class="spacer"&gt;&lt;/span&gt;これに動詞see. doが付いた［see / do the sights (of A)］は、「（Aの）観光をする」という意味になる。
&lt;span class="spacer"&gt;&lt;/span&gt;sightseeing（観光）と関連させて覚えるとよい。
&lt;/span&gt;</t>
  </si>
  <si>
    <t>&lt;span class="w"&gt;&lt;b&gt;【913.read between the lines：行間を読む, 真意をつかむ】&lt;/b&gt;&lt;/span&gt;
&lt;span class="ml"&gt;これは直訳のすると、行と行（the lines）の間（between）を読む（read）となり、そのまま「行間を読む, 真意をつかむ」という意味になる。&lt;/span&gt;</t>
  </si>
  <si>
    <t>&lt;span class="w"&gt;&lt;b&gt;【915.play a joke on ~：〜にいたずらをする】&lt;/b&gt;&lt;/span&gt;
&lt;span class="ml"&gt;&lt;span class="explanation_tag"&gt;イメージ&lt;/span&gt;
［play a joke on A］は直訳すると、Aという標的に（on A）ジョーク（joke）を仕掛けて遊ぶ（play）となる。そこから「Aにいたずらをする」という意味になる。&lt;/span&gt;</t>
  </si>
  <si>
    <t>&lt;span class="w"&gt;&lt;b&gt;【916.get on ~'s nerves：〜の神経にさわる】&lt;/b&gt;&lt;/span&gt;
&lt;span class="ml"&gt;&lt;span class="explanation_tag"&gt;イメージ&lt;/span&gt;
［get on A's nerves］は直訳すると、Aの神経（A's nerves）の上に乗る（get on）ことから、「Aの神経にさわる」という意味になる。
&lt;span class="spacer"&gt;&lt;/span&gt;nerve（神経）は、nervous（神経質な, 神経が張り詰めて緊張した）と関連させて覚える。&lt;/span&gt;</t>
  </si>
  <si>
    <t>&lt;span class="w"&gt;&lt;b&gt;【920.have an eye for ~：〜を見る目がある】&lt;/b&gt;&lt;/span&gt;
&lt;span class="ml"&gt;&lt;span class="explanation_tag"&gt;イメージ&lt;/span&gt;
［have an eye for A］のeyeは、視覚を通して物事を正しく評価する能力＝見る目を表す。そこから、「Aを見る目がある」という意味になる。&lt;/span&gt;</t>
  </si>
  <si>
    <t>&lt;span class="w"&gt;&lt;b&gt;【921.have ~ on one's mind：〜を気にかけている】&lt;/b&gt;&lt;/span&gt;
&lt;span class="ml"&gt;&lt;span class="explanation_tag"&gt;イメージ&lt;/span&gt;
［have A on one's mind］は直訳すると、自分の心や意識にくっついた状態（on one's mind）のAを持っていることを表すので、「Aを気にかけている」という意味になる。&lt;/span&gt;</t>
  </si>
  <si>
    <t>&lt;span class="w"&gt;&lt;b&gt;【922.have yet to do：まだ〜していない, これから〜しなければならない】&lt;/b&gt;&lt;/span&gt;
&lt;span class="ml"&gt;&lt;span class="explanation_tag"&gt;イメージ&lt;/span&gt;
［have yet to do］は、have to doにyetが入り込んだものだと考えればよい。まだ〜しなければならない状態であることを表すので、「これから〜しなければならない」「まだ〜していない」という訳になる。&lt;/span&gt;</t>
  </si>
  <si>
    <t>&lt;span class="w"&gt;&lt;b&gt;【923.dare to do：思い切って〜する, あえて〜する】&lt;/b&gt;&lt;/span&gt;
&lt;span class="ml"&gt;&lt;span class="explanation_tag"&gt;語源&lt;/span&gt;
dareは、印欧祖語*dhers-（大胆な, 勇敢な）にさかのぼると考えられる。
&lt;span class="spacer"&gt;&lt;/span&gt;［dare to do］は、doに対して勇敢に進んでいくことから、「思い切って〜する, あえて〜する」という意味になる。
&lt;span class="spacer"&gt;&lt;/span&gt;&lt;span class="explanation_tag"&gt;補足&lt;/span&gt;
dareには助動詞としての使い方もある。その場合は、S dare not do / How dare S doといった表現になる。&lt;/span&gt;</t>
  </si>
  <si>
    <t>&lt;span class="w"&gt;&lt;b&gt;【924.impose A on B：AをBに課す, AをBに押し付ける】&lt;/b&gt;&lt;/span&gt;
&lt;span class="ml"&gt;&lt;span class="explanation_tag"&gt;語源&lt;/span&gt;
imposeは、古フランス語in（中に）と、poser（置く）が合わさってできた語。相手の領域の中に押し込んで置くイメージから、対象に何かを「押し付ける, 課す」という意味になる。
&lt;span class="spacer"&gt;&lt;/span&gt;［impose A on B］は、AをBにグッと押しつけて接触するように置くイメージから、「AをBに課す, AをBに押し付ける」という意味になる。&lt;/span&gt;</t>
  </si>
  <si>
    <t>a piece of 不可算名詞</t>
    <phoneticPr fontId="1"/>
  </si>
  <si>
    <t>a couple (of ~)</t>
    <phoneticPr fontId="1"/>
  </si>
  <si>
    <t>&lt;span class="w"&gt;&lt;b&gt;【2.a couple (of ~)：2つの～, 2,3の～, ちょっとの】&lt;/b&gt;&lt;/span&gt;
&lt;span class="ml"&gt;&lt;span class="explanation_tag"&gt;イメージ&lt;/span&gt;
夫婦・カップル（＝2人）と同じで「2つの」という意味になる。また数が少し曖昧になって「2、3の」や「ちょっとの」という意味にもなる。&lt;/span&gt;</t>
    <phoneticPr fontId="1"/>
  </si>
  <si>
    <t>a number of 可算名詞</t>
    <phoneticPr fontId="1"/>
  </si>
  <si>
    <t>dozens of ~</t>
    <phoneticPr fontId="1"/>
  </si>
  <si>
    <t>plenty of ~</t>
    <phoneticPr fontId="1"/>
  </si>
  <si>
    <t>a great / good deal of 不可算名詞</t>
    <phoneticPr fontId="1"/>
  </si>
  <si>
    <t>at home</t>
    <phoneticPr fontId="1"/>
  </si>
  <si>
    <t>in time</t>
    <phoneticPr fontId="1"/>
  </si>
  <si>
    <t>in fashion</t>
    <phoneticPr fontId="1"/>
  </si>
  <si>
    <t>on time</t>
    <phoneticPr fontId="1"/>
  </si>
  <si>
    <t>on duty</t>
    <phoneticPr fontId="1"/>
  </si>
  <si>
    <t>on schedule</t>
    <phoneticPr fontId="1"/>
  </si>
  <si>
    <t>up to date</t>
    <phoneticPr fontId="1"/>
  </si>
  <si>
    <t>be aware of ~</t>
    <phoneticPr fontId="1"/>
  </si>
  <si>
    <t>be made of A</t>
    <phoneticPr fontId="1"/>
  </si>
  <si>
    <t>be capable of ~</t>
    <phoneticPr fontId="1"/>
  </si>
  <si>
    <t>be afraid of ~</t>
    <phoneticPr fontId="1"/>
  </si>
  <si>
    <t>be sure of / about ~</t>
    <phoneticPr fontId="1"/>
  </si>
  <si>
    <t>be composed of ~</t>
    <phoneticPr fontId="1"/>
  </si>
  <si>
    <t>be based on / upon ~</t>
    <phoneticPr fontId="1"/>
  </si>
  <si>
    <t>&lt;span class="w"&gt;&lt;b&gt;【20.be based on / upon ~：～にもとづいている】&lt;/b&gt;&lt;/span&gt;
&lt;span class="ml"&gt;&lt;span class="explanation_tag"&gt;イメージ&lt;/span&gt;
名詞baseは「基礎, 土台」という意味。動詞baseは［base A on B］で「AをBにもとづかせる」という意味になる。
&lt;span class="spacer"&gt;&lt;/span&gt;これを受動態にすれば、［A be based on B］で「AはBにもとづいている」という意味になる。&lt;/span&gt;</t>
    <phoneticPr fontId="1"/>
  </si>
  <si>
    <t>be different from ~</t>
    <phoneticPr fontId="1"/>
  </si>
  <si>
    <t>be absent from ~</t>
    <phoneticPr fontId="1"/>
  </si>
  <si>
    <t>be engaged in ~</t>
    <phoneticPr fontId="1"/>
  </si>
  <si>
    <t>be responsible for 物事 / to 人</t>
    <phoneticPr fontId="1"/>
  </si>
  <si>
    <t>be married（to ~）</t>
    <phoneticPr fontId="1"/>
  </si>
  <si>
    <t>be satisfied with ~</t>
    <phoneticPr fontId="1"/>
  </si>
  <si>
    <t>be curious about ~</t>
    <phoneticPr fontId="1"/>
  </si>
  <si>
    <t>be well off</t>
    <phoneticPr fontId="1"/>
  </si>
  <si>
    <t>be likely to do ~</t>
    <phoneticPr fontId="1"/>
  </si>
  <si>
    <t>be willing to do ~</t>
    <phoneticPr fontId="1"/>
  </si>
  <si>
    <t>be about to do ~</t>
    <phoneticPr fontId="1"/>
  </si>
  <si>
    <t>lead to ~</t>
    <phoneticPr fontId="1"/>
  </si>
  <si>
    <t>refer to ~</t>
    <phoneticPr fontId="1"/>
  </si>
  <si>
    <t>contribute to ~</t>
    <phoneticPr fontId="1"/>
  </si>
  <si>
    <t>amount to ~</t>
    <phoneticPr fontId="1"/>
  </si>
  <si>
    <t>depend on / upon ~</t>
    <phoneticPr fontId="1"/>
  </si>
  <si>
    <t>focus on ~</t>
    <phoneticPr fontId="1"/>
  </si>
  <si>
    <t>rely on / upon ~</t>
    <phoneticPr fontId="1"/>
  </si>
  <si>
    <t>get on ~</t>
    <phoneticPr fontId="1"/>
  </si>
  <si>
    <t>insist on / upon ~</t>
    <phoneticPr fontId="1"/>
  </si>
  <si>
    <t>concentrate on ~</t>
    <phoneticPr fontId="1"/>
  </si>
  <si>
    <t>look for ~</t>
    <phoneticPr fontId="1"/>
  </si>
  <si>
    <t>search for ~</t>
    <phoneticPr fontId="1"/>
  </si>
  <si>
    <t>prepare for ~</t>
    <phoneticPr fontId="1"/>
  </si>
  <si>
    <t>think of ~</t>
    <phoneticPr fontId="1"/>
  </si>
  <si>
    <t>consist of ~</t>
    <phoneticPr fontId="1"/>
  </si>
  <si>
    <t>complain of / about ~</t>
    <phoneticPr fontId="1"/>
  </si>
  <si>
    <t>die of / from ~</t>
    <phoneticPr fontId="1"/>
  </si>
  <si>
    <t>suffer from ~</t>
    <phoneticPr fontId="1"/>
  </si>
  <si>
    <t>result from ~</t>
    <phoneticPr fontId="1"/>
  </si>
  <si>
    <t>graduate from ~</t>
    <phoneticPr fontId="1"/>
  </si>
  <si>
    <t>differ from ~</t>
    <phoneticPr fontId="1"/>
  </si>
  <si>
    <t>recover from ~</t>
    <phoneticPr fontId="1"/>
  </si>
  <si>
    <t>hear from ~</t>
    <phoneticPr fontId="1"/>
  </si>
  <si>
    <t>believe in ~</t>
    <phoneticPr fontId="1"/>
  </si>
  <si>
    <t>succeed in ~</t>
    <phoneticPr fontId="1"/>
  </si>
  <si>
    <t>major in ~</t>
    <phoneticPr fontId="1"/>
  </si>
  <si>
    <t>abound in / with ~</t>
    <phoneticPr fontId="1"/>
  </si>
  <si>
    <t>care about ~</t>
    <phoneticPr fontId="1"/>
  </si>
  <si>
    <t>bring about ~</t>
    <phoneticPr fontId="1"/>
  </si>
  <si>
    <t>deal with ~</t>
    <phoneticPr fontId="1"/>
  </si>
  <si>
    <t>go through ~</t>
    <phoneticPr fontId="1"/>
  </si>
  <si>
    <t>give up ~</t>
    <phoneticPr fontId="1"/>
  </si>
  <si>
    <t>grow up</t>
    <phoneticPr fontId="1"/>
  </si>
  <si>
    <t>pick up ~</t>
    <phoneticPr fontId="1"/>
  </si>
  <si>
    <t>set up ~</t>
    <phoneticPr fontId="1"/>
  </si>
  <si>
    <t>wake up (~)</t>
    <phoneticPr fontId="1"/>
  </si>
  <si>
    <t>brush up (on ~)</t>
    <phoneticPr fontId="1"/>
  </si>
  <si>
    <t>find out ~</t>
    <phoneticPr fontId="1"/>
  </si>
  <si>
    <t>carry out ~</t>
    <phoneticPr fontId="1"/>
  </si>
  <si>
    <t>point out ~</t>
    <phoneticPr fontId="1"/>
  </si>
  <si>
    <t>figure out ~</t>
    <phoneticPr fontId="1"/>
  </si>
  <si>
    <t>turn out ~</t>
    <phoneticPr fontId="1"/>
  </si>
  <si>
    <t>fill out ~</t>
    <phoneticPr fontId="1"/>
  </si>
  <si>
    <t>pick out ~</t>
    <phoneticPr fontId="1"/>
  </si>
  <si>
    <t>put on ~</t>
    <phoneticPr fontId="1"/>
  </si>
  <si>
    <t>work on ~</t>
    <phoneticPr fontId="1"/>
  </si>
  <si>
    <t>try on ~</t>
    <phoneticPr fontId="1"/>
  </si>
  <si>
    <t>turn on ~</t>
    <phoneticPr fontId="1"/>
  </si>
  <si>
    <t>turn off ~</t>
    <phoneticPr fontId="1"/>
  </si>
  <si>
    <t>take off ~</t>
    <phoneticPr fontId="1"/>
  </si>
  <si>
    <t>get along</t>
    <phoneticPr fontId="1"/>
  </si>
  <si>
    <t>get together</t>
    <phoneticPr fontId="1"/>
  </si>
  <si>
    <t>calm down</t>
    <phoneticPr fontId="1"/>
  </si>
  <si>
    <t>think over ~</t>
    <phoneticPr fontId="1"/>
  </si>
  <si>
    <t>keep doing</t>
    <phoneticPr fontId="1"/>
  </si>
  <si>
    <t>take place</t>
    <phoneticPr fontId="1"/>
  </si>
  <si>
    <t>play a role / part （in ~）</t>
    <phoneticPr fontId="1"/>
  </si>
  <si>
    <t>make sure（~）</t>
    <phoneticPr fontId="1"/>
  </si>
  <si>
    <t>make sense</t>
    <phoneticPr fontId="1"/>
  </si>
  <si>
    <t>make a difference</t>
    <phoneticPr fontId="1"/>
  </si>
  <si>
    <t>make a mistake</t>
    <phoneticPr fontId="1"/>
  </si>
  <si>
    <t>make progress</t>
    <phoneticPr fontId="1"/>
  </si>
  <si>
    <t>make up one's mind</t>
    <phoneticPr fontId="1"/>
  </si>
  <si>
    <t>do one's best</t>
    <phoneticPr fontId="1"/>
  </si>
  <si>
    <t>keep one's promise / word</t>
    <phoneticPr fontId="1"/>
  </si>
  <si>
    <t>get lost</t>
    <phoneticPr fontId="1"/>
  </si>
  <si>
    <t>enjoy oneself</t>
    <phoneticPr fontId="1"/>
  </si>
  <si>
    <t>have ~ off</t>
    <phoneticPr fontId="1"/>
  </si>
  <si>
    <t>pay attention to ~</t>
    <phoneticPr fontId="1"/>
  </si>
  <si>
    <t>take care of ~</t>
    <phoneticPr fontId="1"/>
  </si>
  <si>
    <t>look forward to 名詞 / 動名詞</t>
    <phoneticPr fontId="1"/>
  </si>
  <si>
    <t>ask for ~</t>
    <phoneticPr fontId="1"/>
  </si>
  <si>
    <t>&lt;span class="w"&gt;&lt;b&gt;【103.ask for ~：〜を求める】&lt;/b&gt;&lt;/span&gt;
&lt;span class="ml"&gt;&lt;span class="explanation_tag"&gt;イメージ&lt;/span&gt;
何かを求めて（for）頼む（ask）ことから「〜を求める」という意味になる。&lt;/span&gt;</t>
    <phoneticPr fontId="1"/>
  </si>
  <si>
    <t>get rid of ~</t>
    <phoneticPr fontId="1"/>
  </si>
  <si>
    <t>&lt;span class="w"&gt;&lt;b&gt;【104.get rid of ~：～を取り除く】&lt;/b&gt;&lt;/span&gt;
&lt;span class="ml"&gt;&lt;span class="explanation_tag"&gt;語源&lt;/span&gt;
ridは、中英語ridden（場所を片付ける, 空にする）にさかのぼり、［get rid of］は1660年代から見られる表現。
&lt;span class="spacer"&gt;&lt;/span&gt;&lt;span class="explanation_tag"&gt;イメージ&lt;/span&gt;
場所を片付ける・空にするように、Aのない状態（rid）にする（get）ことから「Aを取り除く」という意味になる。&lt;/span&gt;</t>
    <phoneticPr fontId="1"/>
  </si>
  <si>
    <t>fall in love with ~</t>
    <phoneticPr fontId="1"/>
  </si>
  <si>
    <t>used to do / be</t>
    <phoneticPr fontId="1"/>
  </si>
  <si>
    <t>as a result （of A）</t>
    <phoneticPr fontId="1"/>
  </si>
  <si>
    <t>at times</t>
    <phoneticPr fontId="1"/>
  </si>
  <si>
    <t>in addition（to 名詞）</t>
    <phoneticPr fontId="1"/>
  </si>
  <si>
    <t>in search of ~</t>
    <phoneticPr fontId="1"/>
  </si>
  <si>
    <t>so 形容詞 / 副詞 that S V</t>
    <phoneticPr fontId="1"/>
  </si>
  <si>
    <t>not only A but (also) B</t>
    <phoneticPr fontId="1"/>
  </si>
  <si>
    <t>as if / though ~</t>
    <phoneticPr fontId="1"/>
  </si>
  <si>
    <t>as soon as S V</t>
    <phoneticPr fontId="1"/>
  </si>
  <si>
    <t>bring up ~</t>
    <phoneticPr fontId="1"/>
  </si>
  <si>
    <t>call off ~</t>
    <phoneticPr fontId="1"/>
  </si>
  <si>
    <t>carry on (~)</t>
    <phoneticPr fontId="1"/>
  </si>
  <si>
    <t>come up with ~</t>
    <phoneticPr fontId="1"/>
  </si>
  <si>
    <t>do away with ~</t>
    <phoneticPr fontId="1"/>
  </si>
  <si>
    <t>人 pass away</t>
    <phoneticPr fontId="1"/>
  </si>
  <si>
    <t>put off ~</t>
    <phoneticPr fontId="1"/>
  </si>
  <si>
    <t>take after〈人〉</t>
    <phoneticPr fontId="1"/>
  </si>
  <si>
    <t>along with ~</t>
    <phoneticPr fontId="1"/>
  </si>
  <si>
    <t>in connection with ~</t>
    <phoneticPr fontId="1"/>
  </si>
  <si>
    <t>on board (~)</t>
    <phoneticPr fontId="1"/>
  </si>
  <si>
    <t>prior to ~</t>
    <phoneticPr fontId="1"/>
  </si>
  <si>
    <t>(every) once in a while</t>
    <phoneticPr fontId="1"/>
  </si>
  <si>
    <t>above all (else)</t>
    <phoneticPr fontId="1"/>
  </si>
  <si>
    <t>all of a sudden</t>
    <phoneticPr fontId="1"/>
  </si>
  <si>
    <t>all / just the same</t>
    <phoneticPr fontId="1"/>
  </si>
  <si>
    <t>as a (general) rule</t>
    <phoneticPr fontId="1"/>
  </si>
  <si>
    <t>as well</t>
    <phoneticPr fontId="1"/>
  </si>
  <si>
    <t>before long</t>
    <phoneticPr fontId="1"/>
  </si>
  <si>
    <t>by degrees</t>
    <phoneticPr fontId="1"/>
  </si>
  <si>
    <t>for good</t>
    <phoneticPr fontId="1"/>
  </si>
  <si>
    <t>for the most part</t>
    <phoneticPr fontId="1"/>
  </si>
  <si>
    <t>from time to time</t>
    <phoneticPr fontId="1"/>
  </si>
  <si>
    <t>in advance</t>
    <phoneticPr fontId="1"/>
  </si>
  <si>
    <t>in all</t>
    <phoneticPr fontId="1"/>
  </si>
  <si>
    <t>in particular</t>
    <phoneticPr fontId="1"/>
  </si>
  <si>
    <t>on occasion(s)</t>
    <phoneticPr fontId="1"/>
  </si>
  <si>
    <t>on purpose</t>
    <phoneticPr fontId="1"/>
  </si>
  <si>
    <t>over and over (again)</t>
    <phoneticPr fontId="1"/>
  </si>
  <si>
    <t>right away</t>
    <phoneticPr fontId="1"/>
  </si>
  <si>
    <t>agree to ~</t>
    <phoneticPr fontId="1"/>
  </si>
  <si>
    <t>agree with ~</t>
    <phoneticPr fontId="1"/>
  </si>
  <si>
    <t>apply for ~</t>
    <phoneticPr fontId="1"/>
  </si>
  <si>
    <t>apply to ~</t>
    <phoneticPr fontId="1"/>
  </si>
  <si>
    <t>remember doing</t>
    <phoneticPr fontId="1"/>
  </si>
  <si>
    <t>remember to do</t>
    <phoneticPr fontId="1"/>
  </si>
  <si>
    <t>catch up with / to ~</t>
    <phoneticPr fontId="1"/>
  </si>
  <si>
    <t>keep pace with ~</t>
    <phoneticPr fontId="1"/>
  </si>
  <si>
    <t>keep up with ~</t>
    <phoneticPr fontId="1"/>
  </si>
  <si>
    <t>leave ~ alone</t>
    <phoneticPr fontId="1"/>
  </si>
  <si>
    <t>let alone ~</t>
    <phoneticPr fontId="1"/>
  </si>
  <si>
    <t>correspond to ~</t>
    <phoneticPr fontId="1"/>
  </si>
  <si>
    <t>correspond with ~</t>
    <phoneticPr fontId="1"/>
  </si>
  <si>
    <t>〈人〉hit on〈考え〉</t>
    <phoneticPr fontId="1"/>
  </si>
  <si>
    <t>〈考え〉occur to〈人〉</t>
    <phoneticPr fontId="1"/>
  </si>
  <si>
    <t>〈考え〉dawn on〈人〉</t>
    <phoneticPr fontId="1"/>
  </si>
  <si>
    <t>make the best of ~</t>
    <phoneticPr fontId="1"/>
  </si>
  <si>
    <t>make the most of ~</t>
    <phoneticPr fontId="1"/>
  </si>
  <si>
    <t>lay off ~</t>
    <phoneticPr fontId="1"/>
  </si>
  <si>
    <t>lay out ~</t>
    <phoneticPr fontId="1"/>
  </si>
  <si>
    <t>be concerned about / for ~</t>
    <phoneticPr fontId="1"/>
  </si>
  <si>
    <t>be concerned with ~</t>
    <phoneticPr fontId="1"/>
  </si>
  <si>
    <t>be free from / of ~</t>
    <phoneticPr fontId="1"/>
  </si>
  <si>
    <t>be free to do</t>
    <phoneticPr fontId="1"/>
  </si>
  <si>
    <t>be familiar to ~</t>
    <phoneticPr fontId="1"/>
  </si>
  <si>
    <t>be familiar with ~</t>
    <phoneticPr fontId="1"/>
  </si>
  <si>
    <t>be true of ~</t>
    <phoneticPr fontId="1"/>
  </si>
  <si>
    <t>be true to ~</t>
    <phoneticPr fontId="1"/>
  </si>
  <si>
    <t>be tired from / with ~</t>
    <phoneticPr fontId="1"/>
  </si>
  <si>
    <t>be tired of ~</t>
    <phoneticPr fontId="1"/>
  </si>
  <si>
    <t>be bound for ~</t>
    <phoneticPr fontId="1"/>
  </si>
  <si>
    <t>be bound to do</t>
    <phoneticPr fontId="1"/>
  </si>
  <si>
    <t>be anxious about ~</t>
    <phoneticPr fontId="1"/>
  </si>
  <si>
    <t>be anxious to do</t>
    <phoneticPr fontId="1"/>
  </si>
  <si>
    <t>〈名詞〉to come</t>
    <phoneticPr fontId="1"/>
  </si>
  <si>
    <t>〈名詞〉to go</t>
    <phoneticPr fontId="1"/>
  </si>
  <si>
    <t>anything but ~</t>
    <phoneticPr fontId="1"/>
  </si>
  <si>
    <t>nothing but ~</t>
    <phoneticPr fontId="1"/>
  </si>
  <si>
    <t>at first</t>
    <phoneticPr fontId="1"/>
  </si>
  <si>
    <t>for the first time</t>
    <phoneticPr fontId="1"/>
  </si>
  <si>
    <t>in the way (of ~)</t>
    <phoneticPr fontId="1"/>
  </si>
  <si>
    <t>on the way (to ~)</t>
    <phoneticPr fontId="1"/>
  </si>
  <si>
    <t>by now</t>
    <phoneticPr fontId="1"/>
  </si>
  <si>
    <t>for now</t>
    <phoneticPr fontId="1"/>
  </si>
  <si>
    <t>on the contrary</t>
    <phoneticPr fontId="1"/>
  </si>
  <si>
    <t>to the contrary</t>
    <phoneticPr fontId="1"/>
  </si>
  <si>
    <t>in the air</t>
    <phoneticPr fontId="1"/>
  </si>
  <si>
    <t>on the air</t>
    <phoneticPr fontId="1"/>
  </si>
  <si>
    <t>by chance</t>
    <phoneticPr fontId="1"/>
  </si>
  <si>
    <t>by any chance</t>
    <phoneticPr fontId="1"/>
  </si>
  <si>
    <t>as a matter of course</t>
    <phoneticPr fontId="1"/>
  </si>
  <si>
    <t>as a matter of fact</t>
    <phoneticPr fontId="1"/>
  </si>
  <si>
    <t>at a distance</t>
    <phoneticPr fontId="1"/>
  </si>
  <si>
    <t>in the distance</t>
    <phoneticPr fontId="1"/>
  </si>
  <si>
    <t>inside out</t>
    <phoneticPr fontId="1"/>
  </si>
  <si>
    <t>upside down</t>
    <phoneticPr fontId="1"/>
  </si>
  <si>
    <t>provide A with B</t>
    <phoneticPr fontId="1"/>
  </si>
  <si>
    <t>supply A with B</t>
    <phoneticPr fontId="1"/>
  </si>
  <si>
    <t>mistake A for B</t>
    <phoneticPr fontId="1"/>
  </si>
  <si>
    <t>take A for B</t>
    <phoneticPr fontId="1"/>
  </si>
  <si>
    <t>look on / upon A as B</t>
    <phoneticPr fontId="1"/>
  </si>
  <si>
    <t>think of A as B</t>
    <phoneticPr fontId="1"/>
  </si>
  <si>
    <t>distinguish A from B</t>
    <phoneticPr fontId="1"/>
  </si>
  <si>
    <t>tell A from B</t>
    <phoneticPr fontId="1"/>
  </si>
  <si>
    <t>participate in ~</t>
    <phoneticPr fontId="1"/>
  </si>
  <si>
    <t>take part in ~</t>
    <phoneticPr fontId="1"/>
  </si>
  <si>
    <t>make up (~)</t>
    <phoneticPr fontId="1"/>
  </si>
  <si>
    <t>care for ~</t>
    <phoneticPr fontId="1"/>
  </si>
  <si>
    <t>look after ~</t>
    <phoneticPr fontId="1"/>
  </si>
  <si>
    <t>show up (~)</t>
    <phoneticPr fontId="1"/>
  </si>
  <si>
    <t>turn up (~)</t>
    <phoneticPr fontId="1"/>
  </si>
  <si>
    <t>consist in ~</t>
    <phoneticPr fontId="1"/>
  </si>
  <si>
    <t>lie in ~</t>
    <phoneticPr fontId="1"/>
  </si>
  <si>
    <t>give in (~)</t>
    <phoneticPr fontId="1"/>
  </si>
  <si>
    <t>give way (to ~)</t>
    <phoneticPr fontId="1"/>
  </si>
  <si>
    <t>stand out</t>
    <phoneticPr fontId="1"/>
  </si>
  <si>
    <t>stick out</t>
    <phoneticPr fontId="1"/>
  </si>
  <si>
    <t>cling to ~</t>
    <phoneticPr fontId="1"/>
  </si>
  <si>
    <t>stick to ~</t>
    <phoneticPr fontId="1"/>
  </si>
  <si>
    <t>count on / upon ~</t>
    <phoneticPr fontId="1"/>
  </si>
  <si>
    <t>rest on / upon ~</t>
    <phoneticPr fontId="1"/>
  </si>
  <si>
    <t>look out (for ~)</t>
    <phoneticPr fontId="1"/>
  </si>
  <si>
    <t>watch out (for ~)</t>
    <phoneticPr fontId="1"/>
  </si>
  <si>
    <t>hand over ~</t>
    <phoneticPr fontId="1"/>
  </si>
  <si>
    <t>turn over ~</t>
    <phoneticPr fontId="1"/>
  </si>
  <si>
    <t>date back to ~</t>
    <phoneticPr fontId="1"/>
  </si>
  <si>
    <t xml:space="preserve">date from ~ </t>
    <phoneticPr fontId="1"/>
  </si>
  <si>
    <t>put aside ~</t>
    <phoneticPr fontId="1"/>
  </si>
  <si>
    <t>set aside ~</t>
    <phoneticPr fontId="1"/>
  </si>
  <si>
    <t>sit up</t>
    <phoneticPr fontId="1"/>
  </si>
  <si>
    <t>stay up</t>
    <phoneticPr fontId="1"/>
  </si>
  <si>
    <t>hold back ~</t>
    <phoneticPr fontId="1"/>
  </si>
  <si>
    <t>keep back ~</t>
    <phoneticPr fontId="1"/>
  </si>
  <si>
    <t>feel sorry for ~</t>
    <phoneticPr fontId="1"/>
  </si>
  <si>
    <t>take / have pity on ~</t>
    <phoneticPr fontId="1"/>
  </si>
  <si>
    <t>sympathize with ~</t>
    <phoneticPr fontId="1"/>
  </si>
  <si>
    <t>take pride in ~</t>
    <phoneticPr fontId="1"/>
  </si>
  <si>
    <t>pride oneself on ~</t>
    <phoneticPr fontId="1"/>
  </si>
  <si>
    <t>surrender to ~</t>
    <phoneticPr fontId="1"/>
  </si>
  <si>
    <t>yield to ~</t>
    <phoneticPr fontId="1"/>
  </si>
  <si>
    <t>be essential to ~</t>
    <phoneticPr fontId="1"/>
  </si>
  <si>
    <t>be indispensable to / for ~</t>
    <phoneticPr fontId="1"/>
  </si>
  <si>
    <t>be equal to ~</t>
    <phoneticPr fontId="1"/>
  </si>
  <si>
    <t>be equivalent to ~</t>
    <phoneticPr fontId="1"/>
  </si>
  <si>
    <t>be apt to do</t>
    <phoneticPr fontId="1"/>
  </si>
  <si>
    <t>be inclined to do</t>
    <phoneticPr fontId="1"/>
  </si>
  <si>
    <t>in a sense</t>
    <phoneticPr fontId="1"/>
  </si>
  <si>
    <t>in a way</t>
    <phoneticPr fontId="1"/>
  </si>
  <si>
    <t>first of all</t>
    <phoneticPr fontId="1"/>
  </si>
  <si>
    <t>in the first place</t>
    <phoneticPr fontId="1"/>
  </si>
  <si>
    <t>back and forth</t>
    <phoneticPr fontId="1"/>
  </si>
  <si>
    <t>up and down</t>
    <phoneticPr fontId="1"/>
  </si>
  <si>
    <t>at present</t>
    <phoneticPr fontId="1"/>
  </si>
  <si>
    <t>at the moment</t>
    <phoneticPr fontId="1"/>
  </si>
  <si>
    <t>in a word</t>
    <phoneticPr fontId="1"/>
  </si>
  <si>
    <t>in short</t>
    <phoneticPr fontId="1"/>
  </si>
  <si>
    <t>generally speaking</t>
    <phoneticPr fontId="1"/>
  </si>
  <si>
    <t>on the whole</t>
    <phoneticPr fontId="1"/>
  </si>
  <si>
    <t>all in all</t>
    <phoneticPr fontId="1"/>
  </si>
  <si>
    <t>in principle</t>
    <phoneticPr fontId="1"/>
  </si>
  <si>
    <t>in theory</t>
    <phoneticPr fontId="1"/>
  </si>
  <si>
    <t>at all costs / at any cost</t>
    <phoneticPr fontId="1"/>
  </si>
  <si>
    <t>by all means</t>
    <phoneticPr fontId="1"/>
  </si>
  <si>
    <t>as it were</t>
    <phoneticPr fontId="1"/>
  </si>
  <si>
    <t>so to speak / say</t>
    <phoneticPr fontId="1"/>
  </si>
  <si>
    <t>for one's own part</t>
    <phoneticPr fontId="1"/>
  </si>
  <si>
    <t>on one's part</t>
    <phoneticPr fontId="1"/>
  </si>
  <si>
    <t>for the present</t>
    <phoneticPr fontId="1"/>
  </si>
  <si>
    <t>for the time being</t>
    <phoneticPr fontId="1"/>
  </si>
  <si>
    <t>close / near at hand</t>
    <phoneticPr fontId="1"/>
  </si>
  <si>
    <t>(just) around the corner</t>
    <phoneticPr fontId="1"/>
  </si>
  <si>
    <t>for all ~</t>
    <phoneticPr fontId="1"/>
  </si>
  <si>
    <t>with all ~</t>
    <phoneticPr fontId="1"/>
  </si>
  <si>
    <t>as for ~</t>
    <phoneticPr fontId="1"/>
  </si>
  <si>
    <t>as to ~</t>
    <phoneticPr fontId="1"/>
  </si>
  <si>
    <t>not to mention ~</t>
    <phoneticPr fontId="1"/>
  </si>
  <si>
    <t>to say nothing of ~</t>
    <phoneticPr fontId="1"/>
  </si>
  <si>
    <t>be dependent on / upon ~</t>
    <phoneticPr fontId="1"/>
  </si>
  <si>
    <t xml:space="preserve">be independent of ~ </t>
    <phoneticPr fontId="1"/>
  </si>
  <si>
    <t>in order</t>
    <phoneticPr fontId="1"/>
  </si>
  <si>
    <t>out of order</t>
    <phoneticPr fontId="1"/>
  </si>
  <si>
    <t>look down on / upon ~</t>
    <phoneticPr fontId="1"/>
  </si>
  <si>
    <t>look up to ~</t>
    <phoneticPr fontId="1"/>
  </si>
  <si>
    <t>do with ~</t>
    <phoneticPr fontId="1"/>
  </si>
  <si>
    <t>do without (~)</t>
    <phoneticPr fontId="1"/>
  </si>
  <si>
    <t>in / within sight</t>
    <phoneticPr fontId="1"/>
  </si>
  <si>
    <t>out of sight</t>
    <phoneticPr fontId="1"/>
  </si>
  <si>
    <t>at (one's) ease</t>
    <phoneticPr fontId="1"/>
  </si>
  <si>
    <t>ill at ease</t>
    <phoneticPr fontId="1"/>
  </si>
  <si>
    <t>act on / upon ~</t>
    <phoneticPr fontId="1"/>
  </si>
  <si>
    <t>break in (~)</t>
    <phoneticPr fontId="1"/>
  </si>
  <si>
    <t>break out</t>
    <phoneticPr fontId="1"/>
  </si>
  <si>
    <t>break up (~)</t>
    <phoneticPr fontId="1"/>
  </si>
  <si>
    <t>call for ~</t>
    <phoneticPr fontId="1"/>
  </si>
  <si>
    <t>call on / upon ~</t>
    <phoneticPr fontId="1"/>
  </si>
  <si>
    <t>come across (~)</t>
    <phoneticPr fontId="1"/>
  </si>
  <si>
    <t>come to (~)</t>
    <phoneticPr fontId="1"/>
  </si>
  <si>
    <t>give out (~)</t>
    <phoneticPr fontId="1"/>
  </si>
  <si>
    <t>go by (~)</t>
    <phoneticPr fontId="1"/>
  </si>
  <si>
    <t>go off</t>
    <phoneticPr fontId="1"/>
  </si>
  <si>
    <t>go on (~)</t>
    <phoneticPr fontId="1"/>
  </si>
  <si>
    <t>go out</t>
    <phoneticPr fontId="1"/>
  </si>
  <si>
    <t>go over ~</t>
    <phoneticPr fontId="1"/>
  </si>
  <si>
    <t>go with ~</t>
    <phoneticPr fontId="1"/>
  </si>
  <si>
    <t>hold out (~)</t>
    <phoneticPr fontId="1"/>
  </si>
  <si>
    <t>hold up (~)</t>
    <phoneticPr fontId="1"/>
  </si>
  <si>
    <t>live on (~)</t>
    <phoneticPr fontId="1"/>
  </si>
  <si>
    <t>look to ~</t>
    <phoneticPr fontId="1"/>
  </si>
  <si>
    <t>look up ~</t>
    <phoneticPr fontId="1"/>
  </si>
  <si>
    <t>put out ~</t>
    <phoneticPr fontId="1"/>
  </si>
  <si>
    <t>settle down</t>
    <phoneticPr fontId="1"/>
  </si>
  <si>
    <t>stand by</t>
    <phoneticPr fontId="1"/>
  </si>
  <si>
    <t>stand for ~</t>
    <phoneticPr fontId="1"/>
  </si>
  <si>
    <t>take in ~</t>
    <phoneticPr fontId="1"/>
  </si>
  <si>
    <t>take on ~</t>
    <phoneticPr fontId="1"/>
  </si>
  <si>
    <t>take to ~</t>
    <phoneticPr fontId="1"/>
  </si>
  <si>
    <t>take up ~</t>
    <phoneticPr fontId="1"/>
  </si>
  <si>
    <t>turn down ~</t>
    <phoneticPr fontId="1"/>
  </si>
  <si>
    <t>turn in ~</t>
    <phoneticPr fontId="1"/>
  </si>
  <si>
    <t>make for ~</t>
    <phoneticPr fontId="1"/>
  </si>
  <si>
    <t>make out ~</t>
    <phoneticPr fontId="1"/>
  </si>
  <si>
    <t>meet with ~</t>
    <phoneticPr fontId="1"/>
  </si>
  <si>
    <t>provide for ~</t>
    <phoneticPr fontId="1"/>
  </si>
  <si>
    <t>put down ~</t>
    <phoneticPr fontId="1"/>
  </si>
  <si>
    <t>run over (~)</t>
    <phoneticPr fontId="1"/>
  </si>
  <si>
    <t>set out (~)</t>
    <phoneticPr fontId="1"/>
  </si>
  <si>
    <t>be due to ~</t>
    <phoneticPr fontId="1"/>
  </si>
  <si>
    <t>up to ~</t>
    <phoneticPr fontId="1"/>
  </si>
  <si>
    <t>at large</t>
    <phoneticPr fontId="1"/>
  </si>
  <si>
    <t>in effect</t>
    <phoneticPr fontId="1"/>
  </si>
  <si>
    <t>all but ~</t>
    <phoneticPr fontId="1"/>
  </si>
  <si>
    <t>at length</t>
    <phoneticPr fontId="1"/>
  </si>
  <si>
    <t>next to ~</t>
    <phoneticPr fontId="1"/>
  </si>
  <si>
    <t>on end</t>
    <phoneticPr fontId="1"/>
  </si>
  <si>
    <t>by way of ~</t>
    <phoneticPr fontId="1"/>
  </si>
  <si>
    <t>add to ~</t>
    <phoneticPr fontId="1"/>
  </si>
  <si>
    <t>adapt to ~</t>
    <phoneticPr fontId="1"/>
  </si>
  <si>
    <t>object to ~</t>
    <phoneticPr fontId="1"/>
  </si>
  <si>
    <t>admit to ~</t>
    <phoneticPr fontId="1"/>
  </si>
  <si>
    <t>conform to / with ~</t>
    <phoneticPr fontId="1"/>
  </si>
  <si>
    <t>resort to ~</t>
    <phoneticPr fontId="1"/>
  </si>
  <si>
    <t>keep to ~</t>
    <phoneticPr fontId="1"/>
  </si>
  <si>
    <t>get to ~</t>
    <phoneticPr fontId="1"/>
  </si>
  <si>
    <t>adhere to ~</t>
    <phoneticPr fontId="1"/>
  </si>
  <si>
    <t>reflect on ~</t>
    <phoneticPr fontId="1"/>
  </si>
  <si>
    <t>dicide on ~</t>
    <phoneticPr fontId="1"/>
  </si>
  <si>
    <t>fall on ~</t>
    <phoneticPr fontId="1"/>
  </si>
  <si>
    <t>feed on ~</t>
    <phoneticPr fontId="1"/>
  </si>
  <si>
    <t>run into ~</t>
    <phoneticPr fontId="1"/>
  </si>
  <si>
    <t xml:space="preserve">break into ~ </t>
    <phoneticPr fontId="1"/>
  </si>
  <si>
    <t>enter into ~</t>
    <phoneticPr fontId="1"/>
  </si>
  <si>
    <t>burst into ~</t>
    <phoneticPr fontId="1"/>
  </si>
  <si>
    <t>dispose of ~</t>
    <phoneticPr fontId="1"/>
  </si>
  <si>
    <t>approve of ~</t>
    <phoneticPr fontId="1"/>
  </si>
  <si>
    <t>boast of / about ~</t>
    <phoneticPr fontId="1"/>
  </si>
  <si>
    <t>become of ~</t>
    <phoneticPr fontId="1"/>
  </si>
  <si>
    <t>aim at ~</t>
    <phoneticPr fontId="1"/>
  </si>
  <si>
    <t>interfere with ~</t>
    <phoneticPr fontId="1"/>
  </si>
  <si>
    <t>part with ~</t>
    <phoneticPr fontId="1"/>
  </si>
  <si>
    <t>long for ~</t>
    <phoneticPr fontId="1"/>
  </si>
  <si>
    <t>send for ~</t>
    <phoneticPr fontId="1"/>
  </si>
  <si>
    <t>go about ~</t>
    <phoneticPr fontId="1"/>
  </si>
  <si>
    <t>run across ~</t>
    <phoneticPr fontId="1"/>
  </si>
  <si>
    <t>end up （doing / 場所 / 状態）</t>
    <phoneticPr fontId="1"/>
  </si>
  <si>
    <t>use up ~</t>
    <phoneticPr fontId="1"/>
  </si>
  <si>
    <t>sum up (~)</t>
    <phoneticPr fontId="1"/>
  </si>
  <si>
    <t>clear up (~)</t>
    <phoneticPr fontId="1"/>
  </si>
  <si>
    <t>tie up (~)</t>
    <phoneticPr fontId="1"/>
  </si>
  <si>
    <t>cheer up (~)</t>
    <phoneticPr fontId="1"/>
  </si>
  <si>
    <t>blow up (~)</t>
    <phoneticPr fontId="1"/>
  </si>
  <si>
    <t>call up (~)</t>
    <phoneticPr fontId="1"/>
  </si>
  <si>
    <t>shut up (~)</t>
    <phoneticPr fontId="1"/>
  </si>
  <si>
    <t>step up (~)</t>
    <phoneticPr fontId="1"/>
  </si>
  <si>
    <t>cut down / back (on ~)</t>
    <phoneticPr fontId="1"/>
  </si>
  <si>
    <t>slow down (~)</t>
    <phoneticPr fontId="1"/>
  </si>
  <si>
    <t>break down (~)</t>
    <phoneticPr fontId="1"/>
  </si>
  <si>
    <t>hand down ~</t>
    <phoneticPr fontId="1"/>
  </si>
  <si>
    <t>take down ~</t>
    <phoneticPr fontId="1"/>
  </si>
  <si>
    <t>burn down ~</t>
    <phoneticPr fontId="1"/>
  </si>
  <si>
    <t>come out</t>
    <phoneticPr fontId="1"/>
  </si>
  <si>
    <t>run out</t>
    <phoneticPr fontId="1"/>
  </si>
  <si>
    <t>speak out / up</t>
    <phoneticPr fontId="1"/>
  </si>
  <si>
    <t>drop out</t>
    <phoneticPr fontId="1"/>
  </si>
  <si>
    <t xml:space="preserve">sort out ~ </t>
    <phoneticPr fontId="1"/>
  </si>
  <si>
    <t>wear out (~)</t>
    <phoneticPr fontId="1"/>
  </si>
  <si>
    <t>roll out (~)</t>
    <phoneticPr fontId="1"/>
  </si>
  <si>
    <t>iron out ~</t>
    <phoneticPr fontId="1"/>
  </si>
  <si>
    <t>set off (~)</t>
    <phoneticPr fontId="1"/>
  </si>
  <si>
    <t>show off (~)</t>
    <phoneticPr fontId="1"/>
  </si>
  <si>
    <t>keep off ~</t>
    <phoneticPr fontId="1"/>
  </si>
  <si>
    <t>give off ~</t>
    <phoneticPr fontId="1"/>
  </si>
  <si>
    <t>break off (~)</t>
    <phoneticPr fontId="1"/>
  </si>
  <si>
    <t>take over (~)</t>
    <phoneticPr fontId="1"/>
  </si>
  <si>
    <t>put in ~</t>
    <phoneticPr fontId="1"/>
  </si>
  <si>
    <t>drop in</t>
    <phoneticPr fontId="1"/>
  </si>
  <si>
    <t>cut in</t>
    <phoneticPr fontId="1"/>
  </si>
  <si>
    <t>pass on ~</t>
    <phoneticPr fontId="1"/>
  </si>
  <si>
    <t>give away ~</t>
    <phoneticPr fontId="1"/>
  </si>
  <si>
    <t>adjust (A) to B</t>
    <phoneticPr fontId="1"/>
  </si>
  <si>
    <t>compare A with / to B</t>
    <phoneticPr fontId="1"/>
  </si>
  <si>
    <t>expose A to B</t>
    <phoneticPr fontId="1"/>
  </si>
  <si>
    <t>leave A (up) to B</t>
    <phoneticPr fontId="1"/>
  </si>
  <si>
    <t>attach A to B</t>
    <phoneticPr fontId="1"/>
  </si>
  <si>
    <t>attribute A to B</t>
    <phoneticPr fontId="1"/>
  </si>
  <si>
    <t>owe A to B</t>
    <phoneticPr fontId="1"/>
  </si>
  <si>
    <t>confine A to B</t>
    <phoneticPr fontId="1"/>
  </si>
  <si>
    <t>liken A to B</t>
    <phoneticPr fontId="1"/>
  </si>
  <si>
    <t>keep A from B</t>
    <phoneticPr fontId="1"/>
  </si>
  <si>
    <t>discourage A from B</t>
    <phoneticPr fontId="1"/>
  </si>
  <si>
    <t>forbid A from doing</t>
    <phoneticPr fontId="1"/>
  </si>
  <si>
    <t>prohibit A from doing</t>
    <phoneticPr fontId="1"/>
  </si>
  <si>
    <t>order A from B</t>
    <phoneticPr fontId="1"/>
  </si>
  <si>
    <t>substitute A for B</t>
    <phoneticPr fontId="1"/>
  </si>
  <si>
    <t>exchange A for B</t>
    <phoneticPr fontId="1"/>
  </si>
  <si>
    <t>blame A for B</t>
    <phoneticPr fontId="1"/>
  </si>
  <si>
    <t>punish A for B</t>
    <phoneticPr fontId="1"/>
  </si>
  <si>
    <t>forgive A for B</t>
    <phoneticPr fontId="1"/>
  </si>
  <si>
    <t>deprive A of B</t>
    <phoneticPr fontId="1"/>
  </si>
  <si>
    <t>rob A ob B</t>
    <phoneticPr fontId="1"/>
  </si>
  <si>
    <t>cure A of B</t>
    <phoneticPr fontId="1"/>
  </si>
  <si>
    <t>accuse A of B</t>
    <phoneticPr fontId="1"/>
  </si>
  <si>
    <t>suspect A of B</t>
    <phoneticPr fontId="1"/>
  </si>
  <si>
    <t>assure A of B</t>
    <phoneticPr fontId="1"/>
  </si>
  <si>
    <t>transform A into / to B</t>
    <phoneticPr fontId="1"/>
  </si>
  <si>
    <t>talk A into B</t>
    <phoneticPr fontId="1"/>
  </si>
  <si>
    <t>present A with B</t>
    <phoneticPr fontId="1"/>
  </si>
  <si>
    <t>diagnose A as / with B</t>
    <phoneticPr fontId="1"/>
  </si>
  <si>
    <t>strike A as B</t>
    <phoneticPr fontId="1"/>
  </si>
  <si>
    <t>congratulate A on B</t>
    <phoneticPr fontId="1"/>
  </si>
  <si>
    <t>name A after B</t>
    <phoneticPr fontId="1"/>
  </si>
  <si>
    <t>make an effort / efforts</t>
    <phoneticPr fontId="1"/>
  </si>
  <si>
    <t>make way</t>
    <phoneticPr fontId="1"/>
  </si>
  <si>
    <t>live / lead a ~ life</t>
    <phoneticPr fontId="1"/>
  </si>
  <si>
    <t>make / earn［a / one's］living</t>
    <phoneticPr fontId="1"/>
  </si>
  <si>
    <t>take one's place</t>
    <phoneticPr fontId="1"/>
  </si>
  <si>
    <t>take turns</t>
    <phoneticPr fontId="1"/>
  </si>
  <si>
    <t>take a chance / chances</t>
    <phoneticPr fontId="1"/>
  </si>
  <si>
    <t>take shape</t>
    <phoneticPr fontId="1"/>
  </si>
  <si>
    <t>take / have a seat</t>
    <phoneticPr fontId="1"/>
  </si>
  <si>
    <t>take a risk / risks</t>
    <phoneticPr fontId="1"/>
  </si>
  <si>
    <t>shake hands</t>
    <phoneticPr fontId="1"/>
  </si>
  <si>
    <t>change hands</t>
    <phoneticPr fontId="1"/>
  </si>
  <si>
    <t>have a say (in ~)</t>
    <phoneticPr fontId="1"/>
  </si>
  <si>
    <t>have / get one's (own) way</t>
    <phoneticPr fontId="1"/>
  </si>
  <si>
    <t>keep / hold one's temper</t>
    <phoneticPr fontId="1"/>
  </si>
  <si>
    <t xml:space="preserve">take advantage of ~ </t>
    <phoneticPr fontId="1"/>
  </si>
  <si>
    <t>take control of ~</t>
    <phoneticPr fontId="1"/>
  </si>
  <si>
    <t>make use of ~</t>
    <phoneticPr fontId="1"/>
  </si>
  <si>
    <t>make fun of ~</t>
    <phoneticPr fontId="1"/>
  </si>
  <si>
    <t>make friends with ~</t>
    <phoneticPr fontId="1"/>
  </si>
  <si>
    <t>make much of ~</t>
    <phoneticPr fontId="1"/>
  </si>
  <si>
    <t>have difficulty (in) doing</t>
    <phoneticPr fontId="1"/>
  </si>
  <si>
    <t>have access to ~</t>
    <phoneticPr fontId="1"/>
  </si>
  <si>
    <t>have an influence / effect on ~</t>
    <phoneticPr fontId="1"/>
  </si>
  <si>
    <t>have a liking for ~</t>
    <phoneticPr fontId="1"/>
  </si>
  <si>
    <t>give rise to ~</t>
    <phoneticPr fontId="1"/>
  </si>
  <si>
    <t>give birth to ~</t>
    <phoneticPr fontId="1"/>
  </si>
  <si>
    <t>find one's way to ~</t>
    <phoneticPr fontId="1"/>
  </si>
  <si>
    <t>keep an eye on ~</t>
    <phoneticPr fontId="1"/>
  </si>
  <si>
    <t>catch sight of ~</t>
    <phoneticPr fontId="1"/>
  </si>
  <si>
    <t>put emphasis / stress on ~</t>
    <phoneticPr fontId="1"/>
  </si>
  <si>
    <t>be related to ~</t>
    <phoneticPr fontId="1"/>
  </si>
  <si>
    <t>be similar to ~</t>
    <phoneticPr fontId="1"/>
  </si>
  <si>
    <t>be subject to ~</t>
    <phoneticPr fontId="1"/>
  </si>
  <si>
    <t>be superior to ~</t>
    <phoneticPr fontId="1"/>
  </si>
  <si>
    <t>be sensitive to ~</t>
    <phoneticPr fontId="1"/>
  </si>
  <si>
    <t>be accustomed to ~</t>
    <phoneticPr fontId="1"/>
  </si>
  <si>
    <t>be contrary to ~</t>
    <phoneticPr fontId="1"/>
  </si>
  <si>
    <t>be indifferent to / towards ~</t>
    <phoneticPr fontId="1"/>
  </si>
  <si>
    <t>be preferable to ~</t>
    <phoneticPr fontId="1"/>
  </si>
  <si>
    <t>be dedicated to ~</t>
    <phoneticPr fontId="1"/>
  </si>
  <si>
    <t>be peculiar to ~</t>
    <phoneticPr fontId="1"/>
  </si>
  <si>
    <t>be prone to ~</t>
    <phoneticPr fontId="1"/>
  </si>
  <si>
    <t>be identical to / with ~</t>
    <phoneticPr fontId="1"/>
  </si>
  <si>
    <t>be involved in ~</t>
    <phoneticPr fontId="1"/>
  </si>
  <si>
    <t>be absorbed in ~</t>
    <phoneticPr fontId="1"/>
  </si>
  <si>
    <t>be lacking in ~</t>
    <phoneticPr fontId="1"/>
  </si>
  <si>
    <t>be versed in ~</t>
    <phoneticPr fontId="1"/>
  </si>
  <si>
    <t>be abundant in ~</t>
    <phoneticPr fontId="1"/>
  </si>
  <si>
    <t>be busy with ~</t>
    <phoneticPr fontId="1"/>
  </si>
  <si>
    <t>be popular with / among ~</t>
    <phoneticPr fontId="1"/>
  </si>
  <si>
    <t>be equipped with ~</t>
    <phoneticPr fontId="1"/>
  </si>
  <si>
    <t>be content / contented with ~</t>
    <phoneticPr fontId="1"/>
  </si>
  <si>
    <t>be confronted with / by ~</t>
    <phoneticPr fontId="1"/>
  </si>
  <si>
    <t>be characteristic of ~</t>
    <phoneticPr fontId="1"/>
  </si>
  <si>
    <t>be worthy of ~</t>
    <phoneticPr fontId="1"/>
  </si>
  <si>
    <t>be ignorant of ~</t>
    <phoneticPr fontId="1"/>
  </si>
  <si>
    <t>be confident of / about ~</t>
    <phoneticPr fontId="1"/>
  </si>
  <si>
    <t>be considerate of / to ~</t>
    <phoneticPr fontId="1"/>
  </si>
  <si>
    <t>be guilty of ~</t>
    <phoneticPr fontId="1"/>
  </si>
  <si>
    <t>be convinced of ~</t>
    <phoneticPr fontId="1"/>
  </si>
  <si>
    <t>be tolerant of ~</t>
    <phoneticPr fontId="1"/>
  </si>
  <si>
    <t>be wary of ~</t>
    <phoneticPr fontId="1"/>
  </si>
  <si>
    <t>be suitable for / to ~</t>
    <phoneticPr fontId="1"/>
  </si>
  <si>
    <t>be grateful (to A) for B</t>
    <phoneticPr fontId="1"/>
  </si>
  <si>
    <t>be particular about / over ~</t>
    <phoneticPr fontId="1"/>
  </si>
  <si>
    <t>come down with ~</t>
    <phoneticPr fontId="1"/>
  </si>
  <si>
    <t>come into being / existence</t>
    <phoneticPr fontId="1"/>
  </si>
  <si>
    <t>come true</t>
    <phoneticPr fontId="1"/>
  </si>
  <si>
    <t>do ~ good</t>
    <phoneticPr fontId="1"/>
  </si>
  <si>
    <t>get in touch (with ~)</t>
    <phoneticPr fontId="1"/>
  </si>
  <si>
    <t>go blind</t>
    <phoneticPr fontId="1"/>
  </si>
  <si>
    <t>have A in common (with B)</t>
    <phoneticPr fontId="1"/>
  </si>
  <si>
    <t>keep / bear ~ in mind</t>
    <phoneticPr fontId="1"/>
  </si>
  <si>
    <t>look back on / to ~</t>
    <phoneticPr fontId="1"/>
  </si>
  <si>
    <t>make it</t>
    <phoneticPr fontId="1"/>
  </si>
  <si>
    <t>sign up for ~</t>
    <phoneticPr fontId="1"/>
  </si>
  <si>
    <t>take ~ by surprise</t>
    <phoneticPr fontId="1"/>
  </si>
  <si>
    <t>in terms of ~</t>
    <phoneticPr fontId="1"/>
  </si>
  <si>
    <t>in danger of ~</t>
    <phoneticPr fontId="1"/>
  </si>
  <si>
    <t>in need of ~</t>
    <phoneticPr fontId="1"/>
  </si>
  <si>
    <t>in response to ~</t>
    <phoneticPr fontId="1"/>
  </si>
  <si>
    <t>in favor of ~</t>
    <phoneticPr fontId="1"/>
  </si>
  <si>
    <t>in the face of ~</t>
    <phoneticPr fontId="1"/>
  </si>
  <si>
    <t>in charge of ~</t>
    <phoneticPr fontId="1"/>
  </si>
  <si>
    <t>in relation to ~</t>
    <phoneticPr fontId="1"/>
  </si>
  <si>
    <t>in place of ~</t>
    <phoneticPr fontId="1"/>
  </si>
  <si>
    <t>in the presence of ~</t>
    <phoneticPr fontId="1"/>
  </si>
  <si>
    <t>in honor of ~</t>
    <phoneticPr fontId="1"/>
  </si>
  <si>
    <t>in (the) light of ~</t>
    <phoneticPr fontId="1"/>
  </si>
  <si>
    <t>in harmony with ~</t>
    <phoneticPr fontId="1"/>
  </si>
  <si>
    <t>in exchange for ~</t>
    <phoneticPr fontId="1"/>
  </si>
  <si>
    <t>for the sake of ~</t>
    <phoneticPr fontId="1"/>
  </si>
  <si>
    <t>for fear of ~</t>
    <phoneticPr fontId="1"/>
  </si>
  <si>
    <t>for lack / want of ~</t>
    <phoneticPr fontId="1"/>
  </si>
  <si>
    <t>at the expense of ~</t>
    <phoneticPr fontId="1"/>
  </si>
  <si>
    <t>at the sight of ~</t>
    <phoneticPr fontId="1"/>
  </si>
  <si>
    <t>at the mercy of ~</t>
    <phoneticPr fontId="1"/>
  </si>
  <si>
    <t>as opposed to ~</t>
    <phoneticPr fontId="1"/>
  </si>
  <si>
    <t>by means of ~</t>
    <phoneticPr fontId="1"/>
  </si>
  <si>
    <t>by / in virtue of ~</t>
    <phoneticPr fontId="1"/>
  </si>
  <si>
    <t>on / in behalf of ~</t>
    <phoneticPr fontId="1"/>
  </si>
  <si>
    <t>on a / the charge of ~</t>
    <phoneticPr fontId="1"/>
  </si>
  <si>
    <t>with / in regard to ~</t>
    <phoneticPr fontId="1"/>
  </si>
  <si>
    <t>in part</t>
    <phoneticPr fontId="1"/>
  </si>
  <si>
    <t>in turn</t>
    <phoneticPr fontId="1"/>
  </si>
  <si>
    <t>in place</t>
    <phoneticPr fontId="1"/>
  </si>
  <si>
    <t>in practice</t>
    <phoneticPr fontId="1"/>
  </si>
  <si>
    <t>in demand</t>
    <phoneticPr fontId="1"/>
  </si>
  <si>
    <t>in the meanwhile / meantime</t>
    <phoneticPr fontId="1"/>
  </si>
  <si>
    <t>in all likelihood</t>
    <phoneticPr fontId="1"/>
  </si>
  <si>
    <t>at work</t>
    <phoneticPr fontId="1"/>
  </si>
  <si>
    <t>at risk</t>
    <phoneticPr fontId="1"/>
  </si>
  <si>
    <t>at a loss</t>
    <phoneticPr fontId="1"/>
  </si>
  <si>
    <t>at first sight</t>
    <phoneticPr fontId="1"/>
  </si>
  <si>
    <t>at heart</t>
    <phoneticPr fontId="1"/>
  </si>
  <si>
    <t>at intervals</t>
    <phoneticPr fontId="1"/>
  </si>
  <si>
    <t>on (the / an) average</t>
    <phoneticPr fontId="1"/>
  </si>
  <si>
    <t>on a ~ basis</t>
    <phoneticPr fontId="1"/>
  </si>
  <si>
    <t>on a ~ scale</t>
    <phoneticPr fontId="1"/>
  </si>
  <si>
    <t>on display</t>
    <phoneticPr fontId="1"/>
  </si>
  <si>
    <t>on the increase</t>
    <phoneticPr fontId="1"/>
  </si>
  <si>
    <t>on (one's) guard</t>
    <phoneticPr fontId="1"/>
  </si>
  <si>
    <t>to ~ extent / degree</t>
    <phoneticPr fontId="1"/>
  </si>
  <si>
    <t>to one's surprise</t>
    <phoneticPr fontId="1"/>
  </si>
  <si>
    <t>to the point</t>
    <phoneticPr fontId="1"/>
  </si>
  <si>
    <t>to make matters / things worse</t>
    <phoneticPr fontId="1"/>
  </si>
  <si>
    <t>to one's advantage</t>
    <phoneticPr fontId="1"/>
  </si>
  <si>
    <t>from ~ on / onward(s)</t>
    <phoneticPr fontId="1"/>
  </si>
  <si>
    <t>from ~ point of view</t>
    <phoneticPr fontId="1"/>
  </si>
  <si>
    <t>for sure / certain</t>
    <phoneticPr fontId="1"/>
  </si>
  <si>
    <t>under way</t>
    <phoneticPr fontId="1"/>
  </si>
  <si>
    <t>under construction</t>
    <phoneticPr fontId="1"/>
  </si>
  <si>
    <t>of late</t>
    <phoneticPr fontId="1"/>
  </si>
  <si>
    <t>of one's own accord / free will</t>
    <phoneticPr fontId="1"/>
  </si>
  <si>
    <t>without fail</t>
    <phoneticPr fontId="1"/>
  </si>
  <si>
    <t>behind the times</t>
    <phoneticPr fontId="1"/>
  </si>
  <si>
    <t>beyond description</t>
    <phoneticPr fontId="1"/>
  </si>
  <si>
    <t>out of breath</t>
    <phoneticPr fontId="1"/>
  </si>
  <si>
    <t>out of character</t>
    <phoneticPr fontId="1"/>
  </si>
  <si>
    <t>what we call ~</t>
    <phoneticPr fontId="1"/>
  </si>
  <si>
    <t>what S is</t>
    <phoneticPr fontId="1"/>
  </si>
  <si>
    <t>~ will do</t>
    <phoneticPr fontId="1"/>
  </si>
  <si>
    <t>may well do</t>
    <phoneticPr fontId="1"/>
  </si>
  <si>
    <t>might (just) as well do</t>
    <phoneticPr fontId="1"/>
  </si>
  <si>
    <t>cannot V too (…)</t>
    <phoneticPr fontId="1"/>
  </si>
  <si>
    <t>the last 名詞 to do ~</t>
    <phoneticPr fontId="1"/>
  </si>
  <si>
    <t>S have A to do with B</t>
    <phoneticPr fontId="1"/>
  </si>
  <si>
    <t>to tell (you) the truth</t>
    <phoneticPr fontId="1"/>
  </si>
  <si>
    <t>needless to say</t>
    <phoneticPr fontId="1"/>
  </si>
  <si>
    <t>feel like doing / 名詞</t>
    <phoneticPr fontId="1"/>
  </si>
  <si>
    <t>be used to doing</t>
    <phoneticPr fontId="1"/>
  </si>
  <si>
    <t>cannot help doing</t>
    <phoneticPr fontId="1"/>
  </si>
  <si>
    <t>come close / near to doing</t>
    <phoneticPr fontId="1"/>
  </si>
  <si>
    <t>with a view to doing</t>
    <phoneticPr fontId="1"/>
  </si>
  <si>
    <t>joking / kidding aside</t>
    <phoneticPr fontId="1"/>
  </si>
  <si>
    <t>catch ~ doing</t>
    <phoneticPr fontId="1"/>
  </si>
  <si>
    <t>speaking / talking of ~</t>
    <phoneticPr fontId="1"/>
  </si>
  <si>
    <t>judging from / by ~</t>
    <phoneticPr fontId="1"/>
  </si>
  <si>
    <t>that is (to say)</t>
    <phoneticPr fontId="1"/>
  </si>
  <si>
    <t>in itself</t>
    <phoneticPr fontId="1"/>
  </si>
  <si>
    <t>to oneself</t>
    <phoneticPr fontId="1"/>
  </si>
  <si>
    <t>one after another</t>
    <phoneticPr fontId="1"/>
  </si>
  <si>
    <t>none other than ~</t>
    <phoneticPr fontId="1"/>
  </si>
  <si>
    <t>would / had rather do A (than  do B)</t>
    <phoneticPr fontId="1"/>
  </si>
  <si>
    <t>as many / much as ~</t>
    <phoneticPr fontId="1"/>
  </si>
  <si>
    <t>as good as ~</t>
    <phoneticPr fontId="1"/>
  </si>
  <si>
    <t>as ~ as any</t>
    <phoneticPr fontId="1"/>
  </si>
  <si>
    <t>all the 比較級</t>
    <phoneticPr fontId="1"/>
  </si>
  <si>
    <t>that much 比較級</t>
    <phoneticPr fontId="1"/>
  </si>
  <si>
    <t>much / still less ~</t>
    <phoneticPr fontId="1"/>
  </si>
  <si>
    <t>what is more</t>
    <phoneticPr fontId="1"/>
  </si>
  <si>
    <t>know better (than to do)</t>
    <phoneticPr fontId="1"/>
  </si>
  <si>
    <t>Couldn't be better.</t>
    <phoneticPr fontId="1"/>
  </si>
  <si>
    <t>worse still / yet</t>
    <phoneticPr fontId="1"/>
  </si>
  <si>
    <t>to the best of one's knowledge</t>
    <phoneticPr fontId="1"/>
  </si>
  <si>
    <t>not ~ (in) the least</t>
    <phoneticPr fontId="1"/>
  </si>
  <si>
    <t>to the full / fullest</t>
    <phoneticPr fontId="1"/>
  </si>
  <si>
    <t>by far</t>
    <phoneticPr fontId="1"/>
  </si>
  <si>
    <t>provided (that) S V ~</t>
    <phoneticPr fontId="1"/>
  </si>
  <si>
    <t>every / each time S V ~</t>
    <phoneticPr fontId="1"/>
  </si>
  <si>
    <t>the moment / minute S V ~</t>
    <phoneticPr fontId="1"/>
  </si>
  <si>
    <t>when it comes to ~</t>
    <phoneticPr fontId="1"/>
  </si>
  <si>
    <t>as it is</t>
    <phoneticPr fontId="1"/>
  </si>
  <si>
    <t>as / so far as S be concerned</t>
    <phoneticPr fontId="1"/>
  </si>
  <si>
    <t>as follows</t>
    <phoneticPr fontId="1"/>
  </si>
  <si>
    <t xml:space="preserve">as is often the case (with ~) </t>
    <phoneticPr fontId="1"/>
  </si>
  <si>
    <t>as〈複数名詞 / 不可算名詞〉go</t>
    <phoneticPr fontId="1"/>
  </si>
  <si>
    <t>if only S V ~</t>
    <phoneticPr fontId="1"/>
  </si>
  <si>
    <t>if it were not for ~</t>
    <phoneticPr fontId="1"/>
  </si>
  <si>
    <t>(in) the way S V ~</t>
    <phoneticPr fontId="1"/>
  </si>
  <si>
    <t>~ to death</t>
    <phoneticPr fontId="1"/>
  </si>
  <si>
    <t>with ease</t>
    <phoneticPr fontId="1"/>
  </si>
  <si>
    <t>believe it or not</t>
    <phoneticPr fontId="1"/>
  </si>
  <si>
    <t>not all that ~</t>
    <phoneticPr fontId="1"/>
  </si>
  <si>
    <t>the 比較級 ~ , the 比較級 …</t>
    <phoneticPr fontId="1"/>
  </si>
  <si>
    <t>(Just) As ~ , so …</t>
    <phoneticPr fontId="1"/>
  </si>
  <si>
    <t>(It is) No wonder (that) S V ~</t>
    <phoneticPr fontId="1"/>
  </si>
  <si>
    <t>It happens that S V ~</t>
    <phoneticPr fontId="1"/>
  </si>
  <si>
    <t>(The) Chances are (that) ~</t>
    <phoneticPr fontId="1"/>
  </si>
  <si>
    <t>There is no doing ~</t>
    <phoneticPr fontId="1"/>
  </si>
  <si>
    <t>not so much A as B</t>
    <phoneticPr fontId="1"/>
  </si>
  <si>
    <t>hardly ~ when / before …</t>
    <phoneticPr fontId="1"/>
  </si>
  <si>
    <t>never do … without ~</t>
    <phoneticPr fontId="1"/>
  </si>
  <si>
    <t>It goes without saying that S V ~</t>
    <phoneticPr fontId="1"/>
  </si>
  <si>
    <t>(It is) True ~ , but …</t>
    <phoneticPr fontId="1"/>
  </si>
  <si>
    <t>It is not long before ~</t>
    <phoneticPr fontId="1"/>
  </si>
  <si>
    <t>It is (high / about) time (that) S V（仮定法過去）</t>
    <phoneticPr fontId="1"/>
  </si>
  <si>
    <t>no sooner ~ than …</t>
    <phoneticPr fontId="1"/>
  </si>
  <si>
    <t>It is no use doing ~</t>
    <phoneticPr fontId="1"/>
  </si>
  <si>
    <t>It is not until ~ that …</t>
    <phoneticPr fontId="1"/>
  </si>
  <si>
    <t>A is to B what C is to D .</t>
    <phoneticPr fontId="1"/>
  </si>
  <si>
    <t>not so much as do ~</t>
    <phoneticPr fontId="1"/>
  </si>
  <si>
    <t>Nothing is more ~ than A.</t>
    <phoneticPr fontId="1"/>
  </si>
  <si>
    <t>the former ~ , the latter …</t>
    <phoneticPr fontId="1"/>
  </si>
  <si>
    <t>A is one thing ; B is another</t>
    <phoneticPr fontId="1"/>
  </si>
  <si>
    <t>All one has to do is (to) do.</t>
    <phoneticPr fontId="1"/>
  </si>
  <si>
    <t>Suffice (it) to say that S V ~</t>
    <phoneticPr fontId="1"/>
  </si>
  <si>
    <t>be to do</t>
    <phoneticPr fontId="1"/>
  </si>
  <si>
    <t>be forced to do</t>
    <phoneticPr fontId="1"/>
  </si>
  <si>
    <t>be supposed to do</t>
    <phoneticPr fontId="1"/>
  </si>
  <si>
    <t>be to blame (for ~)</t>
    <phoneticPr fontId="1"/>
  </si>
  <si>
    <t>be entitled to ~</t>
    <phoneticPr fontId="1"/>
  </si>
  <si>
    <t>tend to do</t>
    <phoneticPr fontId="1"/>
  </si>
  <si>
    <t>happen to do</t>
    <phoneticPr fontId="1"/>
  </si>
  <si>
    <t>manage to do</t>
    <phoneticPr fontId="1"/>
  </si>
  <si>
    <t>can afford to do</t>
    <phoneticPr fontId="1"/>
  </si>
  <si>
    <t>bother to do</t>
    <phoneticPr fontId="1"/>
  </si>
  <si>
    <t>come to an end / a close</t>
    <phoneticPr fontId="1"/>
  </si>
  <si>
    <t>go so far as to do</t>
    <phoneticPr fontId="1"/>
  </si>
  <si>
    <t>have no (other) choice but to do</t>
    <phoneticPr fontId="1"/>
  </si>
  <si>
    <t>spend 時間 (in) doing</t>
    <phoneticPr fontId="1"/>
  </si>
  <si>
    <t>make a point of doing</t>
    <phoneticPr fontId="1"/>
  </si>
  <si>
    <t>S remain to be seen</t>
    <phoneticPr fontId="1"/>
  </si>
  <si>
    <t>bring oneself to do</t>
    <phoneticPr fontId="1"/>
  </si>
  <si>
    <t>take the trouble to do</t>
    <phoneticPr fontId="1"/>
  </si>
  <si>
    <t>leave nothing to be desired</t>
    <phoneticPr fontId="1"/>
  </si>
  <si>
    <t>in order to do｜so as to do</t>
    <phoneticPr fontId="1"/>
  </si>
  <si>
    <t>in that S V ~</t>
    <phoneticPr fontId="1"/>
  </si>
  <si>
    <t>as / so long as ~</t>
    <phoneticPr fontId="1"/>
  </si>
  <si>
    <t>see (to it) that ~</t>
    <phoneticPr fontId="1"/>
  </si>
  <si>
    <t>so (that) S can do ~</t>
    <phoneticPr fontId="1"/>
  </si>
  <si>
    <t>by the time S V ~</t>
    <phoneticPr fontId="1"/>
  </si>
  <si>
    <t>~ , so (that) …</t>
    <phoneticPr fontId="1"/>
  </si>
  <si>
    <t>now (that) S V ~</t>
    <phoneticPr fontId="1"/>
  </si>
  <si>
    <t>in case S V ~</t>
    <phoneticPr fontId="1"/>
  </si>
  <si>
    <t>given (that) ~</t>
    <phoneticPr fontId="1"/>
  </si>
  <si>
    <t>even as ~</t>
    <phoneticPr fontId="1"/>
  </si>
  <si>
    <t>if any</t>
    <phoneticPr fontId="1"/>
  </si>
  <si>
    <t>on (the) condition (that) S V ~</t>
    <phoneticPr fontId="1"/>
  </si>
  <si>
    <t>lest S (should) do ~</t>
    <phoneticPr fontId="1"/>
  </si>
  <si>
    <t>what with A and B</t>
    <phoneticPr fontId="1"/>
  </si>
  <si>
    <t>…, and ~ at that</t>
    <phoneticPr fontId="1"/>
  </si>
  <si>
    <t>just about</t>
    <phoneticPr fontId="1"/>
  </si>
  <si>
    <t>go ahead</t>
    <phoneticPr fontId="1"/>
  </si>
  <si>
    <t>check out ~</t>
    <phoneticPr fontId="1"/>
  </si>
  <si>
    <t>hold on</t>
    <phoneticPr fontId="1"/>
  </si>
  <si>
    <t>hang up</t>
    <phoneticPr fontId="1"/>
  </si>
  <si>
    <t>give ~ a try</t>
    <phoneticPr fontId="1"/>
  </si>
  <si>
    <t>give ~ a hand</t>
    <phoneticPr fontId="1"/>
  </si>
  <si>
    <t>call back (~)</t>
    <phoneticPr fontId="1"/>
  </si>
  <si>
    <t>from scratch</t>
    <phoneticPr fontId="1"/>
  </si>
  <si>
    <t>see〈人〉off</t>
    <phoneticPr fontId="1"/>
  </si>
  <si>
    <t>hold one's breath</t>
    <phoneticPr fontId="1"/>
  </si>
  <si>
    <t>at / behind the wheel</t>
    <phoneticPr fontId="1"/>
  </si>
  <si>
    <t>having said that</t>
    <phoneticPr fontId="1"/>
  </si>
  <si>
    <t>on the dot</t>
    <phoneticPr fontId="1"/>
  </si>
  <si>
    <t>ask〈人〉a favor</t>
    <phoneticPr fontId="1"/>
  </si>
  <si>
    <t>drive at ~</t>
    <phoneticPr fontId="1"/>
  </si>
  <si>
    <t>before one knows it</t>
    <phoneticPr fontId="1"/>
  </si>
  <si>
    <t>call it a day</t>
    <phoneticPr fontId="1"/>
  </si>
  <si>
    <t>have (a) good command of ~</t>
    <phoneticPr fontId="1"/>
  </si>
  <si>
    <t>keep one's fingers crossed</t>
    <phoneticPr fontId="1"/>
  </si>
  <si>
    <t>pay a visit (to ~)</t>
    <phoneticPr fontId="1"/>
  </si>
  <si>
    <t>S serve〈人〉right</t>
    <phoneticPr fontId="1"/>
  </si>
  <si>
    <t>go to the polls</t>
    <phoneticPr fontId="1"/>
  </si>
  <si>
    <t>take office</t>
    <phoneticPr fontId="1"/>
  </si>
  <si>
    <t>turn a blind eye to ~</t>
    <phoneticPr fontId="1"/>
  </si>
  <si>
    <t>last but not least</t>
    <phoneticPr fontId="1"/>
  </si>
  <si>
    <t>know ~ by sight</t>
    <phoneticPr fontId="1"/>
  </si>
  <si>
    <t>pull ~'s leg</t>
    <phoneticPr fontId="1"/>
  </si>
  <si>
    <t>the bottom line</t>
    <phoneticPr fontId="1"/>
  </si>
  <si>
    <t>have / take a look (at ~)</t>
    <phoneticPr fontId="1"/>
  </si>
  <si>
    <t>What ~ like?</t>
    <phoneticPr fontId="1"/>
  </si>
  <si>
    <t>What ~ for?</t>
    <phoneticPr fontId="1"/>
  </si>
  <si>
    <t>have no idea</t>
    <phoneticPr fontId="1"/>
  </si>
  <si>
    <t>could use ~</t>
    <phoneticPr fontId="1"/>
  </si>
  <si>
    <t>How come (S V ~) ?</t>
    <phoneticPr fontId="1"/>
  </si>
  <si>
    <t>take one's time</t>
    <phoneticPr fontId="1"/>
  </si>
  <si>
    <t>take it easy</t>
    <phoneticPr fontId="1"/>
  </si>
  <si>
    <t>My pleasure.</t>
    <phoneticPr fontId="1"/>
  </si>
  <si>
    <t>make oneself understood</t>
    <phoneticPr fontId="1"/>
  </si>
  <si>
    <t>see much of ~</t>
    <phoneticPr fontId="1"/>
  </si>
  <si>
    <t>think again</t>
    <phoneticPr fontId="1"/>
  </si>
  <si>
    <t>help oneself to ~</t>
    <phoneticPr fontId="1"/>
  </si>
  <si>
    <t>I'm afraid not.</t>
    <phoneticPr fontId="1"/>
  </si>
  <si>
    <t>treat A to B</t>
    <phoneticPr fontId="1"/>
  </si>
  <si>
    <t>be fed up with ~</t>
    <phoneticPr fontId="1"/>
  </si>
  <si>
    <t>come to think of it</t>
    <phoneticPr fontId="1"/>
  </si>
  <si>
    <t>think much / highly of ~</t>
    <phoneticPr fontId="1"/>
  </si>
  <si>
    <t>Legend has it (that) S V ~</t>
    <phoneticPr fontId="1"/>
  </si>
  <si>
    <t>Here we are.</t>
    <phoneticPr fontId="1"/>
  </si>
  <si>
    <t>hit it off (with ~)</t>
    <phoneticPr fontId="1"/>
  </si>
  <si>
    <t>watch one's step</t>
    <phoneticPr fontId="1"/>
  </si>
  <si>
    <t>give one's regards to ~</t>
    <phoneticPr fontId="1"/>
  </si>
  <si>
    <t>You're kidding (me).</t>
    <phoneticPr fontId="1"/>
  </si>
  <si>
    <t>be susceptible to ~</t>
    <phoneticPr fontId="1"/>
  </si>
  <si>
    <t>be at odds (with ~)</t>
    <phoneticPr fontId="1"/>
  </si>
  <si>
    <t>be committed to ~</t>
    <phoneticPr fontId="1"/>
  </si>
  <si>
    <t>be here to stay</t>
    <phoneticPr fontId="1"/>
  </si>
  <si>
    <t>be liable to do / to 名詞</t>
    <phoneticPr fontId="1"/>
  </si>
  <si>
    <t>be no match for ~</t>
    <phoneticPr fontId="1"/>
  </si>
  <si>
    <t>be vulnerable to ~</t>
    <phoneticPr fontId="1"/>
  </si>
  <si>
    <t>be eligible for ~</t>
    <phoneticPr fontId="1"/>
  </si>
  <si>
    <t>be worth doing</t>
    <phoneticPr fontId="1"/>
  </si>
  <si>
    <t>be out to do</t>
    <phoneticPr fontId="1"/>
  </si>
  <si>
    <t>be all ears</t>
    <phoneticPr fontId="1"/>
  </si>
  <si>
    <t>be beside oneself (with ~)</t>
    <phoneticPr fontId="1"/>
  </si>
  <si>
    <t>be cut out to be ~</t>
    <phoneticPr fontId="1"/>
  </si>
  <si>
    <t>be (all) the rage</t>
    <phoneticPr fontId="1"/>
  </si>
  <si>
    <t>account for ~</t>
    <phoneticPr fontId="1"/>
  </si>
  <si>
    <t>allow for ~</t>
    <phoneticPr fontId="1"/>
  </si>
  <si>
    <t>settle for ~</t>
    <phoneticPr fontId="1"/>
  </si>
  <si>
    <t>yearn for ~</t>
    <phoneticPr fontId="1"/>
  </si>
  <si>
    <t>count for 程度表現</t>
    <phoneticPr fontId="1"/>
  </si>
  <si>
    <t>cope with ~</t>
    <phoneticPr fontId="1"/>
  </si>
  <si>
    <t>coincide with ~</t>
    <phoneticPr fontId="1"/>
  </si>
  <si>
    <t>comply with ~</t>
    <phoneticPr fontId="1"/>
  </si>
  <si>
    <t>dispense with ~</t>
    <phoneticPr fontId="1"/>
  </si>
  <si>
    <t>attend to ~</t>
    <phoneticPr fontId="1"/>
  </si>
  <si>
    <t xml:space="preserve">aspire to ~ </t>
    <phoneticPr fontId="1"/>
  </si>
  <si>
    <t>submit to ~</t>
    <phoneticPr fontId="1"/>
  </si>
  <si>
    <t>consent to ~</t>
    <phoneticPr fontId="1"/>
  </si>
  <si>
    <t>deal in ~</t>
    <phoneticPr fontId="1"/>
  </si>
  <si>
    <t>persist in ~</t>
    <phoneticPr fontId="1"/>
  </si>
  <si>
    <t>indulge in ~</t>
    <phoneticPr fontId="1"/>
  </si>
  <si>
    <t>embark on ~</t>
    <phoneticPr fontId="1"/>
  </si>
  <si>
    <t>dwell on ~</t>
    <phoneticPr fontId="1"/>
  </si>
  <si>
    <t>tell on ~</t>
    <phoneticPr fontId="1"/>
  </si>
  <si>
    <t>refrain from ~</t>
    <phoneticPr fontId="1"/>
  </si>
  <si>
    <t>discriminate against ~</t>
    <phoneticPr fontId="1"/>
  </si>
  <si>
    <t>abide by ~</t>
    <phoneticPr fontId="1"/>
  </si>
  <si>
    <t>work out (~)</t>
    <phoneticPr fontId="1"/>
  </si>
  <si>
    <t>rule out ~</t>
    <phoneticPr fontId="1"/>
  </si>
  <si>
    <t>single out ~</t>
    <phoneticPr fontId="1"/>
  </si>
  <si>
    <t>pass out</t>
    <phoneticPr fontId="1"/>
  </si>
  <si>
    <t>miss out on ~</t>
    <phoneticPr fontId="1"/>
  </si>
  <si>
    <t>wind up (~)</t>
    <phoneticPr fontId="1"/>
  </si>
  <si>
    <t>pull up (~)</t>
    <phoneticPr fontId="1"/>
  </si>
  <si>
    <t>throw up (~)</t>
    <phoneticPr fontId="1"/>
  </si>
  <si>
    <t>round up ~</t>
    <phoneticPr fontId="1"/>
  </si>
  <si>
    <t>catch on</t>
    <phoneticPr fontId="1"/>
  </si>
  <si>
    <t>get away with ~</t>
    <phoneticPr fontId="1"/>
  </si>
  <si>
    <t>shy away (from ~)</t>
    <phoneticPr fontId="1"/>
  </si>
  <si>
    <t>hang around / about / round</t>
    <phoneticPr fontId="1"/>
  </si>
  <si>
    <t>get down to ~</t>
    <phoneticPr fontId="1"/>
  </si>
  <si>
    <t>let down ~</t>
    <phoneticPr fontId="1"/>
  </si>
  <si>
    <t>pull off ~</t>
    <phoneticPr fontId="1"/>
  </si>
  <si>
    <t>follow through (on / with ~)</t>
    <phoneticPr fontId="1"/>
  </si>
  <si>
    <t>find oneself ~</t>
    <phoneticPr fontId="1"/>
  </si>
  <si>
    <t>make do (with ~)</t>
    <phoneticPr fontId="1"/>
  </si>
  <si>
    <t>make good (~)</t>
    <phoneticPr fontId="1"/>
  </si>
  <si>
    <t>make (both) ends meet</t>
    <phoneticPr fontId="1"/>
  </si>
  <si>
    <t>make believe (that S V)</t>
    <phoneticPr fontId="1"/>
  </si>
  <si>
    <t>take ~ for granted / take it for granted that S V ~</t>
    <phoneticPr fontId="1"/>
  </si>
  <si>
    <t>take ~ into account</t>
    <phoneticPr fontId="1"/>
  </si>
  <si>
    <t>take hold of ~</t>
    <phoneticPr fontId="1"/>
  </si>
  <si>
    <t>take notice (of ~)</t>
    <phoneticPr fontId="1"/>
  </si>
  <si>
    <t>take effect</t>
    <phoneticPr fontId="1"/>
  </si>
  <si>
    <t>take pains</t>
    <phoneticPr fontId="1"/>
  </si>
  <si>
    <t>keep track of ~</t>
    <phoneticPr fontId="1"/>
  </si>
  <si>
    <t>keep ~ company</t>
    <phoneticPr fontId="1"/>
  </si>
  <si>
    <t>keep abreast of / with ~</t>
    <phoneticPr fontId="1"/>
  </si>
  <si>
    <t>let go of ~</t>
    <phoneticPr fontId="1"/>
  </si>
  <si>
    <t>live up to ~</t>
    <phoneticPr fontId="1"/>
  </si>
  <si>
    <t>look ~ in the eye(s)</t>
    <phoneticPr fontId="1"/>
  </si>
  <si>
    <t>hold true</t>
    <phoneticPr fontId="1"/>
  </si>
  <si>
    <t>come to terms with ~</t>
    <phoneticPr fontId="1"/>
  </si>
  <si>
    <t>come to light</t>
    <phoneticPr fontId="1"/>
  </si>
  <si>
    <t>come of age</t>
    <phoneticPr fontId="1"/>
  </si>
  <si>
    <t>come in handy</t>
    <phoneticPr fontId="1"/>
  </si>
  <si>
    <t>fall short of ~</t>
    <phoneticPr fontId="1"/>
  </si>
  <si>
    <t>go a long way to do</t>
    <phoneticPr fontId="1"/>
  </si>
  <si>
    <t>pave the way for / to ~</t>
    <phoneticPr fontId="1"/>
  </si>
  <si>
    <t>put ~ to use</t>
    <phoneticPr fontId="1"/>
  </si>
  <si>
    <t>stand to reason</t>
    <phoneticPr fontId="1"/>
  </si>
  <si>
    <t>see / do the sights (of ~)</t>
    <phoneticPr fontId="1"/>
  </si>
  <si>
    <t>read between the lines</t>
    <phoneticPr fontId="1"/>
  </si>
  <si>
    <t>follow suit</t>
    <phoneticPr fontId="1"/>
  </si>
  <si>
    <t>play a joke on ~</t>
    <phoneticPr fontId="1"/>
  </si>
  <si>
    <t>get on ~'s nerves</t>
    <phoneticPr fontId="1"/>
  </si>
  <si>
    <t>get / have the better of ~</t>
    <phoneticPr fontId="1"/>
  </si>
  <si>
    <t>get / be even with ~</t>
    <phoneticPr fontId="1"/>
  </si>
  <si>
    <t>hold / keep ~ in check</t>
    <phoneticPr fontId="1"/>
  </si>
  <si>
    <t>have an eye for ~</t>
    <phoneticPr fontId="1"/>
  </si>
  <si>
    <t>have ~ on one's mind</t>
    <phoneticPr fontId="1"/>
  </si>
  <si>
    <t>have yet to do</t>
    <phoneticPr fontId="1"/>
  </si>
  <si>
    <t>dare to do</t>
    <phoneticPr fontId="1"/>
  </si>
  <si>
    <t>impose A on B</t>
    <phoneticPr fontId="1"/>
  </si>
  <si>
    <t>ascribe A to B</t>
    <phoneticPr fontId="1"/>
  </si>
  <si>
    <t>bring A home to B</t>
    <phoneticPr fontId="1"/>
  </si>
  <si>
    <t>a variety of ~</t>
    <phoneticPr fontId="1"/>
  </si>
  <si>
    <t>a handful of ~</t>
    <phoneticPr fontId="1"/>
  </si>
  <si>
    <t>a host of ~</t>
    <phoneticPr fontId="1"/>
  </si>
  <si>
    <t>scores of ~</t>
    <phoneticPr fontId="1"/>
  </si>
  <si>
    <t>quite a few ~</t>
    <phoneticPr fontId="1"/>
  </si>
  <si>
    <t>all manner of ~</t>
    <phoneticPr fontId="1"/>
  </si>
  <si>
    <t>(all) on one's own</t>
    <phoneticPr fontId="1"/>
  </si>
  <si>
    <t>at issue</t>
    <phoneticPr fontId="1"/>
  </si>
  <si>
    <t>at stake</t>
    <phoneticPr fontId="1"/>
  </si>
  <si>
    <t>(enough) 名詞 to go around</t>
    <phoneticPr fontId="1"/>
  </si>
  <si>
    <t>every other 名詞単数形</t>
    <phoneticPr fontId="1"/>
  </si>
  <si>
    <t>for a rainy day</t>
    <phoneticPr fontId="1"/>
  </si>
  <si>
    <t>in earnest</t>
    <phoneticPr fontId="1"/>
  </si>
  <si>
    <t>in (good) shape</t>
    <phoneticPr fontId="1"/>
  </si>
  <si>
    <t>in store (for ~)</t>
    <phoneticPr fontId="1"/>
  </si>
  <si>
    <t>in the works</t>
    <phoneticPr fontId="1"/>
  </si>
  <si>
    <t>nothing short of ~</t>
    <phoneticPr fontId="1"/>
  </si>
  <si>
    <t>~ of one's own</t>
    <phoneticPr fontId="1"/>
  </si>
  <si>
    <t>of one's (own) doing</t>
    <phoneticPr fontId="1"/>
  </si>
  <si>
    <t>on the move</t>
    <phoneticPr fontId="1"/>
  </si>
  <si>
    <t>on the ~ side</t>
    <phoneticPr fontId="1"/>
  </si>
  <si>
    <t>out of hand</t>
    <phoneticPr fontId="1"/>
  </si>
  <si>
    <t>out of the question</t>
    <phoneticPr fontId="1"/>
  </si>
  <si>
    <t>per capita</t>
    <phoneticPr fontId="1"/>
  </si>
  <si>
    <t>right as rain</t>
    <phoneticPr fontId="1"/>
  </si>
  <si>
    <t>second to none</t>
    <phoneticPr fontId="1"/>
  </si>
  <si>
    <t>something of a ~</t>
    <phoneticPr fontId="1"/>
  </si>
  <si>
    <t>upward(s) of ~</t>
    <phoneticPr fontId="1"/>
  </si>
  <si>
    <t>regardless of ~</t>
    <phoneticPr fontId="1"/>
  </si>
  <si>
    <t>in accordance with ~</t>
    <phoneticPr fontId="1"/>
  </si>
  <si>
    <t>in proportion to ~</t>
    <phoneticPr fontId="1"/>
  </si>
  <si>
    <t>in the wake of ~</t>
    <phoneticPr fontId="1"/>
  </si>
  <si>
    <t>but for ~</t>
    <phoneticPr fontId="1"/>
  </si>
  <si>
    <t>on ~ terms with …</t>
    <phoneticPr fontId="1"/>
  </si>
  <si>
    <t>on the verge of ~</t>
    <phoneticPr fontId="1"/>
  </si>
  <si>
    <t>within walking distance of ~</t>
    <phoneticPr fontId="1"/>
  </si>
  <si>
    <t>to the effect that S V</t>
    <phoneticPr fontId="1"/>
  </si>
  <si>
    <t>a case in point</t>
    <phoneticPr fontId="1"/>
  </si>
  <si>
    <t>the pros and cons</t>
    <phoneticPr fontId="1"/>
  </si>
  <si>
    <t>a white elephant</t>
    <phoneticPr fontId="1"/>
  </si>
  <si>
    <t>the elephant in the room</t>
    <phoneticPr fontId="1"/>
  </si>
  <si>
    <t>part and parcel (of ~)</t>
    <phoneticPr fontId="1"/>
  </si>
  <si>
    <t>all along</t>
    <phoneticPr fontId="1"/>
  </si>
  <si>
    <t>all too</t>
    <phoneticPr fontId="1"/>
  </si>
  <si>
    <t>as such</t>
    <phoneticPr fontId="1"/>
  </si>
  <si>
    <t>(at) first hand</t>
    <phoneticPr fontId="1"/>
  </si>
  <si>
    <t>at ~'s convenience</t>
    <phoneticPr fontId="1"/>
  </si>
  <si>
    <t>at will</t>
    <phoneticPr fontId="1"/>
  </si>
  <si>
    <t>by and large</t>
    <phoneticPr fontId="1"/>
  </si>
  <si>
    <t>down the road</t>
    <phoneticPr fontId="1"/>
  </si>
  <si>
    <t>early on</t>
    <phoneticPr fontId="1"/>
  </si>
  <si>
    <t>for a change</t>
    <phoneticPr fontId="1"/>
  </si>
  <si>
    <t>for all I know</t>
    <phoneticPr fontId="1"/>
  </si>
  <si>
    <t>for nothing</t>
    <phoneticPr fontId="1"/>
  </si>
  <si>
    <t>if anything</t>
    <phoneticPr fontId="1"/>
  </si>
  <si>
    <t>in a row</t>
    <phoneticPr fontId="1"/>
  </si>
  <si>
    <t>in person</t>
    <phoneticPr fontId="1"/>
  </si>
  <si>
    <t>in retrospect</t>
    <phoneticPr fontId="1"/>
  </si>
  <si>
    <t>more often than not</t>
    <phoneticPr fontId="1"/>
  </si>
  <si>
    <t>on second thought</t>
    <phoneticPr fontId="1"/>
  </si>
  <si>
    <t>on the face of it</t>
    <phoneticPr fontId="1"/>
  </si>
  <si>
    <t>on the spot</t>
    <phoneticPr fontId="1"/>
  </si>
  <si>
    <t>one of these days</t>
    <phoneticPr fontId="1"/>
  </si>
  <si>
    <t>once upon a time</t>
    <phoneticPr fontId="1"/>
  </si>
  <si>
    <t>only too</t>
    <phoneticPr fontId="1"/>
  </si>
  <si>
    <t>sort/kind of</t>
    <phoneticPr fontId="1"/>
  </si>
  <si>
    <t>such as it is</t>
    <phoneticPr fontId="1"/>
  </si>
  <si>
    <t>to date</t>
    <phoneticPr fontId="1"/>
  </si>
  <si>
    <t>&lt;span class="w"&gt;&lt;b&gt;【893.take notice (of ~)：（〜に）注目する, 気づく】&lt;/b&gt;&lt;/span&gt;
&lt;span class="ml"&gt;&lt;span class="explanation_tag"&gt;語源&lt;/span&gt;
noticeは、印欧祖語*gno-（知る）から生まれたラテン語(g)nōscere（知るようになる, 認識する）に由来する。
&lt;span class="spacer"&gt;&lt;/span&gt;「知るようになる」という意味から、知られるきっかけである「通知, 知らせ」という名詞になる。そして、知らせによって何かを認識することから、「気づく」という動詞になる。
&lt;span class="spacer"&gt;&lt;/span&gt;noticeの核は、対象に意識が向くこと（注意・注目）や、認識すること（気づく）。
&lt;span class="spacer"&gt;&lt;/span&gt;&lt;span class="explanation_tag"&gt;イメージ&lt;/span&gt;
［take notice (of A)］は直訳すると、「（Aへの）注意・注目を手に取る」となる。対象に自分で注意を向けることから、「Aに注目する, 気づく」という意味になる。&lt;/span&gt;</t>
    <rPh sb="183" eb="185">
      <t>ユライ</t>
    </rPh>
    <rPh sb="229" eb="231">
      <t>イミ</t>
    </rPh>
    <phoneticPr fontId="1"/>
  </si>
  <si>
    <t>&lt;span class="w"&gt;&lt;b&gt;【15.store：～を保管する, ～を蓄える】&lt;/b&gt;&lt;/span&gt;
&lt;span class="ml"&gt;ラテン語に由来する語で、以下の2つの要素から成る。
&lt;span class="spacer"&gt;&lt;/span&gt;in（中に）
staurare（立つ）
&lt;span class="obsolete"&gt;※英語ではinというスペルは消えている。&lt;/span&gt;
&lt;span class="spacer"&gt;&lt;/span&gt;このまま日本語にすると「中に立てる」となる。これは敷地内に建物を建て、その建物の中に物資を「保管する, 蓄える」というイメージ。
&lt;span class="spacer"&gt;&lt;/span&gt;動詞store「保管する, 蓄える」という意味は、名詞store（店）にかかわる。
&lt;span class="spacer"&gt;&lt;/span&gt;名詞storeはもともと「家庭内の備蓄や保管」を意味し、そこから家庭内に限らず「一般的な備蓄や保管」となり、さらに備蓄を置く場所＝「店」という意味に発展した。&lt;/span&gt;</t>
    <phoneticPr fontId="1"/>
  </si>
  <si>
    <t>&lt;span class="w"&gt;&lt;b&gt;【1435.dispose：（of ~）〜を処分する, （dispose ~ to do）〜する気にさせる】&lt;/b&gt;&lt;/span&gt;
&lt;span class="ml"&gt;ラテン語に由来する語で、以下の2つの要素から成る。
&lt;span class="spacer"&gt;&lt;/span&gt;dis（離れて）
ponere（置く）
&lt;span class="spacer"&gt;&lt;/span&gt;このまま日本語にすると「離して置く」となるが、この語の核は「ごちゃごちゃしたものをそれぞれ離して整理し、あるべき位置へ置く」イメージ。
&lt;span class="spacer"&gt;&lt;/span&gt;不要なもの・問題などを整理して、それがあるべき場所へ置くことから「処分する」という意味になる。
&lt;span class="spacer"&gt;&lt;/span&gt;また相手の気持ちを整理して進むべき方向へ置くことから「何かをする気にさせる」となる。
&lt;span class="spacer"&gt;&lt;/span&gt;dispose 人 to do
人 be disposed to do
&lt;div class="sample_image dispose"&gt;&lt;/div&gt;&lt;/span&gt;</t>
  </si>
  <si>
    <t>&lt;span class="w"&gt;&lt;b&gt;【16.be capable of ~：～ができる】&lt;/b&gt;&lt;/span&gt;
&lt;span class="ml"&gt;&lt;span class="explanation_tag"&gt;語源&lt;/span&gt;
capableは、ラテン語のcapere（取る）と、bilis（できる）が合わさってできた語。能力的に取り扱えることから「できる」という意味になる。
&lt;span class="spacer"&gt;&lt;/span&gt;&lt;span class="explanation_tag"&gt;イメージ&lt;/span&gt;
capa部分は、capacity（キャパシティ, 容量, 能力）のキャパと同じで能力を指すと覚えておけばよい。能力があることから「～できる」という意味になる。&lt;/span&gt;</t>
  </si>
  <si>
    <t>&lt;span class="w"&gt;&lt;b&gt;【926.bring A home to B：AをBに痛感させる】&lt;/b&gt;&lt;/span&gt;
&lt;span class="ml"&gt;&lt;span class="explanation_tag"&gt;イメージ&lt;/span&gt;
［bring A home to B］のhomeは、日本語でも何かのルーツや自分が安心できる場所、核となるようなものをホームと呼ぶように、「その人の心の一番重要な部分」を指す。
&lt;span class="spacer"&gt;&lt;/span&gt;直訳すると、「Bに対してその人の心の一番重要な部分にAを持ってくる」となる。そこから「AをBに痛感させる」という訳になる。
&lt;span class="spacer"&gt;&lt;/span&gt;&lt;span class="explanation_tag"&gt;補足&lt;/span&gt;
Aが長い場合は、［bring home A to B］や［bring home to B A］といった語順にもなる。&lt;/span&gt;</t>
  </si>
  <si>
    <t>&lt;span class="w"&gt;&lt;b&gt;【927.a variety of ~：①（同一種類の中で）様々な〜, ②〜の一種】&lt;/b&gt;&lt;/span&gt;
&lt;span class="ml"&gt;&lt;span class="explanation_tag"&gt;イメージ&lt;/span&gt;
varietyは、various（様々な）やvary（異なる）の名詞として覚える。
&lt;span class="spacer"&gt;&lt;/span&gt;［a variety of A］は、①豊かなバラエティ全体を1つのまとまり（a variety）と考える場合は、「様々なA」という意味になる。
&lt;span class="spacer"&gt;&lt;/span&gt;②Aという全体の中の1つのバラエティと考える場合は、「Aの一種」という意味になる。
&lt;span class="spacer"&gt;&lt;/span&gt;&lt;span class="explanation_tag"&gt;例&lt;/span&gt;
A variety of apples are sold here.
様々なりんごが売られている
&lt;span class="spacer"&gt;&lt;/span&gt;【りんごA, B, C】＝【a variety】
&lt;span class="spacer"&gt;&lt;/span&gt;This is a rare variety of apple.
これはりんごの珍しい一種だ
&lt;span class="spacer"&gt;&lt;/span&gt;りんごの中の【A】＝【a variety】&lt;/span&gt;</t>
  </si>
  <si>
    <t>&lt;span class="w"&gt;&lt;b&gt;【928.a handful of ~：一握りの〜, 少量の〜】&lt;/b&gt;&lt;/span&gt;
&lt;span class="ml"&gt;&lt;span class="explanation_tag"&gt;イメージ&lt;/span&gt;
handfulは、hand（手）と-ful（満たす）が合わさってできた語。
&lt;span class="spacer"&gt;&lt;/span&gt;［a handful of A］は、1回分の手を満たす数量を表して、「一握りのA」という意味になる。
&lt;span class="spacer"&gt;&lt;/span&gt;また、日本語で「ほんの一握り」という言葉が数量の少なさを表すのと同様に、［少量のA］という意味にもなる。&lt;/span&gt;</t>
  </si>
  <si>
    <t>&lt;span class="w"&gt;&lt;b&gt;【930.scores of ~：多数の〜】&lt;/b&gt;&lt;/span&gt;
&lt;span class="ml"&gt;&lt;span class="explanation_tag"&gt;語源&lt;/span&gt;
scoreは、古英語scoru（20）にさかのぼる。これはおそらく、羊の群れなど多数のものを数える際に、20ごとに棒に線を引っかいて数えたことに由来すると考えられる。
&lt;span class="spacer"&gt;&lt;/span&gt;この数えるという行為から、「得点, 点数, スコア」という意味が生まれ、線を引っかくことから、五線譜に音符を書き込む「楽譜, スコア」という意味になった。
&lt;span class="spacer"&gt;&lt;/span&gt;&lt;span class="explanation_tag"&gt;イメージ&lt;/span&gt;
［scores of A］は、20ごとに数えるscoreが複数形になることで、20のセットがたくさんあることを表して、「多数のA」という意味になる。
&lt;span class="spacer"&gt;&lt;/span&gt;この発想は、［dozens of A」の「数十ものA」と同じ。
&lt;span class="spacer"&gt;&lt;/span&gt;&lt;span class="explanation_tag"&gt;補足&lt;/span&gt;
語源的に、数えられるものを20ずつ数えることが関連しているので、Aには可算名詞の複数形が入る。&lt;/span&gt;</t>
  </si>
  <si>
    <t>many a / an 単数名詞</t>
  </si>
  <si>
    <t>&lt;span class="w"&gt;&lt;b&gt;【932.quite a few ~：かなりの数の〜】&lt;/b&gt;&lt;/span&gt;
&lt;span class="ml"&gt;&lt;span class="explanation_tag"&gt;語源&lt;/span&gt;
［quite a few A］は、a fewに程度を強調するquietが付いた表現。現代では、a fewは「少しの」という意味で覚えるが、1803年に出版された本の中で、イングランド北部の方言に、本来のa fewの意味とは反対のa good few（かなりの数の）という使い方が紹介されている。
&lt;span class="spacer"&gt;&lt;/span&gt;このa good fewから変化した［quite a few］という形は、1854年から見られる。
&lt;span class="spacer"&gt;&lt;/span&gt;&lt;span class="explanation_tag"&gt;イメージ&lt;/span&gt;
［quite a few A］は、「かなりの数のA」という方言的な使い方によるもの。
&lt;span class="spacer"&gt;&lt;/span&gt;「少ない」を表す表現が反対の「多い」を意味するようになる現象は、日本語でも見られる。例えば、「彼はちょっとした有名人だ」というのは、少しだけ有名だという意味ではなく、結構有名だという強調表現として使われる。
&lt;span class="spacer"&gt;&lt;/span&gt;また「ちょっと難しすぎる」は、かなり難しいことを表す。&lt;/span&gt;</t>
  </si>
  <si>
    <t>&lt;span class="w"&gt;&lt;b&gt;【934.(all) on one's own：（すべて）自分1人で】&lt;/b&gt;&lt;/span&gt;
&lt;span class="ml"&gt;&lt;span class="explanation_tag"&gt;イメージ&lt;/span&gt;
［(all) on one's own］は、自分自身（one's own）を土台にしてその上で（on）何かを行なっているイメージ。そこから、他人の力や助けを借りないで「自分1人で」という意味になる。
&lt;span class="spacer"&gt;&lt;/span&gt;allを足すと「すべて」という強調が付け加えられる。&lt;/span&gt;</t>
  </si>
  <si>
    <t>at ~'s disposal</t>
  </si>
  <si>
    <t>&lt;span class="w"&gt;&lt;b&gt;【937.at stake：危うくなって, 賭けられて】&lt;/b&gt;&lt;/span&gt;
&lt;span class="ml"&gt;&lt;span class="explanation_tag"&gt;イメージ&lt;/span&gt;
語源不明のstake（賭け）を使った［at stake］は直訳通り、何かが「賭けられている」状態を表す。そして、何かを賭けで失うリスクがあることから、「危うくなって」という意味にもなる。&lt;/span&gt;</t>
  </si>
  <si>
    <t>&lt;span class="w"&gt;&lt;b&gt;【940.for a rainy day：まさかのときに備えて】&lt;/b&gt;&lt;/span&gt;
&lt;span class="ml"&gt;&lt;span class="explanation_tag"&gt;語源&lt;/span&gt;
rainy dayは「雨の日」だが、1570年代から比喩的に、「困難な時期, 運が悪い時」を表すようになった。
&lt;span class="spacer"&gt;&lt;/span&gt;&lt;span class="explanation_tag"&gt;イメージ&lt;/span&gt;
［for a rainy day］は直訳すると、「困難な時期のために」となるので、「まさかのときに備えて」といった表現になる。&lt;/span&gt;</t>
  </si>
  <si>
    <t>&lt;span class="w"&gt;&lt;b&gt;【942.in (good) shape：調子がよくて】&lt;/b&gt;&lt;/span&gt;
&lt;span class="ml"&gt;&lt;span class="explanation_tag"&gt;語源&lt;/span&gt;
shapeは、日本語でも「シェイプ, 形」という意味で使われるが、1865年までにアメリカで「状態」という意味でも使われるようになった。
&lt;span class="spacer"&gt;&lt;/span&gt;［in good shape］は、良い状態であることを表して、「調子がよくて」といういみになる。
&lt;span class="spacer"&gt;&lt;/span&gt;もしも［in bad shape］であれば、「調子が悪くて」という意味になる。&lt;/span&gt;</t>
    <rPh sb="40" eb="42">
      <t>チョウシ</t>
    </rPh>
    <rPh sb="123" eb="126">
      <t>ニホンゴ</t>
    </rPh>
    <rPh sb="135" eb="136">
      <t>カタチ</t>
    </rPh>
    <rPh sb="140" eb="142">
      <t>イミ</t>
    </rPh>
    <rPh sb="143" eb="144">
      <t>ツカ</t>
    </rPh>
    <rPh sb="153" eb="154">
      <t>ネン</t>
    </rPh>
    <rPh sb="163" eb="165">
      <t>ジョウタイ</t>
    </rPh>
    <rPh sb="169" eb="171">
      <t>イミ</t>
    </rPh>
    <rPh sb="173" eb="174">
      <t>ツカ</t>
    </rPh>
    <rPh sb="230" eb="231">
      <t>ヨ</t>
    </rPh>
    <rPh sb="232" eb="234">
      <t>ジョウタイ</t>
    </rPh>
    <rPh sb="240" eb="241">
      <t>アラワ</t>
    </rPh>
    <rPh sb="245" eb="247">
      <t>チョウシ</t>
    </rPh>
    <rPh sb="313" eb="315">
      <t>チョウシ</t>
    </rPh>
    <rPh sb="316" eb="317">
      <t>ワル</t>
    </rPh>
    <rPh sb="323" eb="325">
      <t>イミ</t>
    </rPh>
    <phoneticPr fontId="1"/>
  </si>
  <si>
    <t>&lt;span class="w"&gt;&lt;b&gt;【132.regard：〜を見なす, 注意を払う, 〜を評価する, 敬意を払う】&lt;/b&gt;&lt;/span&gt;
&lt;span class="ml"&gt;古フランス語に由来する語で、以下の2つの要素から成る。
&lt;span class="spacer"&gt;&lt;/span&gt;re（強意）
garder（見る, 注意する）
&lt;span class="spacer"&gt;&lt;/span&gt;このgarderは、ボディガードのguard（監視者）の語源でもある。つまり、regardのgard部分の意味の核は「注意して見る」。
&lt;span class="spacer"&gt;&lt;/span&gt;ここからまず「注意を払う」という意味になる。
&lt;span class="spacer"&gt;&lt;/span&gt;次に、何かに注意を向けるということは、その対象に注意を向ける価値があるということ。そこから「評価する, 敬意を払う」という意味になる。
&lt;span class="spacer"&gt;&lt;/span&gt;最後に、注意というニュアンスが薄まってただ対象を見るとなり、「見なす」という意味になる。&lt;/span&gt;</t>
  </si>
  <si>
    <t>&lt;span class="w"&gt;&lt;b&gt;【451.capital：資本, 首都, 大文字】&lt;/b&gt;&lt;/span&gt;
&lt;span class="ml"&gt;ラテン語に由来する語で、以下の2つの要素から成る。
&lt;span class="spacer"&gt;&lt;/span&gt;caput（頭）
alis（形容詞化）
&lt;span class="spacer"&gt;&lt;/span&gt;この語の核は「頭のように最も上にあり、中心となるもの」ということ。金銭面では活動基盤となる「資本」、都市に関しては国の中心となる「首都」、文に関しては先頭に置かれる「大文字」という意味になる。&lt;/span&gt;</t>
  </si>
  <si>
    <t>&lt;span class="w"&gt;&lt;b&gt;【464.proportion：割合, つり合い, 比例】&lt;/b&gt;&lt;/span&gt;
&lt;span class="ml"&gt;ラテン語に由来する語で、以下の2つの要素から成る。
&lt;span class="spacer"&gt;&lt;/span&gt;pro（〜に対して）
pars（部分）から派生した*portio（部分）
&lt;span class="spacer"&gt;&lt;/span&gt;この二つが合わさることで、「全体や他の要素に対して（pro）、ある部分（portio）がどのような関係にあるか」を表すようになる。
&lt;span class="spacer"&gt;&lt;/span&gt;具体的には、全体と部分、あるいは部分同士の大きさを比較する考え方から、主に以下の3つの意味へと派生した。
&lt;span class="spacer"&gt;&lt;/span&gt;「割合」： 全体と部分の大きさの比較。全体（100）に対して、ある部分（10）なら10％という割合になる。
&lt;span class="spacer"&gt;&lt;/span&gt;「比例」： ある部分と全体・他の部分との比較。ある部分が変化した際、同じ比率で全体や他の部分も連動して変化する。
&lt;span class="spacer"&gt;&lt;/span&gt;「つり合い」： ある部分と全体・他の部分との比較。全体や他の部分に対して、ある部分の大きさやバランスが適切に保たれている状態。
&lt;div class="sample_image proportion"&gt;&lt;/div&gt;&lt;/span&gt;</t>
  </si>
  <si>
    <t>&lt;span class="w"&gt;&lt;b&gt;【497.regardless：（of ~）〜に関係なく, 〜にかかわらず】&lt;/b&gt;&lt;/span&gt;
&lt;span class="ml"&gt;近代英語にさかのぼり、以下の2つの要素から成る。
&lt;span class="spacer"&gt;&lt;/span&gt;regard（関心, 注意）
less（～がない）
&lt;span class="spacer"&gt;&lt;/span&gt;このまま日本語にすると「関心や注意がない」となる。ある事柄に注意や関心を向けず、それを考慮に入れないことから、「〜に関係なく, 〜にもかかわらず」という意味になる。&lt;/span&gt;</t>
  </si>
  <si>
    <t>&lt;span class="w"&gt;&lt;b&gt;【45.think of ~：～のことを考える, 〜を思いつく, 〜を思い出す】&lt;/b&gt;&lt;/span&gt;
&lt;span class="ml"&gt;&lt;span class="explanation_tag"&gt;語源&lt;/span&gt;
ofは、古英語of / æfにさかのぼり、「分離」や「起点」を表した。この古英語から現代英語ofとoffが生まれている。
&lt;span class="spacer"&gt;&lt;/span&gt;&lt;span class="explanation_tag"&gt;イメージ&lt;/span&gt;
［think of A］は、頭の中にある様々な思考や記憶の塊からAが分離して浮かんでくるイメージ。そこから「Aのことを考える」「Aを思いつく」「Aを思い出す」といった意味になる。&lt;/span&gt;</t>
  </si>
  <si>
    <t>&lt;span class="w"&gt;&lt;b&gt;【770.if any：もしあるとしても, もしあれば】&lt;/b&gt;&lt;/span&gt;
&lt;span class="ml"&gt;&lt;span class="explanation_tag"&gt;イメージ&lt;/span&gt;
［if any］は、if there are any A（もしAがどれだけかあるとしても, もしAがどれだけかあれば）から、there areとA部分が省略された形だと考えればよい。
&lt;span class="spacer"&gt;&lt;/span&gt;そこから「もしあるとしても」という数量の少なさや、「もしあれば」という仮定を表す。&lt;/span&gt;</t>
  </si>
  <si>
    <t>&lt;span class="w"&gt;&lt;b&gt;【864.tell on ~：①〜に悪く影響する, ②〜に告げ口をする】&lt;/b&gt;&lt;/span&gt;
&lt;span class="ml"&gt;&lt;span class="explanation_tag"&gt;語源&lt;/span&gt;
tellは、古英語tellan（数える, 計算する）にさかのぼり、以下のように意味が発展した。
&lt;span class="spacer"&gt;&lt;/span&gt;物理的な数を「1、2、3…」と数え上げていたことから、やがて、出来事をひとつひとつ順序立てて物語るという行為に派生し、「話す, 情報を伝える」という意味になった。
&lt;span class="obsolete"&gt;tell（話す）とtail（物語）は同じ語源にさかのぼる兄弟語。&lt;/span&gt;
&lt;span class="spacer"&gt;&lt;/span&gt;数える・計算するということは、対象の数量や性質を正確に把握し、評価するということ。そこから、物事の状況を正しく認識し、「違いを見分ける」という意味が生まれた。
［tell A from B］はこの意味から生まれた表現。
&lt;span class="spacer"&gt;&lt;/span&gt;数えるという行為は、取るに足らないものは無視し、意味のあるものだけを数に入れるという心理と結びつく。そこから、数に入る＝重要である＝「効果や影響がある」という意味へと発展した。
&lt;span class="spacer"&gt;&lt;/span&gt;これは、［305.count on A（Aを頼る）］や［805.count for A（Aの価値がある, 重要性を持つ）］と同じ発想。
&lt;span class="spacer"&gt;&lt;/span&gt;&lt;span class="explanation_tag"&gt;イメージ&lt;/span&gt;
［tell on A］は語源でみた、数に入る＝重要である＝「効果や影響がある」と、「話す, 情報を伝える」の2つの意味から理解すればよい。
&lt;span class="spacer"&gt;&lt;/span&gt;①Aの上に効果や影響が乗っかるイメージから、「〜に悪く影響する」という意味になる。
&lt;span class="spacer"&gt;&lt;/span&gt;②Aの上に情報を乗っけるイメージから、「Aに告げ口をする」という意味になる。&lt;/span&gt;</t>
  </si>
  <si>
    <t>&lt;span class="w"&gt;&lt;b&gt;【869.rule out ~：（可能性など）を排除する, 〜を認めない】&lt;/b&gt;&lt;/span&gt;
&lt;span class="ml"&gt;&lt;span class="explanation_tag"&gt;語源&lt;/span&gt;
ruleと聞くと、まず最初に「ルール」という意味や、それに関連して「支配する, 規定する」という意味が思い浮かぶが、語源は印欧祖語*reg-（まっすぐな線に沿って導く）にさかのぼる。
&lt;span class="spacer"&gt;&lt;/span&gt;まっすぐな線に沿って導くことから、「規則」という名詞になり、さらに規則を定める＝「規定する」や、規則によって「統治する, 支配する」という意味になった。
&lt;span class="spacer"&gt;&lt;/span&gt;またラテン語段階では定規という意味があったが、これは英語でもruler（定規）に残っている。
&lt;span class="spacer"&gt;&lt;/span&gt;&lt;span class="explanation_tag"&gt;イメージ&lt;/span&gt;
［rule out A］は、可能性などにおいて、まっすぐ線引きしてAを外側に置くことから、「（可能性など）Aを排除する」という意味になる。&lt;/span&gt;</t>
  </si>
  <si>
    <t>&lt;span class="w"&gt;&lt;b&gt;【886.make do (with ~)：（代用品などで）間に合わせる】&lt;/b&gt;&lt;/span&gt;
&lt;span class="ml"&gt;&lt;span class="explanation_tag"&gt;イメージ&lt;/span&gt;
このdoは、［664.will do］と同じで、「役立つ, 間に合う」という意味。
&lt;span class="spacer"&gt;&lt;/span&gt;［make do (with A)］は、make O do（Oを役立つようにする, Oを間に合うものにする）からOが省かれた形。直訳通り、「（Aで）間に合わせる」となる。
&lt;span class="spacer"&gt;&lt;/span&gt;&lt;span class="explanation_tag"&gt;関連語&lt;/span&gt;
［664.S will do］は、Sが期待されることや望まれる役割を実際に果たすということから、「Sは役立つ, Sでいい」という意味になる。&lt;/span&gt;</t>
  </si>
  <si>
    <t>&lt;span class="w"&gt;&lt;b&gt;【935.at issue：問題の, 論争中の】&lt;/b&gt;&lt;/span&gt;
&lt;span class="ml"&gt;&lt;span class="explanation_tag"&gt;イメージ&lt;/span&gt;
［at issue］は直訳すると、「issue（問題）のところに（いる）」となる。例えば、S be at issueなら、Sはissue（問題）のところにいるので、「Sは問題となっている」という意味になる。
&lt;span class="spacer"&gt;&lt;/span&gt;また〈名詞〉at issueであれば、〈名詞〉がissue（問題）のところにいるので、「問題の〈名詞〉」という意味になる。&lt;/span&gt;</t>
  </si>
  <si>
    <t>&lt;span class="w"&gt;&lt;b&gt;【936.at ~'s disposal：〜の自由にできる, 自由に使える】&lt;/b&gt;&lt;/span&gt;
&lt;span class="ml"&gt;
&lt;span class="explanation_tag"&gt;disposeの語源&lt;/span&gt;
disposeは、ラテン語dis（離れて）と、ponere（置く）が合わさってできた語。このまま日本語にすると「離して置く」となるが、この語の核は「ごちゃごちゃしたものをそれぞれ離して整理し、あるべき位置へ置く」イメージ。
&lt;span class="spacer"&gt;&lt;/span&gt;不要なものや問題などを整理して、それがあるべき場所へ置くことから「処分する」という意味になる。
&lt;span class="spacer"&gt;&lt;/span&gt;&lt;span class="explanation_tag"&gt;disposalの語源&lt;/span&gt;
disposalは、1620年頃、動詞disposeに名詞を作る-alが付いてできた語で、「処分する権限」や「利用する権利」を表した。
&lt;span class="spacer"&gt;&lt;/span&gt;&lt;span class="explanation_tag"&gt;イメージ&lt;/span&gt;
［at A's disposal］は、Aが処分する権限や利用する権限を持っていて、「Aの自由にできる, 自由に使える」ということを表す。&lt;/span&gt;</t>
  </si>
  <si>
    <t>&lt;span class="w"&gt;&lt;b&gt;【941.in earnest：本格的に, 熱心に】&lt;/b&gt;&lt;/span&gt;
&lt;span class="ml"&gt;&lt;span class="explanation_tag"&gt;語源&lt;/span&gt;
earnestは、形容詞「熱心に, 真剣に」と、名詞「真剣, 熱心」があるが、名詞earnestはこの表現にのみ残っている。
&lt;span class="spacer"&gt;&lt;/span&gt;［in earnest］は直訳すれば、「真剣に, 熱心に, 本格的に」といった意味になる。&lt;/span&gt;</t>
  </si>
  <si>
    <t>&lt;span class="w"&gt;&lt;b&gt;【943.in store (for ~)：（～のために）用意して, （～の身に）降りかかろうとして】&lt;/b&gt;&lt;/span&gt;
&lt;span class="ml"&gt;&lt;span class="explanation_tag"&gt;語源&lt;/span&gt;
動詞storeは、ラテン語in（中に）と、staurare（立つ）が合わさってできた語。&lt;span class="obsolete"&gt;※英語ではinというスペルは消えている。&lt;/span&gt;
&lt;span class="spacer"&gt;&lt;/span&gt;そのまま日本語にすると「中に立てる」となるが、これは敷地内に建物を建て、その建物の中に物資を「保管する, 蓄える」というイメージ。
&lt;span class="spacer"&gt;&lt;/span&gt;名詞storeは、日本語では「店」という意味が一般的だが、もともとは「家庭内の備蓄や保管」を意味した。そして、そこから家庭内に限らず「一般的な備蓄や保管」となり、さらに備蓄を置く場所＝「店」という意味に発展した。
&lt;span class="spacer"&gt;&lt;/span&gt;&lt;span class="explanation_tag"&gt;イメージ&lt;/span&gt;
［in store (for A)］のstoreは「保管」という意味。Aのために何かが保管状態にある＝今後待ち受けている状態にあることを表していて、そこから「Aのために用意して」や「（Aの身に）降りかかろうとして」といった訳になる。&lt;/span&gt;</t>
  </si>
  <si>
    <t>&lt;span class="w"&gt;&lt;b&gt;【946.~ of one's own：自分自身の〜】&lt;/b&gt;&lt;/span&gt;
&lt;span class="ml"&gt;［A of one's own］は、of one's ownがAを修飾して、「自分自身のA」という意味になる。&lt;/span&gt;</t>
  </si>
  <si>
    <t>&lt;span class="w"&gt;&lt;b&gt;【947.of one's (own) doing：（人自身）が〜した】&lt;/b&gt;&lt;/span&gt;
&lt;span class="ml"&gt;&lt;span class="explanation_tag"&gt;イメージ&lt;/span&gt;
［of one's (own) doing］は、one's ownがdoingに対する主語になっていると考えればよい。これは、to不定詞の前に入る人称代名詞の目的格と同じようなイメージ（want him to do / tell her to do / ask me to do）。
&lt;span class="spacer"&gt;&lt;/span&gt;そこから、「（人）が〜した」という意味になる。
&lt;span class="spacer"&gt;&lt;/span&gt;&lt;span class="explanation_tag"&gt;補足&lt;/span&gt;
［A of his (own) doing］のように、ofの前の名詞を修飾することもあれば、［be of his (own) doing］のようにbe動詞に続く場合もある。
&lt;span class="spacer"&gt;&lt;/span&gt;後者は、［of＋抽象名詞］が形容詞的な役割を果たすように、［be of his (own) doing］のof以下全体が形容詞（be動詞の補語）になっているというイメージ。
&lt;span class="spacer"&gt;&lt;/span&gt;［of＋抽象名詞］
of importance（important）
of value（valuable）
of interest（interesting）&lt;/span&gt;</t>
  </si>
  <si>
    <t>&lt;span class="w"&gt;&lt;b&gt;【948.on the move：移動中で, 活躍中で】&lt;/b&gt;&lt;/span&gt;
&lt;span class="ml"&gt;&lt;span class="explanation_tag"&gt;イメージ&lt;/span&gt;
［on the move］は直訳すると、動いている状態や移動している状態（the move）にくっついている（on）ことを表す。つまり、ある時もしくは常に移動していたり、忙しく動き回っていたりする様子を表現しており、「移動中で」「活躍中で」という意味になる。&lt;/span&gt;</t>
  </si>
  <si>
    <t>&lt;span class="w"&gt;&lt;b&gt;【949.on the ~ side：〜気味で】&lt;/b&gt;&lt;/span&gt;
&lt;span class="ml"&gt;&lt;span class="explanation_tag"&gt;イメージ&lt;/span&gt;
［on the A side］は直訳すると「Aの側に」となる。これは、直接的に「Aだ」と言うのではなく、AやBやCといったカテゴリで言えばA側になる＝「A気味だ」という間接的な表現。&lt;/span&gt;</t>
  </si>
  <si>
    <t>&lt;span class="w"&gt;&lt;b&gt;【950.out of hand：①手に負えない, ②即座に】&lt;/b&gt;&lt;/span&gt;
&lt;span class="ml"&gt;&lt;span class="explanation_tag"&gt;語源&lt;/span&gt;
［out of hand］は1590年代に見られる表現で、1200年頃から見られる［in hand］の反対の表現として生まれた。
&lt;span class="spacer"&gt;&lt;/span&gt;in handは、物理的に手の中に収まることから、コントロールできることを表す。
&lt;span class="spacer"&gt;&lt;/span&gt;out of handはその反対なので、①「手に負えない」という意味になる。
&lt;span class="spacer"&gt;&lt;/span&gt;&lt;span class="explanation_tag"&gt;イメージ&lt;/span&gt;
［out of hand］は、in hand（手の中に収めて&lt;strong&gt;時間をかけて&lt;/strong&gt;コントロールする）の反対なので、時間をかけない＝②「即座の」という意味になる。&lt;/span&gt;</t>
  </si>
  <si>
    <t>&lt;span class="w"&gt;&lt;b&gt;【951.out of the question：あり得ない, 不可能で】&lt;/b&gt;&lt;/span&gt;
&lt;span class="ml"&gt;&lt;span class="explanation_tag"&gt;イメージ&lt;/span&gt;
［out of the question］は直訳すると、疑問（the question）の外（out of）となる。つまり、疑問に思う余地がないほど可能性がないことを表して、「あり得ない, 不可能で」という意味になる。&lt;/span&gt;</t>
  </si>
  <si>
    <t>&lt;span class="w"&gt;&lt;b&gt;【952.per capita：一人当たりの】&lt;/b&gt;&lt;/span&gt;
&lt;span class="ml"&gt;&lt;span class="explanation_tag"&gt;語源&lt;/span&gt;
［per capita］は、ラテン語の表現がそのまま英語に入ったもの。
&lt;span class="spacer"&gt;&lt;/span&gt;capitaは、ラテン語caput（頭）に由来する。このラテン語からは、英語capitalが生まれており、「頭のように最も上にあり、中心となるもの」ということから、金銭面では活動基盤となる「資本」、都市に関しては国の中心となる「首都」、文に関しては先頭に置かれる「大文字」という意味になった。
&lt;span class="spacer"&gt;&lt;/span&gt;perは、時速80kmを「80km/h」と表記するときの「/（パー）」と同じで「〜あたり」を意味する。
&lt;span class="spacer"&gt;&lt;/span&gt;［per capita］は、算数で習う「X/人」であり、「一人当たり」という意味になる。&lt;/span&gt;</t>
  </si>
  <si>
    <t>&lt;span class="w"&gt;&lt;b&gt;【953.right as rain：すっかり健康で, 正常で】&lt;/b&gt;&lt;/span&gt;
&lt;span class="ml"&gt;&lt;span class="explanation_tag"&gt;イメージ&lt;/span&gt;
［right as rain］は、英語のリズム＝語呂をよくするためにas rainが付け加えられているだけで、rainには全く意味がなく、right（正しい状態）だけが意味を持っている。
&lt;span class="spacer"&gt;&lt;/span&gt;&lt;span class="explanation_tag"&gt;補足&lt;/span&gt;
as以下に意味がない表現は、次のようなものもある。
&lt;span class="spacer"&gt;&lt;/span&gt;cool as a cucumber
とても冷静な
&lt;span class="spacer"&gt;&lt;/span&gt;blind as a bat
目が見えない&lt;/span&gt;</t>
  </si>
  <si>
    <t>&lt;span class="w"&gt;&lt;b&gt;【955.something of a ~：ちょっとした〜】&lt;/b&gt;&lt;/span&gt;
&lt;span class="ml"&gt;&lt;span class="explanation_tag"&gt;イメージ&lt;/span&gt;
［something of a X］は、somethingを〈of a X〉が修飾する形になっている。これは、直接「Xである」と言うのではなく、something（何らかのもの）という不明瞭な名詞を先に言い、それをXが修飾することによって、「Xである」と強く言えるようなものではなく、「ある程度のXの要素があるもの」というざっくりとしたニュアンスになる。
&lt;span class="spacer"&gt;&lt;/span&gt;例えば、He is a singer. は「彼は歌手だ」と言い切っているが、He is a something of a singer. は「彼は何らかのものなんだ、歌手的な」という感じになっている。
&lt;span class="spacer"&gt;&lt;/span&gt;このようにsomething、もっと言えば不特定のニュアンスを持つsomeがあることで、「ちょっとしたX」という意味になる。&lt;/span&gt;</t>
  </si>
  <si>
    <t>&lt;span class="w"&gt;&lt;b&gt;【956.upward(s) of ~：〜以上の】&lt;/b&gt;&lt;/span&gt;
&lt;span class="ml"&gt;&lt;span class="explanation_tag"&gt;イメージ&lt;/span&gt;
［upward(s) of ~］の-ward(s)は「−の方向へ」という意味。サッカーのフォワードや、looking forward toのforwardは、前（for）方向（-ward）を意味する。
&lt;span class="spacer"&gt;&lt;/span&gt;［upward(s) of A］は直訳すると、「Aの上方向」となることから、「A以上の」という意味になる。&lt;/span&gt;</t>
  </si>
  <si>
    <t>&lt;span class="w"&gt;&lt;b&gt;【957.regardless of ~：〜に関係なく, 〜にもかかわらず】&lt;/b&gt;&lt;/span&gt;
&lt;span class="ml"&gt;&lt;span class="explanation_tag"&gt;regardの語源&lt;/span&gt;
動詞regardは、古フランス語re（強意）と、garder（見る, 注意する）が合わさってできた語。このgarderは、ボディガードのguard（監視者）の語源でもある。つまり、regardのgard部分の核は「注意して見る」。
&lt;span class="spacer"&gt;&lt;/span&gt;&lt;span class="explanation_tag"&gt;regardlessの語源&lt;/span&gt;
regardlessは1590年代に、regard（関心, 注意）と、less（～がない）が合わさってできた語。
&lt;span class="spacer"&gt;&lt;/span&gt;［regardless of A］は、Aについて注意や関心を向けることがなく、Aを考慮に入れないことから、「Aに関係なく, Aにもかかわらず」という意味になる。&lt;/span&gt;</t>
  </si>
  <si>
    <t>&lt;span class="w"&gt;&lt;b&gt;【958.in accordance with ~：〜に従って, 〜に応じて】&lt;/b&gt;&lt;/span&gt;
&lt;span class="ml"&gt;&lt;span class="explanation_tag"&gt;語源&lt;/span&gt;
accordは、ラテン語ad（～へ）と、cor（心）が合わさってできた語。相手の心に自分の心を合わせるイメージから「合意, 一致」、そして合意の末に結ばれる「協定」という意味になる
&lt;span class="spacer"&gt;&lt;/span&gt;&lt;span class="explanation_tag"&gt;イメージ&lt;/span&gt;
［in accordance with A］は語源から考えると、Aと（with A）心が一致した状態（accordance）の中にいる（in）となる。
&lt;span class="spacer"&gt;&lt;/span&gt;つまり、自分をAに一致させることから、「Aに従って, A応じて」という意味になる。&lt;/span&gt;</t>
  </si>
  <si>
    <t>&lt;span class="w"&gt;&lt;b&gt;【959.in proportion to ~：〜に比例して, 〜につり合って, 〜の割に】&lt;/b&gt;&lt;/span&gt;
&lt;span class="ml"&gt;&lt;span class="explanation_tag"&gt;語源&lt;/span&gt;
proportionは、ラテン語pro（前へ）と、*portio（部分）が合わさってできた語。この二つが合わさることで、「全体や他の要素に対して（pro）、ある部分（portio）がどのような関係にあるか」を表すようになる。
&lt;span class="spacer"&gt;&lt;/span&gt;具体的には、全体と部分、あるいは部分同士の大きさを比較する考え方から、主に以下の3つの意味へと派生した。
&lt;span class="spacer"&gt;&lt;/span&gt;「割合」： 全体と部分の大きさの比較。全体（100）に対して、ある部分（10）なら10％という割合になる。
&lt;span class="spacer"&gt;&lt;/span&gt;「比例」： ある部分と全体・他の部分との比較。ある部分が変化した際、同じ比率で全体や他の部分も連動して変化する。
&lt;span class="spacer"&gt;&lt;/span&gt;「つり合い」： ある部分と全体・他の部分との比較。全体や他の部分に対して、ある部分の大きさやバランスが適切に保たれている状態。
&lt;span class="spacer"&gt;&lt;/span&gt;&lt;span class="explanation_tag"&gt;イメージ&lt;/span&gt;
［in proportion to A］は、proportionの「割合, つり合い, 比例」という3つの意味をもとに、「Aの割に」「Aとつり合って」「Aに比例して」のどれになるかを文脈に応じて判断すればよい。&lt;/span&gt;</t>
  </si>
  <si>
    <t>as of 日時</t>
  </si>
  <si>
    <t>&lt;span class="w"&gt;&lt;b&gt;【961.as of 日時：〜現在で, 〜時点で】&lt;/b&gt;&lt;/span&gt;
&lt;span class="ml"&gt;&lt;span class="explanation_tag"&gt;asの語源&lt;/span&gt;
asは、古英語eal（all）と、swa（so）が合わさってできた語にさかのぼる。もともとは「まったくそのように, 完全に同様に」という意味だった。&lt;span class="obsolete"&gt;だからas ~ asは「同じくらい」という意味になる。&lt;/span&gt;
&lt;span class="spacer"&gt;&lt;/span&gt;つまり、asの核には「一致」というイメージがある。
&lt;span class="spacer"&gt;&lt;/span&gt;&lt;span class="explanation_tag"&gt;ofの語源&lt;/span&gt;
ofは、古英語æf（離れて）にさかのぼる。もともとofの主要な意味は「離れて」だったが、1200年頃までにoffが生まれて、その「離れて」という意味を引き継いだ。
&lt;span class="spacer"&gt;&lt;/span&gt;現在のofは、離れて＝「分離」や、「〜の」「〜に関して」などさまざまな意味で使われる。
&lt;span class="spacer"&gt;&lt;/span&gt;&lt;span class="explanation_tag"&gt;イメージ&lt;/span&gt;
［as of 日時］は、asは「一致」で、ofは「〜に関して」だとイメージすればよい。「ある日時に関して」というように、話題になる時間をその日時にピタッと一致させる（as）イメージから、「〜現在で, 〜時点で」という意味になる。
&lt;span class="spacer"&gt;&lt;/span&gt;&lt;span class="explanation_tag"&gt;補足&lt;/span&gt;
［as of 日時］は、分離のofによって起点となる日時を表して、「〈日時〉から」という意味でも使われる。&lt;/span&gt;</t>
  </si>
  <si>
    <t>&lt;span class="w"&gt;&lt;b&gt;【962.but for ~：〜がなければ】&lt;/b&gt;&lt;/span&gt;
&lt;span class="ml"&gt;&lt;span class="explanation_tag"&gt;語源&lt;/span&gt;
butは、古英語be＋utanaが合わさってできた語。現代英語にすると、by（そばに）＋out（外に）になる。対象を外側に置くことから、もともとは「〜を除いて」を意味した。
&lt;span class="spacer"&gt;&lt;/span&gt;「しかし」という接続詞としての用法は、そこから発展して生まれたもの。
&lt;span class="spacer"&gt;&lt;/span&gt;&lt;span class="explanation_tag"&gt;イメージ&lt;/span&gt;
［but for A］のbutは本来の「〜を除いて」という除外、forは「〜のために」という理由を表す。「Aという理由・要因を除けば」ということから、「Aがなければ」となる。&lt;/span&gt;</t>
  </si>
  <si>
    <t>&lt;span class="w"&gt;&lt;b&gt;【963.on ~ terms with …：…と〜な関係で】&lt;/b&gt;&lt;/span&gt;
&lt;span class="ml"&gt;&lt;span class="explanation_tag"&gt;語源&lt;/span&gt;
termは、ラテン語terminus（終わり, 境界線）に由来する。境界線は範囲の終わりを示すものなので、termの核は「範囲の限定」となる。
&lt;span class="spacer"&gt;&lt;/span&gt;①言葉に関して
言葉はさまざまな使い方ができるが、使い方の範囲が定められている言葉は「用語」となる。
&lt;span class="spacer"&gt;&lt;/span&gt;②時間に関して
時間は無限だが、範囲が定められている時間＝は「期間, 学期」となる。
&lt;span class="spacer"&gt;&lt;/span&gt;③関係性に関して
関係性は多様だが、範囲が定められている関係性はterms「間柄」となる。
&lt;span class="spacer"&gt;&lt;/span&gt;④無条件ではなく、範囲が定められている状態はterms「条件」となる。
&lt;span class="spacer"&gt;&lt;/span&gt;&lt;span class="explanation_tag"&gt;イメージ&lt;/span&gt;
［on ~ terms with A］のtermsは「間柄, 関係」という意味。直訳すると、Aと（with A）〜な関係（~ terms）の上にいる（on）となる。そこから「Aと〜な関係で」となる。
&lt;span class="spacer"&gt;&lt;/span&gt;これは、ある人側からのterm（関係性）と、A側からのterm（関係性）があるので、複数形のtermsになる。&lt;/span&gt;</t>
  </si>
  <si>
    <t>&lt;span class="w"&gt;&lt;b&gt;【965.within walking distance of ~：〜から歩いていけるところに】&lt;/b&gt;&lt;/span&gt;
&lt;span class="ml"&gt;&lt;span class="explanation_tag"&gt;ofの語源&lt;/span&gt;
ofは、古英語æf（離れて）にさかのぼる。もともとofの主要な意味は「離れて」だったが、1200年頃までにoffが生まれて、その「離れて」という意味を引き継いだ。
&lt;span class="spacer"&gt;&lt;/span&gt;&lt;span class="explanation_tag"&gt;イメージ&lt;/span&gt;
［within walking distance of A］のofは、語源でみた通り「離れて」というAからの分離を表す。それを踏まえて直訳すると、Aから（of A）歩いていける距離（walking distance）の範囲内で（within）となる。そこから、「Aから歩いていけるところに」という訳になる。&lt;/span&gt;</t>
  </si>
  <si>
    <t>&lt;span class="w"&gt;&lt;b&gt;【967.a case in point：適例】&lt;/b&gt;&lt;/span&gt;
&lt;span class="ml"&gt;&lt;span class="explanation_tag"&gt;イメージ&lt;/span&gt;
［a case in point］は、ポイント・論点・要点の中に収まるケース＝事例であることから、適切な例＝「適例」という意味になる。&lt;/span&gt;</t>
  </si>
  <si>
    <t>&lt;span class="w"&gt;&lt;b&gt;【968.the pros and cons：賛否両論】&lt;/b&gt;&lt;/span&gt;
&lt;span class="ml"&gt;&lt;span class="explanation_tag"&gt;語源&lt;/span&gt;
proは、ラテン語pro（前に, 〜のために, 〜に賛成して）に由来する。これは、英語のforと同じだと考えればよい。
&lt;span class="spacer"&gt;&lt;/span&gt;conは、ラテン語contra（〜に対して, 〜に反対して）に由来する。contrast（対照）やcontroversy（論争）などにも見られる。
&lt;span class="spacer"&gt;&lt;/span&gt;&lt;span class="explanation_tag"&gt;イメージ&lt;/span&gt;
［the pros and cons］は、賛成するよいところと、反対するよくないところが両方あることを表して、「賛否両論」という意味になる。&lt;/span&gt;</t>
  </si>
  <si>
    <t>&lt;span class="w"&gt;&lt;b&gt;【969.a white elephant：無用の長物（役立たないどころかあると迷惑なもの）】&lt;/b&gt;&lt;/span&gt;
&lt;span class="ml"&gt;&lt;span class="explanation_tag"&gt;語源&lt;/span&gt;
［a white elephant］は、1851年に記録されており、「重荷となる負担, 厄介なものでどう処分してよいかわからないもの」という意味で使われた。
&lt;span class="spacer"&gt;&lt;/span&gt;これは、シャム国王（現在のタイ王国）が、気に入らない家臣に神聖な白象（アルビノの象）を贈る慣習に由来するとされる。その贈り物は大変な名誉であったが、白象を適切に飼育・維持するには破滅的なほど莫大な費用がかかったことから、「無用の長物, あると迷惑なもの」という意味になった。&lt;/span&gt;</t>
  </si>
  <si>
    <t>&lt;span class="w"&gt;&lt;b&gt;【970.the elephant in the room：誰も触れたがらない話】&lt;/b&gt;&lt;/span&gt;
&lt;span class="ml"&gt;&lt;span class="explanation_tag"&gt;イメージ&lt;/span&gt;
［the elephant in the room］は、直訳すると部屋の中にゾウがいるという特殊な状況になるが、これは重要なことだが誰も話題にできないことを表している。&lt;/span&gt;</t>
  </si>
  <si>
    <t>&lt;span class="w"&gt;&lt;b&gt;【971.part and parcel (of ~)：（〜の）欠かせないの要素, 最重要な部分】&lt;/b&gt;&lt;/span&gt;
&lt;span class="ml"&gt;&lt;span class="explanation_tag"&gt;語源&lt;/span&gt;
parcelは、ラテン語pars（部分）と、小さいことを表すculaが合わさってできた語。このラテン語からは、ある一部分に目を向けるparticular（特定の）も生まれている。
&lt;span class="spacer"&gt;&lt;/span&gt;もともとは「小さい部分, 小片」を意味し、1640年代から現在の一般的な「小包」という意味が記録されている。
&lt;span class="spacer"&gt;&lt;/span&gt;［part and parcel］は15世紀初頭に見られる。parcelが「小包」という意味で使われる前に存在した表現なので、このparcelは「小さい部分」という古い意味を残している。
&lt;span class="spacer"&gt;&lt;/span&gt;&lt;span class="explanation_tag"&gt;イメージ&lt;/span&gt;
［part and parcel (of A)］は、partとparcelのどちらも「部分」を意味する。「部分」を意味する単語を2つ使うことで、「全体と結びついて&lt;strong&gt;切り離せない&lt;/strong&gt;部分である」ということを強調し、「（Aの）欠かせないの要素, 最重要な部分」という意味になる。&lt;/span&gt;</t>
  </si>
  <si>
    <t>&lt;span class="w"&gt;&lt;b&gt;【972.all along：最初からずっと】&lt;/b&gt;&lt;/span&gt;
&lt;span class="ml"&gt;&lt;span class="explanation_tag"&gt;イメージ&lt;/span&gt;
［all along］は、ただ物事の進行に沿っている（along）だけではなく、全体を表すallによって「初めからである」ということを強調し、「最初からずっと」という意味になる。&lt;/span&gt;</t>
  </si>
  <si>
    <t>&lt;span class="w"&gt;&lt;b&gt;【974.as such：そういうものとして】&lt;/b&gt;&lt;/span&gt;
&lt;span class="ml"&gt;［as such］は直訳すれば、そういうもの（such）として（as）となる。&lt;/span&gt;</t>
  </si>
  <si>
    <t>&lt;span class="w"&gt;&lt;b&gt;【975.(at) first hand：直接に】&lt;/b&gt;&lt;/span&gt;
&lt;span class="ml"&gt;&lt;span class="explanation_tag"&gt;イメージ&lt;/span&gt;
［at first hand］は、ある出来事や情報が発生した源（ソース）から、他の誰かを経由することなく、「最初（first）の手（hand）」でダイレクトに受け取ることから、「直接に」という意味になる。&lt;/span&gt;</t>
  </si>
  <si>
    <t>&lt;span class="w"&gt;&lt;b&gt;【976.at ~'s convenience：〜の都合のよいときに】&lt;/b&gt;&lt;/span&gt;
&lt;span class="ml"&gt;&lt;span class="explanation_tag"&gt;イメージ&lt;/span&gt;
［at A's convenience］のconvenienceは、「コンビニ」に使われているコンビニエンス（便利な, 都合のよい）と関連させて覚える。直訳すれば「Aの都合のよいときに」という意味になる。&lt;/span&gt;</t>
  </si>
  <si>
    <t>at / on short notice</t>
  </si>
  <si>
    <t>&lt;span class="w"&gt;&lt;b&gt;【977.at / on short notice：すぐに】&lt;/b&gt;&lt;/span&gt;
&lt;span class="ml"&gt;&lt;span class="explanation_tag"&gt;イメージ&lt;/span&gt;
［at / on short notice］は、何かを行う際の事前の知らせ（notice）から実行するまでの時間が短い（short）ことを表す。つまり、知らせがあってから準備時間がなく急であることを表して、「すぐに」という意味になる。&lt;/span&gt;</t>
  </si>
  <si>
    <t>&lt;span class="w"&gt;&lt;b&gt;【978.at will：思いのままに】&lt;/b&gt;&lt;/span&gt;
&lt;span class="ml"&gt;&lt;span class="explanation_tag"&gt;イメージ&lt;/span&gt;
willは、助動詞として使われる方が多いが、もともとは「意志する」という動詞や「意志, 思い, 遺言」といった名詞。
&lt;span class="spacer"&gt;&lt;/span&gt;［at will］は直訳の通り、「思いのままに」という意味になる。&lt;/span&gt;</t>
  </si>
  <si>
    <t>&lt;span class="w"&gt;&lt;b&gt;【980.down the road：やがて, 将来は】&lt;/b&gt;&lt;/span&gt;
&lt;span class="ml"&gt;&lt;span class="explanation_tag"&gt;イメージ&lt;/span&gt;
［down the road］は直訳すると、「道を下って」となる。目の前に続く1本の長い道を進んでいくことから比喩的に、この先何があるかわからない時間の流れを表して、「やがて, 将来は」という意味になる。&lt;/span&gt;</t>
  </si>
  <si>
    <t>&lt;span class="w"&gt;&lt;b&gt;【981.early on：早い時期に, 早くから】&lt;/b&gt;&lt;/span&gt;
&lt;span class="ml"&gt;&lt;span class="explanation_tag"&gt;イメージ&lt;/span&gt;
［early on］は、earlyの単なる時間的な早さとは異なり、物事の進行・継続（on）における早い段階（early）を表して、「早い時期に, 早くから」という意味になる。&lt;/span&gt;</t>
  </si>
  <si>
    <t>&lt;span class="w"&gt;&lt;b&gt;【982.for a change：気分転換に, たまには】&lt;/b&gt;&lt;/span&gt;
&lt;span class="ml"&gt;&lt;span class="explanation_tag"&gt;イメージ&lt;/span&gt;
［for a change］は、いつもいつも同じことが続く中で、1度の変化（a change）を求める（for）ことを表して、「気分転換に, たまには」という訳になる。&lt;/span&gt;</t>
  </si>
  <si>
    <t>&lt;span class="w"&gt;&lt;b&gt;【983.for all I know：よくは知らないが】&lt;/b&gt;&lt;/span&gt;
&lt;span class="ml"&gt;&lt;span class="explanation_tag"&gt;イメージ&lt;/span&gt;
［for all I know］は、「私が知っているすべてがあったとしても」という、自分の知識や情報が正確ではないことを表す。そこから、「よく知らないが」という憶測や無関心さの表現となる。
&lt;span class="spacer"&gt;&lt;/span&gt;&lt;span class="explanation_tag"&gt;関連語&lt;/span&gt;
［357.for all A］は直訳すると、全てのA（all A）の割には（for）や、全てのAに対して（for）といった感じになる。つまり、「Aという存在を丸ごと前提として受け入れたとしても…」というニュアンスになり、そこから「Aにもかかわらず」という意味になる。&lt;/span&gt;</t>
  </si>
  <si>
    <t>&lt;span class="w"&gt;&lt;b&gt;【986.in a row：連続して, 1列で】&lt;/b&gt;&lt;/span&gt;
&lt;span class="ml"&gt;［in a row］は、列（a row）状態の中にいることを表すので、「1列で」や、並んでいることから「連続して」という意味になる。&lt;/span&gt;</t>
  </si>
  <si>
    <t>&lt;span class="w"&gt;&lt;b&gt;【987.in person：（代理人ではなく）じかに, 本人が】&lt;/b&gt;&lt;/span&gt;
&lt;span class="ml"&gt;&lt;span class="explanation_tag"&gt;語源&lt;/span&gt;
personは、ラテン語persona（仮面, 劇の役）に由来する。もともとのラテン語は、演劇でつける仮面やその役を指していたが、そこから特定の「個人」を表すようになった。
&lt;span class="spacer"&gt;&lt;/span&gt;14世紀後期には、「身体そのもの」や「生きた肉体」という意味でも使われており、1560年代から見られる［in person］は、手紙や代理人などではなく、まさに自分自身の肉体をもって現場にいる状態を表して「じかに, 本人が」という意味になった。&lt;/span&gt;</t>
  </si>
  <si>
    <t>&lt;span class="w"&gt;&lt;b&gt;【988.in retrospect：（過去を）振り返って（みて）】&lt;/b&gt;&lt;/span&gt;
&lt;span class="ml"&gt;&lt;span class="explanation_tag"&gt;語源&lt;/span&gt;
retrospectは、ラテン語retro（後ろに）と、specere（見る）が合わさってできた語。時間的に後ろ＝過去を見ることから「過去を振り返る」という意味になる。
&lt;span class="spacer"&gt;&lt;/span&gt;［in retrospect］は、retrospectの状態の中にいることを表して、［（過去）を振り返って（みて）］という意味になる。
&lt;span class="spacer"&gt;&lt;/span&gt;&lt;span class="explanation_tag"&gt;関連語&lt;/span&gt;
spect（見る）系は、以下の語もある。
&lt;span class="spacer"&gt;&lt;/span&gt;aspect（側面）
expect（期待する）
inspect（検査する）
introspect（内省する）
perspective（視点）
prospect（見込み）
respect（尊敬）
spectacle（光景）
suspect（疑う）&lt;/span&gt;</t>
  </si>
  <si>
    <t>&lt;span class="w"&gt;&lt;b&gt;【990.on second thought：考え直してみて】&lt;/b&gt;&lt;/span&gt;
&lt;span class="ml"&gt;&lt;span class="explanation_tag"&gt;イメージ&lt;/span&gt;
［on second thought］は、最初に考えた後の、2回目の考え（second thought）の上に立つことなので、「考え直してみて」という訳になる。&lt;/span&gt;</t>
  </si>
  <si>
    <t>&lt;span class="w"&gt;&lt;b&gt;【991.on the face of it：見たところは, 表面上は】&lt;/b&gt;&lt;/span&gt;
&lt;span class="ml"&gt;［on the face of it］は直訳すると、それ（it）の表面（the face of）上では（on）となる。これは、物事の内部や奥深くではなく、あくまで一番外側の表面であることを表して、「表面上は, 見たところは」という意味になる。
&lt;span class="spacer"&gt;&lt;/span&gt;パッと見える部分はわかるが、内部をじっくり見たらどうかわからない、内部を見たら反対だった、など表面的であることを表す。&lt;/span&gt;</t>
  </si>
  <si>
    <t>once and for all</t>
  </si>
  <si>
    <t>&lt;span class="w"&gt;&lt;b&gt;【993.once and for all：きっぱりと, これを最後に】&lt;/b&gt;&lt;/span&gt;
&lt;span class="ml"&gt;&lt;span class="explanation_tag"&gt;イメージ&lt;/span&gt;
［once (and) for all］は直訳すると、すべての分に対して（for all）この一度（once）となる。これは、今後のすべて分をこの一回にこめる、この一回で済ませて今後は一切ないということを表すので、「きっぱりと, これを最後に」という意味になる。&lt;/span&gt;</t>
  </si>
  <si>
    <t>&lt;span class="w"&gt;&lt;b&gt;【994.one of these days：そのうちに】&lt;/b&gt;&lt;/span&gt;
&lt;span class="ml"&gt;&lt;span class="explanation_tag"&gt;イメージ&lt;/span&gt;
［one of these days］は、these daysがいま現時点に近い複数の日を表し、one ofがその中の一つを表す。つまり、今後やってくるそう遠くないある日を指しており、「そのうちに」という訳になる。&lt;/span&gt;</t>
  </si>
  <si>
    <t>&lt;span class="w"&gt;&lt;b&gt;【995.once upon a time：昔々】&lt;/b&gt;&lt;/span&gt;
&lt;span class="ml"&gt;&lt;span class="explanation_tag"&gt;イメージ&lt;/span&gt;
［once upon a time］は直訳すると、ある時代（a time）の上の（upon）かつてのあるとき（once）、となる。過去の時代の不特定のあるときを表すので、日本語では「昔々」という訳になる。&lt;/span&gt;</t>
  </si>
  <si>
    <t>the other way around / round / about</t>
  </si>
  <si>
    <t>derive from ~</t>
  </si>
  <si>
    <t>&lt;span class="w"&gt;&lt;b&gt;【485.adjust (A) to B：（Aを）Bに合わせて調節する】&lt;/b&gt;&lt;/span&gt;
&lt;span class="ml"&gt;&lt;span class="explanation_tag"&gt;語源&lt;/span&gt;
adjustは、ラテン語&lt;span class="arrow"&gt;→&lt;/span&gt;フランス語&lt;span class="arrow"&gt;→&lt;/span&gt;英語という流れで入ってきた。本来のラテン語起源の意味は失われており、just部分が「ちょうど, 正しく, 公正な」を意味するjustだと勘違いされてしまったフランス語を経て、何かに対して（ad）正しい状態（just）に「調整する」という意味になった。
&lt;span class="spacer"&gt;&lt;/span&gt;&lt;span class="explanation_tag"&gt;イメージ&lt;/span&gt;
［adjust (A) to B］は、（Aを）Bに対してジャストな状態にする（adjust）ことから、「（Aを）Bに合わせて調節する」という意味になる。&lt;/span&gt;</t>
  </si>
  <si>
    <t>&lt;span class="w"&gt;&lt;b&gt;【503.forgive A for B：BのことでAを許す】&lt;/b&gt;&lt;/span&gt;
&lt;span class="ml"&gt;&lt;span class="explanation_tag"&gt;語源&lt;/span&gt;
forgiveは古英語にさかのぼり、for（完全に）とgiefan（与える）が合わさってできた語。forgiefanは、もともと何かを与えることを表した。
&lt;span class="spacer"&gt;&lt;/span&gt;その後、古英語forgiefanは、ラテン語per（完全に）とdonare（与える）が合わさってできたperdonare（許す）の翻訳語として使われたことで、「許す」という意味を獲得した。
ラテン語perdonare（許す）は、現代英語perdon（許す）の語源である。
&lt;span class="spacer"&gt;&lt;/span&gt;つまり現代英語で考えると、forgiveは、翻訳によってperdonの「許す」という意味を獲得した。
&lt;span class="spacer"&gt;&lt;/span&gt;&lt;span class="explanation_tag"&gt;イメージ&lt;/span&gt;
［forgive A for B］はforで理由を表して、「BのことでAを許す」という意味になる。&lt;/span&gt;</t>
  </si>
  <si>
    <t>&lt;span class="w"&gt;&lt;b&gt;【576.be confident of / about ~：〜を確信している】&lt;/b&gt;&lt;/span&gt;
&lt;span class="ml"&gt;&lt;span class="explanation_tag"&gt;語源&lt;/span&gt;
confidentは、ラテン語com（強意）と、fidere（信頼する）が合わさってできた語。対象を完全に信頼することから「確信している」という意味になる。
&lt;span class="spacer"&gt;&lt;/span&gt;［be confident of / about A］は、確信の対象をof / aboutで示して、「Aを確信している」という意味になる。&lt;/span&gt;</t>
  </si>
  <si>
    <t>&lt;span class="w"&gt;&lt;b&gt;【654.of late：最近, 近ごろ】&lt;/b&gt;&lt;/span&gt;
&lt;span class="ml"&gt;&lt;span class="explanation_tag"&gt;イメージ&lt;/span&gt;
lateは「遅い」という意味が思い浮かぶが、この語の核は「時間的に後の方」ということ。つまり「遅い」とは、予定の時刻よりも後の方である、ということを表している。
&lt;span class="spacer"&gt;&lt;/span&gt;この核をもとにlate 18cを考えれば、18世紀全体の後の方なので「18世紀後期」という意味になる。
&lt;span class="spacer"&gt;&lt;/span&gt;さらに18世紀だけではなく、過去からいま現在までの時間を直線で表せば、lateはその直線全体の後の方、つまり「いま」に近い部分＝「最近」を表すことになる。
&lt;span class="spacer"&gt;&lt;/span&gt;そこから［of late］は、最近（late）に含まれる（of）時間を表して、「最近, 近ごろ」という意味になる。&lt;/span&gt;</t>
  </si>
  <si>
    <t>&lt;span class="w"&gt;&lt;b&gt;【696.worse still / yet：さらに悪いことに】&lt;/b&gt;&lt;/span&gt;
&lt;span class="ml"&gt;&lt;span class="explanation_tag"&gt;イメージ&lt;/span&gt;
［worse still / yet］は、worseを［still / yet］で強調しているだけなので、「もっと悪いことに, さらに悪いことに」という意味になる。この2つの語は、比較級の後ろにおいて強調することができる。&lt;/span&gt;</t>
  </si>
  <si>
    <t>&lt;span class="w"&gt;&lt;b&gt;【727.(It is) True ~ , but …：確かに〜だが、…だ】&lt;/b&gt;&lt;/span&gt;
&lt;span class="ml"&gt;&lt;span class="explanation_tag"&gt;イメージ&lt;/span&gt;
［(It is) True ~ , but …］はtrueの後にthatが省略されており、直訳すると「〜は本当だ、しかし…」となる。これは、前半部分を「確かに〜」と認めた上で、後半に「だが…」という形で新しい事実や話者の意見を出す譲歩表現。
&lt;span class="spacer"&gt;&lt;/span&gt;読解においては、&lt;strong&gt;後半部分が重要な情報&lt;/strong&gt;となる。&lt;/span&gt;</t>
  </si>
  <si>
    <t>&lt;span class="w"&gt;&lt;b&gt;【729.It is (high / about) time (that) S V（仮定法過去）：（とっくに / そろそろ）〜してもよいころだ】&lt;/b&gt;&lt;/span&gt;
&lt;span class="ml"&gt;&lt;span class="explanation_tag"&gt;イメージ&lt;/span&gt;
［It is time (that) S V（仮定法過去）］は、that節の中が仮定法過去になる。これは、この表現が現実世界を言語化しているのではなく、「本当なら既にそうなっていてもよいのに、まだなっていない」という話者の頭の中を反映しているから。
&lt;span class="spacer"&gt;&lt;/span&gt;そこから、まだしていないけれど「〜してもよいときだ」という意味になる。
&lt;span class="spacer"&gt;&lt;/span&gt;timeにhighがつけば「とっくに」という切迫感のニュアンスが加えられ、aboutがつけば「そろそろ」というtimeへの接近・近さのニュアンスが加えられる。
&lt;span class="spacer"&gt;&lt;/span&gt;&lt;span class="explanation_tag"&gt;直説法と仮定法の違い&lt;/span&gt;
直説法というのは、現実世界を言葉で表現するので、時制を現実に合わせる。その言葉が表している内容が、現実で現在のことであれば現在形を、過去のことであれば過去形を使う。
&lt;span class="spacer"&gt;&lt;/span&gt;一方、仮定法というのは、話者の頭の中にある願望・提案・要求など、現実世界とは関係のない事柄を言葉にして表現する。そのため、現実とは時制をズラして仮定法であることを表す。&lt;/span&gt;</t>
  </si>
  <si>
    <t>&lt;span class="w"&gt;&lt;b&gt;【730.no sooner ~ than …：〜するやいなや…】&lt;/b&gt;&lt;/span&gt;
&lt;span class="ml"&gt;&lt;span class="explanation_tag"&gt;イメージ&lt;/span&gt;
［no sooner ~ than …］は、「〜」部分と「…」部分の時間的な早さを、soonerによって比較している。
&lt;span class="spacer"&gt;&lt;/span&gt;比較級の前には、どのくらい差があるのかを示す程度表現を付け足すことができるが、ここではno（ゼロ）が付いている。そのため、「〜」と「…」の早さの差はゼロ、つまり、ほとんど同時であることを表している。その結果、「〜するやいなや…」という訳になる。&lt;/span&gt;</t>
  </si>
  <si>
    <t>&lt;span class="w"&gt;&lt;b&gt;【731.It is no use doing ~：〜しても無駄である】&lt;/b&gt;&lt;/span&gt;
&lt;span class="ml"&gt;&lt;span class="explanation_tag"&gt;イメージ&lt;/span&gt;
［It is no use doing］の名詞useは、「使えること」&lt;span class="arrow"&gt;→&lt;/span&gt;「役立つこと」&lt;span class="arrow"&gt;→&lt;/span&gt;「利益」というイメージで覚えればよい。意味上の主語［doing ~］は、役立つことがゼロ（no use）なので、「〜しても無駄である」という意味になる。&lt;/span&gt;</t>
  </si>
  <si>
    <t>&lt;span class="w"&gt;&lt;b&gt;【752.have no (other) choice but to do：〜するより他に仕方がない】&lt;/b&gt;&lt;/span&gt;
&lt;span class="ml"&gt;&lt;span class="explanation_tag"&gt;語源&lt;/span&gt;
butは、古英語be＋utanaが合わさってできた語。現代英語にすると、by（そばに）＋out（外に）になる。対象を外側に置くことから、もともとは「〜を除いて」を意味した。
&lt;span class="spacer"&gt;&lt;/span&gt;「しかし」という接続詞としての用法は、そこから発展して生まれたもの。
&lt;span class="spacer"&gt;&lt;/span&gt;&lt;span class="explanation_tag"&gt;イメージ&lt;/span&gt;
［have no (other) choice but to do］は直訳すると、to do（〜すること）以外、0個の選択肢（no choice）を持っている（have）となる。つまり、to do以外の選択肢を持たないことを表して、「〜するより他に仕方がない」という意味になる。&lt;/span&gt;</t>
  </si>
  <si>
    <t>&lt;span class="w"&gt;&lt;b&gt;【773.what with A and B：AやらBやらで】&lt;/b&gt;&lt;/span&gt;
&lt;span class="ml"&gt;&lt;span class="explanation_tag"&gt;whatは「ある程度, いくらか」&lt;/span&gt;
疑問代名詞what（何）は、古くから不特定のものを指す「何か, あること」という意味で使われた（somethingに近い）。これは、現代でもI'll tell you what.（あることを教えよう）に残っている。
&lt;span class="spacer"&gt;&lt;/span&gt;そしてこの「何か, あること」という特定されない代名詞が、「ある程度, いくらか」という不特定の程度表現へと発達した。
&lt;span class="spacer"&gt;&lt;/span&gt;&lt;span class="explanation_tag"&gt;イメージ&lt;/span&gt;
［what with A and B］は、what with A and what with Bであり、このwhatは「ある程度, いくらか」を意味する。
&lt;span class="spacer"&gt;&lt;/span&gt;何かの理由に関して「ある程度はAを抱えていることが原因で、またある程度はBを抱えていることが原因だ」ということを表している。そこから「AやらBやらで」という訳になる。&lt;/span&gt;</t>
  </si>
  <si>
    <t>&lt;span class="w"&gt;&lt;b&gt;【776.just about：ほぼ】&lt;/b&gt;&lt;/span&gt;
&lt;span class="ml"&gt;&lt;span class="explanation_tag"&gt;語源&lt;/span&gt;
aboutは、古英語a＋be＋utanが合わさってできた語。現代英語にすると、on（〜に）＋by（そば）＋out（外側）となる。つまりaboutは「外側のそばに, ぐるりと, 周囲に」というニュアンス。
&lt;span class="spacer"&gt;&lt;/span&gt;&lt;span class="explanation_tag"&gt;イメージ&lt;/span&gt;
［just about］のjustは、aboutの持つ「周囲」というイメージを強調し、ほとんど重なりそうなくらい近いことを表して、「ほぼ」という意味になる。&lt;/span&gt;</t>
  </si>
  <si>
    <t>&lt;span class="w"&gt;&lt;b&gt;【666.might (just) as well do：①〜するのも同じだ, ②〜してもよい, 〜する方がましだ】&lt;/b&gt;&lt;/span&gt;
&lt;span class="ml"&gt;&lt;span class="explanation_tag"&gt;イメージ&lt;/span&gt;
［might (just) as well V］は、次のような形でイメージする。
&lt;span class="spacer"&gt;&lt;/span&gt;might &lt;strong&gt;as well&lt;/strong&gt; do A (&lt;strong&gt;as&lt;/strong&gt; not do A)
Aしないのとするのは同じくらい（as well as）だろう（might）
&lt;span class="spacer"&gt;&lt;/span&gt;ここから、①「〜するのも同じだ」、そしてどうせ同じなら、②「〜してもよい」「〜する方がましだ」という意味になる。&lt;/span&gt;</t>
    <phoneticPr fontId="1"/>
  </si>
  <si>
    <t>&lt;span class="w"&gt;&lt;b&gt;【669.S have A to do with B：BとAの関係がある】&lt;/b&gt;&lt;/span&gt;
&lt;span class="ml"&gt;&lt;span class="explanation_tag"&gt;イメージ&lt;/span&gt;
［S have A to do with B］は直訳すると、Bと一緒に（with B）行うためのA（A to do）を持っている（S have）となる。
&lt;span class="spacer"&gt;&lt;/span&gt;Bと共に何かをするということは、SとBには何らかの関係があることを表している。そして、Aには関係の度合いを表す語が入り、「Bと、Aの程度の関係がある」という意味になる。
&lt;span class="spacer"&gt;&lt;/span&gt;&lt;span class="explanation_tag"&gt;例&lt;/span&gt;
［S have &lt;strong&gt;a lot&lt;/strong&gt; to do with B］
Sは、Bと大いに関係がある
（SはBとするたくさんのことを持っている）
&lt;span class="spacer"&gt;&lt;/span&gt;［S have &lt;strong&gt;something&lt;/strong&gt; to do with B］
Sは、Bと何らかの関係がある
（SはBとする何かを持っている）
&lt;span class="spacer"&gt;&lt;/span&gt;［S have &lt;strong&gt;little&lt;/strong&gt; to do with B］
Sは、Bとするほとんど関係がない
（SはBとするものをほとんど持っていない）
&lt;span class="spacer"&gt;&lt;/span&gt;［S have &lt;strong&gt;nothing&lt;/strong&gt; to do with B］
Sは、Bと何も関係がない
（SはBとするものを何も持っていない）&lt;/span&gt;</t>
    <rPh sb="170" eb="171">
      <t>オコナ</t>
    </rPh>
    <rPh sb="234" eb="235">
      <t>トモ</t>
    </rPh>
    <rPh sb="236" eb="237">
      <t>ナニ</t>
    </rPh>
    <rPh sb="253" eb="254">
      <t>ナン</t>
    </rPh>
    <rPh sb="257" eb="259">
      <t>カンケイ</t>
    </rPh>
    <rPh sb="265" eb="266">
      <t>アラワ</t>
    </rPh>
    <phoneticPr fontId="1"/>
  </si>
  <si>
    <t>&lt;span class="w"&gt;&lt;b&gt;【681.that is (to say)：つまり, すなわち】&lt;/b&gt;&lt;/span&gt;
&lt;span class="ml"&gt;［that is (to say)］は、前の内容を受けて、「それはつまりこうである」というように後に続く内容へと導く表現。
&lt;span class="spacer"&gt;&lt;/span&gt;She is a polyglot. &lt;strong&gt;That is to say&lt;/strong&gt;, she speaks multiple languages.
彼女はポリグロットだ。&lt;strong&gt;それはつまりこういうことだ&lt;/strong&gt;、彼女は多言語を話す。
&lt;span class="spacer"&gt;&lt;/span&gt;このように［that is (to say)］は、「つまり, すなわち」という言い換えの働きがある。&lt;/span&gt;</t>
    <phoneticPr fontId="1"/>
  </si>
  <si>
    <t>&lt;span class="w"&gt;&lt;b&gt;【684.one after another：次々に, 次から次に】&lt;/b&gt;&lt;/span&gt;
&lt;span class="ml"&gt;&lt;span class="explanation_tag"&gt;イメージ&lt;/span&gt;
［one after another］は、one（あるもの）がanother（別のあるもの）の後に来る&lt;span class="arrow"&gt;→&lt;/span&gt;そしてこのoneがanotherとなり、その後にまたoneがやってくる。このようなanotherとoneの連続を表すので、「次々に, 次から次に」という意味になる。&lt;/span&gt;</t>
    <rPh sb="225" eb="226">
      <t>アト</t>
    </rPh>
    <rPh sb="259" eb="260">
      <t>アラワ</t>
    </rPh>
    <phoneticPr fontId="1"/>
  </si>
  <si>
    <t>&lt;span class="w"&gt;&lt;b&gt;【686.would / had rather do A (than  do B)：（〜するよりも）むしろ…したい】&lt;/b&gt;&lt;/span&gt;
&lt;span class="ml"&gt;&lt;span class="explanation_tag"&gt;語源&lt;/span&gt;
ratherは、古英語hraþe（速い, すぐに）の比較級hraþor（より速く, より先に）にさかのぼる。もともとは、「AがBより先にある」という比較を表した。
&lt;span class="spacer"&gt;&lt;/span&gt;そこから「先に述べたこととは反対に」という対比を表すようになり、何かよりも「むしろ」という意味へと繋がった。
&lt;span class="spacer"&gt;&lt;/span&gt;&lt;span class="explanation_tag"&gt;イメージ&lt;/span&gt;
［would / had rather do A (than do B)］の仮定法過去wouldは控え目な意志＝「〜したい」を表し、ratherは「むしろ」という対比を表す。これが合わさって「（Bよりも）むしろAしたい」という意味になる。&lt;/span&gt;</t>
    <phoneticPr fontId="1"/>
  </si>
  <si>
    <t>&lt;span class="w"&gt;&lt;b&gt;【687.as many / much as ~：〜もの数・量】&lt;/b&gt;&lt;/span&gt;
&lt;span class="ml"&gt;&lt;span class="explanation_tag"&gt;イメージ&lt;/span&gt;
［as many / much as 数・量］は、ただ数や量を「100」や「1500」と述べるだけではなく、「100」や「1500」と同じくらいmany / muchなんだ、という話者の判断が入ることで、「多い」という話者の主観が表現されて、「〜&lt;strong&gt;もの&lt;/strong&gt;数・量」という意味になる。&lt;/span&gt;</t>
    <rPh sb="189" eb="190">
      <t>オナ</t>
    </rPh>
    <rPh sb="231" eb="233">
      <t>ワシャ</t>
    </rPh>
    <rPh sb="234" eb="236">
      <t>シュカン</t>
    </rPh>
    <phoneticPr fontId="1"/>
  </si>
  <si>
    <t>&lt;span class="w"&gt;&lt;b&gt;【688.as good as ~：〜も同然, ほとんど〜】&lt;/b&gt;&lt;/span&gt;
&lt;span class="ml"&gt;&lt;span class="explanation_tag"&gt;語源&lt;/span&gt;
goodは「良い」という意味が思い浮かぶが、古英語gōd（適切な, 優れた, 価値のある, 有益な, 効果的な, 完全な）にさかのぼり、様々な意味を持っていた。
&lt;span class="spacer"&gt;&lt;/span&gt;そこから発展して1200年頃には、数量に対して「大きい, 多量の, かなりの」といった程度の強調表現としても使われるようになった。
（例：a good deal of Aのgood）
&lt;span class="spacer"&gt;&lt;/span&gt;&lt;span class="explanation_tag"&gt;イメージ&lt;/span&gt;
［as good as A］は14世紀半ばから見られるが、このgoodは程度を表していると考えればよい。つまり、Aと同じくらいの程度であるから「Aも同然, ほとんどA」という意味になる。&lt;/span&gt;</t>
    <rPh sb="294" eb="295">
      <t>レイ</t>
    </rPh>
    <phoneticPr fontId="1"/>
  </si>
  <si>
    <t>&lt;span class="w"&gt;&lt;b&gt;【693.what is more：さらに】&lt;/b&gt;&lt;/span&gt;
&lt;span class="ml"&gt;&lt;span class="explanation_tag"&gt;イメージ&lt;/span&gt;
［what is more］は直訳すると、「より多いこと」となる。前に述べた内容を受けて、「それよりも多いことは」と話題を追加するイメージで、「さらに」という意味になる。&lt;/span&gt;</t>
    <phoneticPr fontId="1"/>
  </si>
  <si>
    <t>&lt;span class="w"&gt;&lt;b&gt;【695.Couldn't be better.：最高です。いま以上良い状態はありえない。】&lt;/b&gt;&lt;/span&gt;
&lt;span class="ml"&gt;&lt;span class="explanation_tag"&gt;イメージ&lt;/span&gt;
［Couldn't be better］は直訳すると、いま以上より良い状態（better）はあり得ない（couldn't be）となるので、「最高」という意味になる。&lt;/span&gt;</t>
    <phoneticPr fontId="1"/>
  </si>
  <si>
    <t>&lt;span class="w"&gt;&lt;b&gt;【702.every / each time S V ~：SがVする度に】&lt;/b&gt;&lt;/span&gt;
&lt;span class="ml"&gt;&lt;span class="explanation_tag"&gt;イメージ&lt;/span&gt;
［every / each time S V ~］は、timeの後に関係副詞whenが省略されており、［S V ~］がevery / each time（毎回）を修飾していると考えればよい。そこから、「SがVする毎回」＝「SがVする度に」という接続詞的な表現になる。&lt;/span&gt;</t>
  </si>
  <si>
    <t>&lt;span class="w"&gt;&lt;b&gt;【706.as / so far as S be concerned：Sに関する限り】&lt;/b&gt;&lt;/span&gt;
&lt;span class="ml"&gt;&lt;span class="spacer"&gt;&lt;/span&gt;&lt;span class="explanation_tag"&gt;イメージ&lt;/span&gt;
［as / so far as S be concerned］は、距離や空間的な遠さを表すfarが、範囲を表す機能を果たしている。ここでは、実際の物理的・空間的な範囲ではなく、話が及ぶ範囲を「Sに関係する」に限定している。そこから「Sに関する限り」という意味になる。&lt;/span&gt;</t>
  </si>
  <si>
    <t>&lt;span class="w"&gt;&lt;b&gt;【711.if it were not for ~：もし〜がなければ】&lt;/b&gt;&lt;/span&gt;
&lt;span class="ml"&gt;&lt;span class="explanation_tag"&gt;イメージ&lt;/span&gt;
［if it were not for A, …］のitはその時点の状況や状態を漠然と表し、wereは過去時制ではなく仮定法過去、forは「理由」を表す。
&lt;span class="spacer"&gt;&lt;/span&gt;全体を直訳すると、「もしも（if）今の状況や状態が（it）Aという理由によるもの（for A）ではないなら（were not）、…だろう」となる。つまり、いまの状況・状態を成り立たせている原因にAが存在しなければ、…になる、ということを表しているので、「Aがなければ」という意味になる。
&lt;span class="spacer"&gt;&lt;/span&gt;&lt;span class="explanation_tag"&gt;例&lt;/span&gt;
If it were not for your help, I would fail.
もしもいまの状況があなたの助けによるものでなければ、失敗するだろう。
＝もしもあなたの助けがなければ、失敗するだろう。
&lt;span class="spacer"&gt;&lt;/span&gt;&lt;span class="explanation_tag"&gt;補足&lt;/span&gt;
［if it had not been for A］にすれば、「もしも〜がなかったら」となる。&lt;/span&gt;</t>
  </si>
  <si>
    <t>&lt;span class="w"&gt;&lt;b&gt;【713.~ to death：死ぬまで】&lt;/b&gt;&lt;/span&gt;
&lt;span class="ml"&gt;&lt;span class="explanation_tag"&gt;イメージ&lt;/span&gt;
［〜 to death］は直訳の通り、「死に達するまで, 死ぬまで」という意味になる。以下のように実際に死ぬことから、比喩的な「死ぬほど」という意味にもなる。
&lt;span class="spacer"&gt;&lt;/span&gt;starve to death
飢えて死に逹する＝飢え死にする
&lt;span class="spacer"&gt;&lt;/span&gt;freeze to death
凍って死に逹する＝凍死する
&lt;span class="spacer"&gt;&lt;/span&gt;burn to death
焼けて死に逹する＝焼死する
&lt;span class="spacer"&gt;&lt;/span&gt;be bored to death
死に達するくらい退屈する＝死ぬほど退屈する&lt;/span&gt;</t>
  </si>
  <si>
    <t>&lt;span class="w"&gt;&lt;b&gt;【732.It is not until ~ that …：〜になって初めて…だ】&lt;/b&gt;&lt;/span&gt;
&lt;span class="ml"&gt;&lt;span class="explanation_tag"&gt;イメージ&lt;/span&gt; 
この表現は次のような発展で考える。
&lt;span class="spacer"&gt;&lt;/span&gt;【S don't V … until 〜】
Sは〜までVしない
&lt;span class="spacer"&gt;&lt;/span&gt;［until ~］を強調する
【It is not ［until ~］ that S V …】
〜まで、SはV …しない
&lt;span class="spacer"&gt;&lt;/span&gt;つまり以下の二つのパーツから成る。
［until ~］：〜まで
【It is not［ ］that …】：…しない
&lt;span class="spacer"&gt;&lt;/span&gt;「〜まで…しない」ということは、裏を返せば、「〜になって初めて…する」という意味になる。&lt;/span&gt;</t>
  </si>
  <si>
    <t>&lt;span class="w"&gt;&lt;b&gt;【740.be to do：①義務：〜すべきである, ②予定・運命：〜することになっている, ③可能：〜できる, ④意志：〜するつもりである】&lt;/b&gt;&lt;/span&gt;
&lt;span class="ml"&gt;&lt;span class="explanation_tag"&gt;イメージ&lt;/span&gt;
［be to do］は、doに向かう（to）状態（be）というイメージを持てばよい。
&lt;span class="spacer"&gt;&lt;/span&gt;①レールに乗って当然doに向かうなら「義務」になる。
②スケジュール的にdoに向かうなら「予定・運命」になる。
③doに向かって行って到達できるなら「可能」になる。
④自分からdoに向かうなら「意志」になる。
&lt;span class="spacer"&gt;&lt;/span&gt;&lt;span class="explanation_tag"&gt;覚え方&lt;/span&gt;
［be to do］は「業界（ぎょうかい）」という語呂で覚える。
&lt;span class="spacer"&gt;&lt;/span&gt;ぎ：義務
ょう：予定・運命
か：可能
い：意志
&lt;span class="spacer"&gt;&lt;/span&gt;&lt;span class="explanation_tag"&gt;［be to do］の語源&lt;/span&gt;
古英語から初期中英語では、受け身的な意味で使われていた。現代でも［be to blame］で「責められるべき」という受動的な意味になるのは、この古い使用法の名残である。
&lt;span class="spacer"&gt;&lt;/span&gt;後期中英語から近代英語初期になると、be to doが受動的な意味から能動的な意味で使われるようになる。
&lt;span class="spacer"&gt;&lt;/span&gt;そして、おそらくラテン語の未来や義務の表現を［be to do］を使って翻訳したことから、「義務」「予定・運命」「意志」、さらに実際にdoに達する「可能」といった意味に発展していったと考えられる。&lt;/span&gt;</t>
  </si>
  <si>
    <t>&lt;span class="w"&gt;&lt;b&gt;【743.be to blame (for ~)：（〜への）責任がある・責めを追うべきである】&lt;/b&gt;&lt;/span&gt;
&lt;span class="ml"&gt;&lt;span class="explanation_tag"&gt;［be to do］の語源&lt;/span&gt;
［be to do］は、古英語から初期中英語では、受け身的な意味で使われていた。現代の感覚からすると、受け身であればdoではなく、 be doneという形にすべきではないかと思えるが、もともとのto不定詞（や動名詞）は、動詞の名詞化に近かった。
&lt;span class="spacer"&gt;&lt;/span&gt;to doは動詞よりも名詞に近かったため、動詞が持つ能動（する）や受動（される）というニュアンスはほとんど消えており、「する」でも「される」でもどちらでも解釈可能だった。そのような状態の中で、古英語では、to doが受動的なニュアンスで使われていた。
&lt;span class="spacer"&gt;&lt;/span&gt;近代英語以降になると、名詞に近かったto不定詞は、動詞的な性質が強くなる。そのため、能動（do）と受動（be done）の区別が厳密になっていった。最初「受け身はto doではなくto be doneではないのか」という疑問は、我々がto doを動詞として見ているから生まれるものであって、古い英語の視点に立てば、to doが受け身でも問題はないわけである。
&lt;span class="spacer"&gt;&lt;/span&gt;&lt;span class="explanation_tag"&gt;イメージ&lt;/span&gt;
［be to blame］で「責められるべき」という受動的な意味になるのは、to不定詞の古い使い方の名残である。文を見れば、明らかに主語が責められる側なので、読解の上ではそこまで問題になることはない。しかし語法問題で選択する際には、注意する必要がある。&lt;/span&gt;</t>
  </si>
  <si>
    <t>&lt;span class="w"&gt;&lt;b&gt;【801.take office：就任する】&lt;/b&gt;&lt;/span&gt;
&lt;span class="ml"&gt;&lt;span class="explanation_tag"&gt;語源&lt;/span&gt;
officeは、ラテン語opus（仕事）と、facere（する, 作る）が合わさってできた語。この語の核にあるのは「仕事をすること」。
&lt;span class="spacer"&gt;&lt;/span&gt;13世紀半ばには「特定の職務が伴う職業, 政府や行政の役職, 権限や責任のある地位」といった意味で使われた。
&lt;span class="spacer"&gt;&lt;/span&gt;1300年頃には、一般的な「公的な職務＝公職」を表すようになり、14世紀後期から「業務を行う建物や部屋」という意味が現れた。
&lt;span class="spacer"&gt;&lt;/span&gt;&lt;span class="explanation_tag"&gt;イメージ&lt;/span&gt;
オフィスという言葉を聞くと、日本語では「職場」をイメージするかも知れない。しかしこのofficeは、語源で見た通り、仕事をすること、特に「公職」を意味する。
&lt;span class="spacer"&gt;&lt;/span&gt;［take office］は、公職を引き受けることを表して、「就任する」という意味になる。&lt;/span&gt;</t>
  </si>
  <si>
    <t>&lt;span class="w"&gt;&lt;b&gt;【833.be committed to ~：〜に献身する】&lt;/b&gt;&lt;/span&gt;
&lt;span class="ml"&gt;&lt;span class="explanation_tag"&gt;語源&lt;/span&gt;
commitは、ラテン語com（共に）と、mittere（送る, 放つ）が合わさってできた語。ここから現代英語の「献身する」や「罪などを犯す」という意味への発展経緯は明らかではないため、あくまでイメージで覚えておく。
&lt;span class="spacer"&gt;&lt;/span&gt;この語の核は、「対象の元へ何かをまとめて送る」。自分自身や自分の能力、時間、権限など、自分と自分に関するものをまとめて対象に送る感じから、「献身する, 専念する」という意味になる。
&lt;span class="spacer"&gt;&lt;/span&gt;&lt;span class="explanation_tag"&gt;イメージ&lt;/span&gt;
commitの「献身する」という意味は、まず［commit oneself to A］で覚える。語源から考えると、自分自身をAに対してまとめて送るイメージから、「Aに献身する」という意味になる。
&lt;span class="spacer"&gt;&lt;/span&gt;そして［commit oneself to A］を受動態にすれば［S be committed to A］になる。&lt;/span&gt;</t>
  </si>
  <si>
    <t>be intent on ~</t>
  </si>
  <si>
    <t>be acquainted with ~</t>
  </si>
  <si>
    <t>&lt;span class="w"&gt;&lt;b&gt;【572.be acquainted with ~：〜を知っている, 〜と知り合いである】&lt;/b&gt;&lt;/span&gt;
&lt;span class="ml"&gt;&lt;span class="explanation_tag"&gt;acquintの語源&lt;/span&gt;
acquaintは、ラテン語ad（〜へ）と、com（共に）gonoscere（知る）が合わさってできた語。
&lt;span class="spacer"&gt;&lt;/span&gt;人と物事、人と他の人が共に知る状態にすることから、何かを「知らせる」という意味になる。
&lt;span class="spacer"&gt;&lt;/span&gt;［acquaint A with B］という形で、「AにBを知らせる」という意味になる。
&lt;span class="spacer"&gt;&lt;/span&gt;&lt;span class="explanation_tag"&gt;イメージ&lt;/span&gt;
［A be acquainted with B］は、［acquaint A with B］が、Aを主語とする受動態になったもの。そこから、「AはBを知っている, 知り合いである」という意味になる。&lt;/span&gt;</t>
  </si>
  <si>
    <t>&lt;span class="w"&gt;&lt;b&gt;【574.be worthy of ~：〜に値する】&lt;/b&gt;&lt;/span&gt;
&lt;span class="ml"&gt;&lt;span class="explanation_tag"&gt;語源&lt;/span&gt;
worthyは、worth（価値）に形容詞を作る-yが付いてできた語で、「〜の価値がある」という意味になる。
&lt;span class="spacer"&gt;&lt;/span&gt;&lt;span class="explanation_tag"&gt;イメージ&lt;/span&gt;
［be worthy of A］は、Aに対する価値があることから、「Aに値する」という意味になる。&lt;/span&gt;</t>
  </si>
  <si>
    <t>&lt;span class="w"&gt;&lt;b&gt;【593.look back on / to ~：～を振り返る, 回想する】&lt;/b&gt;&lt;/span&gt;
&lt;span class="ml"&gt;&lt;span class="explanation_tag"&gt;イメージ&lt;/span&gt;
［look back on A］は、時間的に後ろ＝昔の方を眺めて（look back）Aに視線を向ける（on A）イメージから、「Aを振り返る」という意味になる。
古英語（500-1100年）では、look atではなくlook onで視線を向ける対象をあらわした。
&lt;span class="spacer"&gt;&lt;/span&gt;［look back to A］は、方向を表すtoが使われるので、過去の特定の時代や歴史上の特定の点に向けるイメージになる。そこから、歴史的な起源をさかのぼったり、特定の年代を指したりして「振り返る」という意味になる。&lt;/span&gt;</t>
  </si>
  <si>
    <t>&lt;span class="w"&gt;&lt;b&gt;【603.in favor of ~：①〜に賛成して, ②〜を選んで, ③〜の有利に】&lt;/b&gt;&lt;/span&gt;
&lt;span class="ml"&gt;&lt;span class="explanation_tag"&gt;語源&lt;/span&gt;
動詞favorは、ラテン語favor（好意, 支持, 偏愛）に由来する。この語の核は、相手に対して好意を持つこと。
&lt;span class="spacer"&gt;&lt;/span&gt;①相手の考えを好んで支持することから「賛成する」、②好意を持って選ぶことから「好む」、③特に強い好意を示すことから「ひいきする」という意味になる。
&lt;span class="spacer"&gt;&lt;/span&gt;［in faver of A］は語源の通り、以下の意味になる。
①「Aに賛成して」
②Aを好むことから「Aを選んで」
③ひいきのように片方に有利な状態から「Aの有利に」&lt;/span&gt;</t>
  </si>
  <si>
    <t>&lt;span class="w"&gt;&lt;b&gt;【607.in place of ~：〜の代わりに】&lt;/b&gt;&lt;/span&gt;
&lt;span class="ml"&gt;&lt;span class="explanation_tag"&gt;イメージ&lt;/span&gt;
［in place of A］は、Aがあるべき場所の中に別の何かがあることを表して、「Aの代わりに」という意味になる。&lt;/span&gt;</t>
  </si>
  <si>
    <t>&lt;span class="w"&gt;&lt;b&gt;【610.in (the) light of ~：〜から見て, 〜を考慮して】&lt;/b&gt;&lt;/span&gt;
&lt;span class="ml"&gt;&lt;span class="explanation_tag"&gt;イメージ&lt;/span&gt;
［in (the) light of A］は、Aという光の中で物事を見るイメージ。つまり、Aの観点で物事を見ることから、「Aから見て, Aを考慮して」といった意味になる。&lt;/span&gt;</t>
  </si>
  <si>
    <t>&lt;span class="w"&gt;&lt;b&gt;【504.deprive A of B：AからBを奪う】&lt;/b&gt;&lt;/span&gt;
&lt;span class="ml"&gt;&lt;span class="explanation_tag"&gt;語源&lt;/span&gt;
depriveは、ラテン語de（完全に）と、privus（個人の）から派生した動詞prevare（奪う）が合わさってできた語。そこから何かを完全に「奪う」という意味になった。
ラテン語privusは、英語private（プライベート）の語源でもある。
&lt;span class="spacer"&gt;&lt;/span&gt;&lt;span class="explanation_tag"&gt;イメージ&lt;/span&gt;
語源で見た通り、de&lt;strong&gt;prive&lt;/strong&gt;と&lt;strong&gt;priv&lt;/strong&gt;ateは、どちらもラテン語privus（個人の）から生まれている。
&lt;span class="spacer"&gt;&lt;/span&gt;個人やプライベートというのは、公・一般から切り離されたものなので、あるものから何かを切り離す＝「奪い取る」という動詞へと発展した。
&lt;span class="spacer"&gt;&lt;/span&gt;［deprive A of B］のofは「分離」を表して、「AからBを奪う」という意味になる。&lt;/span&gt;</t>
  </si>
  <si>
    <t>&lt;span class="w"&gt;&lt;b&gt;【519.live / lead a ~ life：〜の生活を送る】&lt;/b&gt;&lt;/span&gt;
&lt;span class="ml"&gt;このliveは他動詞で、a ~ lifeを目的語として取り、「〜の生活を送る」という意味になる。
&lt;span class="spacer"&gt;&lt;/span&gt;lead（〜を導く）でも同様に、生活を導いていくことから「〜の生活を送る」という意味になる。&lt;/span&gt;</t>
  </si>
  <si>
    <t>&lt;span class="w"&gt;&lt;b&gt;【542.give rise to ~：〜を引き起こす（生む）】&lt;/b&gt;&lt;/span&gt;
&lt;span class="ml"&gt;&lt;span class="explanation_tag"&gt;イメージ&lt;/span&gt;
［give rise to A］は、Aに対して（to A）上方向の動き（rise）を与えて（give）見えるところに出てこさせるというイメージから、「Aを引き起こす（生む）」という意味になる。&lt;/span&gt;</t>
  </si>
  <si>
    <t>fall victim to ~</t>
  </si>
  <si>
    <t>&lt;span class="w"&gt;&lt;b&gt;【546.fall victim to ~：〜の犠牲になる】&lt;/b&gt;&lt;/span&gt;
&lt;span class="ml"&gt;&lt;span class="explanation_tag"&gt;イメージ&lt;/span&gt;
［fall victim to A］は直訳すると、Aへの（to A）犠牲（victim）に落ちていく（fall）となる。そこから、Aの犠牲に陥る＝「Aの犠牲になる」となる。&lt;/span&gt;</t>
  </si>
  <si>
    <t>&lt;span class="w"&gt;&lt;b&gt;【447.send for ~：（人）を呼ぶ, （物）を取り寄せる】&lt;/b&gt;&lt;/span&gt;
&lt;span class="ml"&gt;&lt;span class="explanation_tag"&gt;語源&lt;/span&gt;
sendは、古英語sendanにさかのぼり、物や人を送ることを表した。send forは14世紀後期までに現れ、何かを求めて使者を送ることを意味した。
&lt;span class="spacer"&gt;&lt;/span&gt;［send for A］は、もともとは、Aを求めて（for A）使者を送り（send）、その使者に人を連れて来させる、物を持って来させるという意味だった。
&lt;span class="spacer"&gt;&lt;/span&gt;しかし、電話・メール・インターネット・サービスがある現代では、「使者を送って」というニュアンスは薄れ、自分ではない誰かを使って「人を呼ぶ, 物を取り寄せる」という意味になっている。&lt;/span&gt;</t>
  </si>
  <si>
    <t>&lt;span class="w"&gt;&lt;b&gt;【470.sort out ~ ：〜を整理する, 〜を分類する, 〜を処理する】&lt;/b&gt;&lt;/span&gt;
&lt;span class="ml"&gt;&lt;span class="explanation_tag"&gt;語源&lt;/span&gt;
ラテン語sors（くじ, 運命, 割り当て）に由来する。
&lt;span class="spacer"&gt;&lt;/span&gt;くじの結果のように、運命によって人に割り当てられたものという意味から、運命が人に割り当てた現在の地位・階級といった意味へと発展した。
&lt;span class="spacer"&gt;&lt;/span&gt;そこから、Aは貴族に、Bは中流に、Cは労働者に、Dは奴隷に…といったように、ある対象を何かに割り当てて分けるという動詞になり、何かを「分類する」という意味になった。
&lt;span class="spacer"&gt;&lt;/span&gt;&lt;span class="explanation_tag"&gt;イメージ&lt;/span&gt;
［sort out A］の核は、ぐちゃぐちゃな状態やゴタゴタしている状況を、分類して整理し、スッキリさせるイメージ。そこから「Aを整理する, Aを分類する」や、問題など「Aを処理する」という意味になる。
&lt;span class="spacer"&gt;&lt;/span&gt;&lt;span class="explanation_tag"&gt;補足&lt;/span&gt;
写真やデータ、ショッピングサイトの商品などを、新着順・古い順・おすすめ順・あいうえお順などに並び替えることを「ソート」という。&lt;/span&gt;</t>
  </si>
  <si>
    <t>&lt;span class="w"&gt;&lt;b&gt;【1019.highlight：〜を目立たせる, 〜を強調する】&lt;/b&gt;&lt;/span&gt;
&lt;span class="ml"&gt;近代英語にさかのぼり、以下の2つの要素から成る。
&lt;span class="spacer"&gt;&lt;/span&gt;high（高い）
light（光度）
&lt;span class="spacer"&gt;&lt;/span&gt;もともとは美術の用語で、絵画の陰影において、光が当たる最も明るい（光の度合いが高い）部分を表した。そこから比喩的に、何かにおいて目立つ部分を表すようになり、「目立たせる, 強調する」という意味になった。&lt;/span&gt;</t>
    <rPh sb="215" eb="217">
      <t>ドア</t>
    </rPh>
    <rPh sb="219" eb="220">
      <t>タカ</t>
    </rPh>
    <phoneticPr fontId="1"/>
  </si>
  <si>
    <t>&lt;span class="w"&gt;&lt;b&gt;【405.make for ~：①〜の方に進む, ②〜に寄与する, 〜に役立つ】&lt;/b&gt;&lt;/span&gt;
&lt;span class="ml"&gt;&lt;span class="explanation_tag"&gt;語源&lt;/span&gt;
1200年頃
make way（道を切り開く）
&lt;span class="spacer"&gt;&lt;/span&gt;14世紀初期
make way（進む, 進行する）
&lt;span class="spacer"&gt;&lt;/span&gt;1580年代
make for（〜へ向かう）
&lt;span class="spacer"&gt;&lt;/span&gt;1620年代
make（〜に到着する：元は航海用語）
&lt;span class="spacer"&gt;&lt;/span&gt;&lt;span class="explanation_tag"&gt;イメージ&lt;/span&gt;
［make for A］は、目的を表すforをもとに考えればよい。
&lt;span class="spacer"&gt;&lt;/span&gt;①makeには、もともと「向かう」という意味があり、それが残っている表現。これは、make way（道を切り開いて進む）から、make自体で「進む」という意味になった可能性がある。
make（進む）の後にfor Aで目的地を示して、「Aの方に進む」という意味になる。
&lt;span class="spacer"&gt;&lt;/span&gt;②Aのために（for A）何かを為す（make）ことから、「Aに寄与する, Aに役立つ」という意味になる。&lt;/span&gt;</t>
  </si>
  <si>
    <t>related31</t>
  </si>
  <si>
    <t>&lt;span class="w"&gt;&lt;b&gt;【321.sympathize with ~：〜に同情する】&lt;/b&gt;&lt;/span&gt;
&lt;span class="ml"&gt;&lt;span class="explanation_tag"&gt;語源&lt;/span&gt;
sympathizeは、フランス語sympathiser（他人と同じように感じる）に由来する。これは、sympathy（同情, 共感, シンパシー）が動詞になったものと考えればよい。
&lt;span class="spacer"&gt;&lt;/span&gt;sympathyは、ギリシャ語syn（共に）と、pathos（感情）が合わさってできた語。共有された感情、同じ感情を表す。
syn（共に）は、シンクロ（同時）のシンと同じ。
&lt;span class="explanation_tag"&gt;イメージ&lt;/span&gt;
［sympathize with A］は語源的に考えると、Aと（with A）共に感じる（sympathize）となる。Aが感じている苦しみや感情を共に感じることから、「Aに同情する」という意味になる。&lt;/span&gt;</t>
  </si>
  <si>
    <t>&lt;span class="w"&gt;&lt;b&gt;【345.in principle：理論的には, 原則的には】&lt;/b&gt;&lt;/span&gt;
&lt;span class="ml"&gt;&lt;span class="explanation_tag"&gt;語源&lt;/span&gt;
principleは、ラテン語primus（第一の）と、capere（取る）が合わさってできた語。第一のポジションを取るものを表して、何かが成り立つための土台＝「原理, 原則」や、行動の土台となる「主義, 信条」という意味になった。
&lt;span class="spacer"&gt;&lt;/span&gt;&lt;span class="explanation_tag"&gt;イメージ&lt;/span&gt;
ふつう、ある行動や決定には、それに至るまでの思考がある。つまり〈①思考→②行動・決定〉という順序になる。
&lt;span class="spacer"&gt;&lt;/span&gt;principleは語源を見ると、「第一を取る」が核にある。上記の流れで言えば、「第一」は、①の思考部分を指す。
&lt;span class="spacer"&gt;&lt;/span&gt;そこから［in principle］は、実際の行動・決定の前段階にある「思考部分においては」となる。実際に何かを行う現実的なレベルではなく、「理論的には, 原則的には」という意味になる。&lt;/span&gt;</t>
  </si>
  <si>
    <t>&lt;span class="w"&gt;&lt;b&gt;【440.consist：(of ~)～から成る, (in ~)～にある】&lt;/b&gt;&lt;/span&gt;
&lt;span class="ml"&gt;ラテン語に由来する語で、以下の2つの要素から成る。
&lt;span class="spacer"&gt;&lt;/span&gt;com（強意）
sistere（立たせる）
&lt;span class="spacer"&gt;&lt;/span&gt;このまま日本語にすると「しっかり立たせる」となる。
&lt;span class="spacer"&gt;&lt;/span&gt;［S consist &lt;strong&gt;of&lt;/strong&gt; A］
これは「Sは、Aがあることでしっかり立っていられる」というイメージ。逆に言えば、AがなければSは成り立たない。そこから、「SはAから成る」という意味になる。
このofは、be made of（〜でできている）と同じ。
&lt;span class="spacer"&gt;&lt;/span&gt;［S consist &lt;strong&gt;in&lt;/strong&gt; A］
これは「Sが、Aの中にしっかり立っている」というイメージ。そこから、「SはA（の中）にある」という意味になる。&lt;/span&gt;</t>
  </si>
  <si>
    <t>&lt;span class="w"&gt;&lt;b&gt;【212.as well：〜も】&lt;/b&gt;&lt;/span&gt;
&lt;span class="ml"&gt;&lt;span class="explanation_tag"&gt;イメージ&lt;/span&gt;
A as well as B（BだけではなくAも）から、比較対象を表すas B（Bだけではなく）が消えて、as well（〜も）が残ったと考えればよい。&lt;/span&gt;</t>
  </si>
  <si>
    <t>&lt;span class="w"&gt;&lt;b&gt;【300.give way (to ~)：①（～に）屈する, ②（～に）道を譲る】&lt;/b&gt;&lt;/span&gt;
&lt;span class="ml"&gt;&lt;span class="explanation_tag"&gt;イメージ&lt;/span&gt;
これは直訳すると、②道を（way）譲る（give）という意味になる。そして道を譲るということから、自分の立場を譲る、つまり①「屈する」という意味にもなる。
&lt;span class="spacer"&gt;&lt;/span&gt;道を譲る対象、屈する対象は［to A］で示す。&lt;/span&gt;</t>
  </si>
  <si>
    <t>&lt;span class="w"&gt;&lt;b&gt;【762.see (to it) that ~：〜するように気をつける, 〜するように取り計らう】&lt;/b&gt;&lt;/span&gt;
&lt;span class="ml"&gt;&lt;span class="explanation_tag"&gt;語源&lt;/span&gt;
seeは、1300年頃までに「何かがそのようであること、または誰かが何かをすることを確実にする」という意味が生まれた。
&lt;span class="spacer"&gt;&lt;/span&gt;14世紀後期までには、［see to］で、何かに対して目を配ることから「注意を払う」 「世話をする, 手配する」という意味で使われるようになる。
&lt;span class="spacer"&gt;&lt;/span&gt;そして15世紀後期から、［see to it］で「特別な注意を払う」「それが実行されるようにする、必ずそうなるように取り計らう」という意味になった。
&lt;span class="spacer"&gt;&lt;/span&gt;&lt;span class="explanation_tag"&gt;イメージ&lt;/span&gt;
［see to it that ~］のitは形式主語で、意味上の主語はthat以下の部分。［that ~］に対して（to）目を配り（see）、それが必ず実行されるようにすることから、「〜するように気をつける, 〜するように取り計らう」という意味になる。&lt;/span&gt;</t>
    <phoneticPr fontId="1"/>
  </si>
  <si>
    <t>…,  inasmuch as / in as much as ~</t>
    <phoneticPr fontId="1"/>
  </si>
  <si>
    <t>&lt;span class="w"&gt;&lt;b&gt;【775.…,  inasmuch as / in as much as ~：〜だから…】&lt;/b&gt;&lt;/span&gt;
&lt;span class="ml"&gt;&lt;span class="explanation_tag"&gt;語源&lt;/span&gt;
［inasmuch］は、1300年頃にin als mikelというイングランド北部の方言が記録されている。そこから徐々に短縮されていき、最終的にinasmuchという1語になった。 
&lt;span class="spacer"&gt;&lt;/span&gt;&lt;span class="explanation_tag"&gt;イメージ&lt;/span&gt;
［…, inasmuch / in as much as ~］は、［in］＋［as much as ~］からイメージをつかめばよい。
&lt;span class="spacer"&gt;&lt;/span&gt;直訳すると、「〜と同じ程度（much）の範囲内（in）では…」となる。そこから、「〜の範囲内&lt;strong&gt;にいれば&lt;/strong&gt;…」という制限を表すようになり、さらに「〜の範囲内に&lt;strong&gt;いるから&lt;/strong&gt;…」という理由の表現へと発展した。
&lt;span class="spacer"&gt;&lt;/span&gt;&lt;span class="explanation_tag"&gt;例&lt;/span&gt;
He is a good leader, inasmuch as he listens to our opinions.
&lt;span class="spacer"&gt;&lt;/span&gt;「我々の意見を聞く」と同じ程度の範囲では「よいリーダ」である
&lt;span class="spacer"&gt;&lt;/span&gt;&lt;span class="arrow"&gt;→&lt;/span&gt;「我々の意見を聞く」と同じ範囲であれば「よいリーダ」である
&lt;span class="spacer"&gt;&lt;/span&gt;&lt;span class="arrow"&gt;→&lt;/span&gt;「我々の意見を聞く」と同じ程度の範囲にいるから「よいリーダ」である&lt;/span&gt;</t>
    <phoneticPr fontId="1"/>
  </si>
  <si>
    <t>k</t>
  </si>
  <si>
    <t>&lt;span class="w"&gt;&lt;b&gt;【1493.drastic：抜本的な, 思い切った, 極端な】&lt;/b&gt;&lt;/span&gt;
&lt;span class="ml"&gt;ギリシャ語に由来する語で、以下の2つの要素から成る。
&lt;span class="spacer"&gt;&lt;/span&gt;drāo（行う, 大きな行いをする）
ikos（形容詞化）
&lt;span class="spacer"&gt;&lt;/span&gt;この語の核は「大きな行いをする」。ただ何かを行うのではなく、その「程度が大きい」ということが重要なポイント。
&lt;span class="spacer"&gt;&lt;/span&gt;もともとは薬に関して、強烈な効き目があることを表した。そして、その効果や作用が非常に大きいことから発展して、手段・対策などが状況に大きく作用することを表して「抜本的な, 思い切った, 極端な」という意味になった。
&lt;div class="sample_image drastic"&gt;&lt;/div&gt;&lt;/span&gt;</t>
    <phoneticPr fontId="1"/>
  </si>
  <si>
    <t>&lt;span class="w"&gt;&lt;b&gt;【1499.tidy：きちんとした, 片付いている】&lt;/b&gt;&lt;/span&gt;
&lt;span class="ml"&gt;古英語tīd（時間, 時期, 季節）にさかのぼる。
&lt;span class="spacer"&gt;&lt;/span&gt;潮の満ち引きの「潮」を英語ではtideと言い、tidyと同じ古英語にさかのぼる。どちらも時間や時期に関わる語。
&lt;span class="spacer"&gt;&lt;/span&gt;tidyの核は「時期に合って適切な」。そこから、物があるべき適切な場所に整頓してある様子を表して「片付いている」や、人が「きちんとしている」という意味になった。
&lt;span class="spacer"&gt;&lt;/span&gt;&lt;span class="obsolete"&gt;一方neat（きちんとした, 外見的にきれいな）は、ラテン語nitere（輝く）に由来する。「ピカピカ輝くようにきちんとしている」というイメージから、整っていて外見的に「きちんとした, きれいな」という意味になった。&lt;/span&gt;&lt;/span&gt;</t>
    <phoneticPr fontId="1"/>
  </si>
  <si>
    <t>&lt;span class="w"&gt;&lt;b&gt;【3.a number of 可算名詞：いくつもの～】&lt;/b&gt;&lt;/span&gt;
&lt;span class="ml"&gt;&lt;span class="explanation_tag"&gt;語源&lt;/span&gt;
numberは数や数字という意味が思い浮かぶが、もとになったラテン語numerusは「数, 量」を意味した。
&lt;span class="spacer"&gt;&lt;/span&gt;numberが英語に入ったばかりの頃も「合計, 総量」という意味で使われており、数や数字という意味で使われたのはそれよりも後のこと。
&lt;span class="spacer"&gt;&lt;/span&gt;&lt;span class="explanation_tag"&gt;イメージ&lt;/span&gt;
［a number of］のnumberは、もともとの「合計, 総量」という意味から「まとまった数」だとイメージすればよい。
&lt;span class="spacer"&gt;&lt;/span&gt;不定冠詞aは、「不特定の存在」を意味する。つまり厳密にどれかを特定はできないが、たしかに存在するというイメージ。
&lt;span class="spacer"&gt;&lt;/span&gt;ここから［a number of A］は「あるまとまった数のA」というイメージになる。
&lt;span class="spacer"&gt;&lt;/span&gt;&lt;span class="explanation_tag"&gt;補足①&lt;/span&gt;
まとまった数が中心のイメージなので、
a &lt;strong&gt;small&lt;/strong&gt; number of（少しの）
a &lt;strong&gt;large&lt;/strong&gt; number of（多くの）
のように、numberに程度を示す形容詞を付けることができる。
&lt;span class="spacer"&gt;&lt;/span&gt;&lt;span class="explanation_tag"&gt;補足②&lt;/span&gt;
定冠詞を使った［the number of］だと、抽象的なまとまりではなく、具体的な「数」に焦点が当たるため、意味は「～の数」となる。
&lt;div class="sample_image 2026_3"&gt;&lt;/div&gt;&lt;/span&gt;</t>
    <phoneticPr fontId="1"/>
  </si>
  <si>
    <t>&lt;span class="w"&gt;&lt;b&gt;【4.dozens of ~：数十もの～, 何ダースもの～】&lt;/b&gt;&lt;/span&gt;
&lt;span class="ml"&gt;&lt;span class="explanation_tag"&gt;語源&lt;/span&gt;
dozenは、ラテン語duo（2, デュオ）と、decem（10）が合わさってできた語。このラテン語duoはtwoと、decemはtenと同じ語源にさかのぼる。
&lt;span class="spacer"&gt;&lt;/span&gt;つまりdozenは、do（two, 2）＋zen（ten, 10）で「12」になると考えればよい。
&lt;span class="spacer"&gt;&lt;/span&gt;&lt;span class="explanation_tag"&gt;イメージ&lt;/span&gt;
「1ダース」は「12」を意味する。hundreds of（何百もの）やthousands of（何千もの）と同じで、複数形dozensにして「何ダースもの～」となる。
&lt;span class="spacer"&gt;&lt;/span&gt;またそこから、厳密に「12×n」ではなく、ざっくりと「何十もの」という意味にもなる。
&lt;span class="spacer"&gt;&lt;/span&gt;&lt;span class="explanation_tag"&gt;関連語&lt;/span&gt;
ラテン語decemからは、以下も生まれている。
&lt;span class="spacer"&gt;&lt;/span&gt;December（10番目の月を表す）
deciliter（10分の1リットル）
decade（10年間）
&lt;div class="sample_image 2026_4"&gt;&lt;/div&gt;&lt;/span&gt;</t>
    <phoneticPr fontId="1"/>
  </si>
  <si>
    <t>&lt;span class="w"&gt;&lt;b&gt;【5.plenty of ~：たくさんの～】&lt;/b&gt;&lt;/span&gt;
&lt;span class="ml"&gt;&lt;span class="explanation_tag"&gt;語源&lt;/span&gt;
plentyは、印欧祖語*pele-（満たす）に由来する。何かをいっぱいに満たすことから「豊富さ, 数の多さ」という意味になる。
&lt;span class="spacer"&gt;&lt;/span&gt;&lt;span class="explanation_tag"&gt;イメージ&lt;/span&gt;
［plenty of A］は、Aで満たされているイメージから「たくさんのA」という意味になる。
&lt;span class="spacer"&gt;&lt;/span&gt;&lt;span class="explanation_tag"&gt;関連語&lt;/span&gt;印欧祖語*pele-（満たす）からは、以下も生まれている。
&lt;span class="spacer"&gt;&lt;/span&gt;full（満ちた）
complete（完全に満たす→完成させる）supply（何かを満たす→供給する）
&lt;div class="sample_image 2026_5"&gt;&lt;/div&gt;&lt;/span&gt;</t>
    <phoneticPr fontId="1"/>
  </si>
  <si>
    <t>&lt;span class="w"&gt;&lt;b&gt;【13.up to date：最新の】&lt;/b&gt;&lt;/span&gt;
&lt;span class="ml"&gt;&lt;span class="explanation_tag"&gt;イメージ&lt;/span&gt;
upは限度に達するというイメージで、toは到達点を示す。この2つが合わさってup toは「〜まで達している」を意味する。
&lt;span class="spacer"&gt;&lt;/span&gt;［up to date］で日付が毎日変わる中で「常に現在の日付まで到達している」つまり「最新の」という意味になる。
&lt;div class="sample_image 2026_13"&gt;&lt;/div&gt;&lt;/span&gt;</t>
    <phoneticPr fontId="1"/>
  </si>
  <si>
    <t>&lt;span class="w"&gt;&lt;b&gt;【31.be about to do ~：今にも～しようとしている】&lt;/b&gt;&lt;/span&gt;
&lt;span class="ml"&gt;&lt;span class="explanation_tag"&gt;語源&lt;/span&gt;
aboutは、古英語a＋be＋utanが合わさってできた語。現代英語にすると、on（〜に）＋by（そば）＋out（外側）となる。つまりaboutは「外側のそばに, ぐるりと, 周囲に」というニュアンス。
&lt;span class="spacer"&gt;&lt;/span&gt;&lt;span class="explanation_tag"&gt;イメージ&lt;/span&gt;
aboutが持つ、ピッタリ同じ場所ではないが周囲にあるというイメージから、［be about to do］で、to do（すること）のabout（周囲）にいる、つまり「今にも〜しようとしている」という意味になる。
&lt;div class="sample_image 2026_31"&gt;&lt;/div&gt;&lt;/span&gt;</t>
    <phoneticPr fontId="1"/>
  </si>
  <si>
    <t>&lt;span class="w"&gt;&lt;b&gt;【58.abound in / with ~：～に富む, 〜で溢れている】&lt;/b&gt;&lt;/span&gt;
&lt;span class="ml"&gt;&lt;span class="explanation_tag"&gt;語源&lt;/span&gt;
aboundは、ラテン語ab（離れて）と、undare（波のように押し寄せる）が合わさってできた語。波が押し寄せて水が溢れ出るように「たくさんある, あふれる」という意味になる。
&lt;div class="sample_image 2026_58"&gt;&lt;/div&gt;&lt;/span&gt;</t>
    <phoneticPr fontId="1"/>
  </si>
  <si>
    <t>&lt;span class="w"&gt;&lt;b&gt;【60.bring about ~：～を引き起こす】&lt;/b&gt;&lt;/span&gt;
&lt;span class="ml"&gt;&lt;span class="explanation_tag"&gt;語源&lt;/span&gt;
aboutは、古英語a＋be＋utanが合わさってできた語。現代英語にすると、on（〜に）＋by（そば）＋out（外側）となる。つまりaboutは「外側のそばに, ぐるりと, 周囲に」というニュアンス。
&lt;span class="spacer"&gt;&lt;/span&gt;&lt;span class="explanation_tag"&gt;イメージ&lt;/span&gt;
［bring about A］で、周囲の状況をぐるりと（about）動かしてAをもたらす（bring）ことから、Aを「引き起こす」という意味になる。
&lt;span class="spacer"&gt;&lt;/span&gt;&lt;span class="explanation_tag"&gt;関連語&lt;/span&gt;
come about：起こる
自動詞comeだと、何かがやってくることから「起こる」になる。
&lt;span class="spacer"&gt;&lt;/span&gt;他動詞bringだと、何かを持ってくることから「〜を引き起こす」となる。
&lt;div class="sample_image 2026_60"&gt;&lt;/div&gt;&lt;/span&gt;</t>
    <phoneticPr fontId="1"/>
  </si>
  <si>
    <t>&lt;span class="w"&gt;&lt;b&gt;【72.figure out ~：～を理解する, 〜を計算する, 〜を解く】&lt;/b&gt;&lt;/span&gt;
&lt;span class="ml"&gt;&lt;span class="explanation_tag"&gt;語源&lt;/span&gt;
figureは、ラテン語のfigura（形）やfigurare（形作る）に由来する。
&lt;span class="spacer"&gt;&lt;/span&gt;名詞figureは、輪郭のある「姿」やその姿をした「人物」そのもの、数やイメージを形で表した「数字」や「図表」を意味する。
&lt;span class="spacer"&gt;&lt;/span&gt;動詞figureも核は「形」であり、頭の中の考えをはっきりとした形にすることから「形にする」「思う, 考える」「計算する, 解く」といった意味になる。
&lt;span class="spacer"&gt;&lt;/span&gt;&lt;span class="explanation_tag"&gt;イメージ&lt;/span&gt;
figure outは、頭の中のモヤモヤしたものが、ハッキリとした形を持ち（figure）外に出る（out）というイメージ。そこから、ごちゃごちゃしたものを「理解する, 計算する, 解く」などの意味になる。
&lt;div class="sample_image 2026_72"&gt;&lt;/div&gt;&lt;/span&gt;</t>
    <phoneticPr fontId="1"/>
  </si>
  <si>
    <t>&lt;span class="w"&gt;&lt;b&gt;【73.turn out ~：〜だとわかる, 結果的に～になる, 〜を産出する, 催しなどに繰り出す】&lt;/b&gt;&lt;/span&gt;
&lt;span class="ml"&gt;&lt;span class="explanation_tag"&gt;イメージ&lt;/span&gt;
動詞turnは、向きを変えるというイメージ。ここにout（外に）が付くことで、turn outは、向きを変えて（内から）外に出てくるというイメージになる。
&lt;span class="spacer"&gt;&lt;/span&gt;最初の予想や考えから向きを変えて、結果が外に出てくることから「〜だとわかる」。
&lt;span class="spacer"&gt;&lt;/span&gt;結果が出ていないことから結果が出てきて「結果的に〜になる」。
&lt;span class="spacer"&gt;&lt;/span&gt;どこかからイベントなどへ向きを変えて出てくるなら「繰り出す, 出ていく」。
&lt;span class="spacer"&gt;&lt;/span&gt;社内にある製品などを向きを変えて世の中に出すなら「産出する, 作り出す」。
&lt;div class="sample_image 2026_73"&gt;&lt;/div&gt;&lt;/span&gt;</t>
    <phoneticPr fontId="1"/>
  </si>
  <si>
    <t>&lt;span class="w"&gt;&lt;b&gt;【74.fill out ~：～に書き込む】&lt;/b&gt;&lt;/span&gt;
&lt;span class="ml"&gt;&lt;span class="explanation_tag"&gt;語源&lt;/span&gt;
fillは、形容詞full（いっぱいの, 満ちた）の語源である原始ゲルマン語*fullazから派生した*fulljanan（満たす）にさかのぼる。
&lt;span class="spacer"&gt;&lt;/span&gt;あくまで覚え方としてだが、full（いっぱいの, 満ちた）が動詞になってfill（満たす）になったと思えばよい。
&lt;span class="spacer"&gt;&lt;/span&gt;&lt;span class="explanation_tag"&gt;イメージ&lt;/span&gt;
outは、外の限界まで進んでいくイメージから「最後まで完全に」というイメージ。
fill outは、紙の最初の部分から最後の端っこまで満たしていくことから「〜に書き込む, 書き込んで埋める」という意味になる。
&lt;div class="sample_image 2026_74"&gt;&lt;/div&gt;&lt;/span&gt;</t>
    <phoneticPr fontId="1"/>
  </si>
  <si>
    <t>&lt;span class="w"&gt;&lt;b&gt;【77.work on ~：①働き続ける, ②〜に取り組む, 〜を手がける, 〜を手入れする, （薬などが）〜に効く】&lt;/b&gt;&lt;/span&gt;
&lt;span class="ml"&gt;&lt;span class="explanation_tag"&gt;イメージ①&lt;/span&gt;
①のonは「継続」を表す副詞。work（労力を使う, 作業をする）とon（継続）なので、「働き続ける」という意味になる。この場合はonの後に目的語がない。
&lt;span class="spacer"&gt;&lt;/span&gt;&lt;span class="explanation_tag"&gt;イメージ②&lt;/span&gt;
②のonは前置詞で、労力を向ける対象を示す。何かに対して労力を使うことから、「取り組む」「手がける」「手入れする」といった意味になる。
&lt;span class="spacer"&gt;&lt;/span&gt;また何かが対象に効力を向けることから、「〜に作用する, 影響を与える, 効く」といった意味にもなる。
&lt;span class="spacer"&gt;&lt;/span&gt;②の意味に関しては、一つひとつバラバラに覚えるのは難しいので、work on 対象は「対象に労力や効力を向ける」というイメージで覚えておくとよい。
&lt;div class="sample_image 2026_77"&gt;&lt;/div&gt;&lt;/span&gt;</t>
    <phoneticPr fontId="1"/>
  </si>
  <si>
    <t>&lt;span class="w"&gt;&lt;b&gt;【109.prefer A to B：BよりもAを好む】&lt;/b&gt;&lt;/span&gt;
&lt;span class="ml"&gt;&lt;span class="explanation_tag"&gt;語源&lt;/span&gt;
preferは、ラテン語pre（前に）と、ferre（運ぶ）が合わさってできた語。何かを（他よりも）前に運ぶことから、他のものよりも「好む」という意味になる。
&lt;span class="spacer"&gt;&lt;/span&gt;&lt;span class="explanation_tag"&gt;イメージ&lt;/span&gt;
preferは、ラテン語の「前に運ぶ」という空間的位置関係を表す語に由来することから、比較対象をtoで示す。
&lt;span class="spacer"&gt;&lt;/span&gt;Bに対して（to）Aを前に出すことから、心理的に「BよりAを好む」という意味になる。
&lt;span class="spacer"&gt;&lt;/span&gt;［prefer A］：Aを前に出す（好む）
&lt;span class="arrow"&gt;→&lt;/span&gt;何を基準として「前」？
&lt;span class="arrow"&gt;→&lt;/span&gt;［to B］：Bの位置を基準に「前」
&lt;span class="spacer"&gt;&lt;/span&gt;&lt;span class="explanation_tag"&gt;補足&lt;/span&gt;
ラテン語由来の比較のニュアンスが含まれる語は、比較対象をtoで示す。それらの語が、もともとは空間や時間的な位置関係を表したことから、to（〜に対して）で基準を表すため。
superior to A：Aより上＝優れている
inferior to A：Aより下＝劣っている
prior to A：Aより前＝優先する
&lt;div class="sample_image 2026_109"&gt;&lt;/div&gt;&lt;/span&gt;</t>
    <phoneticPr fontId="1"/>
  </si>
  <si>
    <t>&lt;span class="w"&gt;&lt;b&gt;【111.prevent A from B：AがBするのを妨げる, AをBから防ぐ】&lt;/b&gt;&lt;/span&gt;
&lt;span class="ml"&gt;&lt;span class="explanation_tag"&gt;語源&lt;/span&gt;
preventは、ラテン語pare（前に）と、venir（来る）が合わさってできた語。何かが起こる前にその場所に来て対処することから「妨げる, 防ぐ」という意味になった。
&lt;span class="explanation_tag"&gt;イメージ&lt;/span&gt;
［prevent A from B］は、Aの行き先に先回りし、AをBと接触させないイメージ。そこから「AがBするのを妨げる, AをBから防ぐ」という意味になる。
&lt;div class="sample_image 2026_111"&gt;&lt;/div&gt;&lt;/span&gt;</t>
    <phoneticPr fontId="1"/>
  </si>
  <si>
    <t>&lt;span class="w"&gt;&lt;b&gt;【130.at all：①（否定文）全く〜ない, ②（疑問文）そもそも・少しでも, ③（条件文・肯定文）そもそも・少しでも】&lt;/b&gt;&lt;/span&gt;
&lt;span class="ml"&gt;&lt;span class="explanation_tag"&gt;イメージ&lt;/span&gt;
at allは、直訳すると「あらゆる点で」という全範囲を表す。この「全体感」を文に付け加えることによって、以下のようになる。
［0＜at all≦100］において
否定文：at allを否定＝ゼロ
疑問文：at allを疑問視＝ゼロではないかと思う
条件文：at all内を条件とする＝ゼロではないなら
&lt;span class="spacer"&gt;&lt;/span&gt;&lt;b&gt;①否定の強調&lt;/b&gt;
［0＜at all≦100］のat allを否定すると、0より大きく100以下すべてが否定されるので、結果は「0」となる。つまり「全く〜ない」という全否定になる。
&lt;span class="spacer"&gt;&lt;/span&gt;I don't mind at all.
私は全く気にしていません（気にしている度合いゼロです）。
&lt;span class="spacer"&gt;&lt;/span&gt;&lt;b&gt;②疑問の強調&lt;/b&gt;
［0＜at all≦100］のat allを疑問に思うと、0より大きく100以下すべてが疑問視されるので、本当は「0なのではないか」と思っている。つまり「そもそも〜ですか」や「少しは〜ですか」という、ゼロを前提にした根本的な問いになる。
&lt;span class="spacer"&gt;&lt;/span&gt;Do you understand it at all?
そもそも理解していますか（理解度ゼロではないですか）。
&lt;span class="spacer"&gt;&lt;/span&gt;Did you sleep at all last night?
昨夜少しは寝ましたか（本当は全然寝ていないのではないですか）。
&lt;span class="spacer"&gt;&lt;/span&gt;&lt;b&gt;③肯定の条件の強調&lt;/b&gt;
［0＜at all≦100］のat all内に含まれることを条件にすると、0でなければ何でもいい。そこから、ゼロでないなら、つまり「そもそも〜なら」や「少しでも〜なら」という0より大きいことが前提の条件になる。
&lt;span class="spacer"&gt;&lt;/span&gt;If you're going to do it at all, 〜
少しでもやるつもりがあるなら（ゼロではないなら）
そもそもやるつもりがあるなら（ゼロではないなら）
&lt;div class="sample_image 2026_130"&gt;&lt;/div&gt;&lt;/span&gt;</t>
    <phoneticPr fontId="1"/>
  </si>
  <si>
    <t>&lt;span class="w"&gt;&lt;b&gt;【139.by the way：ところで】&lt;/b&gt;&lt;/span&gt;
&lt;span class="ml"&gt;&lt;span class="explanation_tag"&gt;語源&lt;/span&gt;
by the wayは古英語（500-1100年）から見られる。当時は、実際の「道のそばに」という直訳通りの意味だった。
&lt;span class="spacer"&gt;&lt;/span&gt;1550年代までに、実際の道のそばではなく、会話自体を道に見立てた、話のわき道という比喩的な使い方がされるようになる。
&lt;span class="spacer"&gt;&lt;/span&gt;そして1610年代までに、会話という一本の道を進む中で、メインの話題（the way）からそば（by）にある話題へ移ることを表して「ところで」という意味になった。
&lt;span class="spacer"&gt;&lt;/span&gt;&lt;span class="explanation_tag"&gt;イメージ&lt;/span&gt;
by the wayの文字通りのイメージは、本道をまっすぐ歩きながら、ふと道のわき（そば, by）に目を向ける感じ。
&lt;span class="spacer"&gt;&lt;/span&gt;そこから会話において、会話という道を進みながら「本筋からは逸れるけど、道の脇（by the way）にこんな話題があるよ」と拾い上げるようなイメージから「ところで」という話題転換になる。
&lt;div class="sample_image 2026_139"&gt;&lt;/div&gt;&lt;/span&gt;</t>
    <phoneticPr fontId="1"/>
  </si>
  <si>
    <t>&lt;span class="w"&gt;&lt;b&gt;【140.far from ~：〜から程遠い, 〜どころではない】&lt;/b&gt;&lt;/span&gt;
&lt;span class="ml"&gt;&lt;span class="explanation_tag"&gt;イメージ&lt;/span&gt;
［far from A］は、物理的に距離が遠いことから比喩的に、真実やある状態からかけ離れていることを表して「Aから程遠い, Aどころではない」という意味になった。
&lt;div class="sample_image 2026_140"&gt;&lt;/div&gt;&lt;/span&gt;</t>
    <phoneticPr fontId="1"/>
  </si>
  <si>
    <t>&lt;span class="w"&gt;&lt;b&gt;【161.so far：今までのところ】&lt;/b&gt;&lt;/span&gt;
&lt;span class="ml"&gt;&lt;span class="explanation_tag"&gt;イメージ&lt;/span&gt;
もともとは「これほど遠く」という、たどってきた物理的な距離を表す表現だった。その距離の長さが時間の長さへと変化して、流れてきたいま現在までの時間＝「今までのところ」という意味になった。
&lt;div class="sample_image 2026_161"&gt;&lt;/div&gt;&lt;/span&gt;</t>
    <phoneticPr fontId="1"/>
  </si>
  <si>
    <t>&lt;span class="w"&gt;&lt;b&gt;【164.according to ~：①〜によれば, ②〜に従って】&lt;/b&gt;&lt;/span&gt;
&lt;span class="ml"&gt;&lt;span class="explanation_tag"&gt;語源&lt;/span&gt;
動詞accordは、ラテン語ad（〜へ）と、cor（心）が合わさってできた語。相手の心に自分の心を合わせるイメージから「一致する」という意味になる。
&lt;span class="spacer"&gt;&lt;/span&gt;［according to A］は、14世紀後期から見られる表現。
&lt;span class="spacer"&gt;&lt;/span&gt;&lt;span class="explanation_tag"&gt;イメージ&lt;/span&gt;
accordの核は「一致する」という意味なので、［according to A］は、「Aと一致すると」と考えればよい。
&lt;span class="spacer"&gt;&lt;/span&gt;①「Aによれば」
According to this article
この記事&lt;strong&gt;と一致すると&lt;/strong&gt;
＝この記事&lt;strong&gt;によると&lt;/strong&gt;
&lt;span class="spacer"&gt;&lt;/span&gt;②「Aに従って」
If all goes according to plan
もし全てが計画&lt;strong&gt;と一致して&lt;/strong&gt;進めば
もし全てが計画&lt;strong&gt;に従って&lt;/strong&gt;進めば
&lt;div class="sample_image 2026_164"&gt;&lt;/div&gt;&lt;/span&gt;</t>
    <phoneticPr fontId="1"/>
  </si>
  <si>
    <t>&lt;span class="w"&gt;&lt;b&gt;【181.bring up ~：①〜を育てる, ②（問題・話題など）を持ち出す】&lt;/b&gt;&lt;/span&gt;
&lt;span class="ml"&gt;&lt;span class="spacer"&gt;&lt;/span&gt;&lt;span class="explanation_tag"&gt;イメージ&lt;/span&gt;
［bring up A］は、単語の意味通りに「下から上に持ってくる」というイメージ。
&lt;span class="spacer"&gt;&lt;/span&gt;子どもの身長や能力などを上げることから、「育てる」という意味になる。
&lt;span class="spacer"&gt;&lt;/span&gt;また、ある話題を持ち上げて話の場に置くことから、問題や話題を「持ち出す」という意味になる。
&lt;span class="spacer"&gt;&lt;/span&gt;&lt;span class="explanation_tag"&gt;補足&lt;/span&gt;
bring ~ upの語順にもなる。
&lt;div class="sample_image 2026_181"&gt;&lt;/div&gt;&lt;/span&gt;</t>
    <phoneticPr fontId="1"/>
  </si>
  <si>
    <t>&lt;span class="w"&gt;&lt;b&gt;【182.call off ~：〜を中止する, 〜を取り消す】&lt;/b&gt;&lt;/span&gt;
&lt;span class="ml"&gt;&lt;span class="explanation_tag"&gt;イメージ&lt;/span&gt;
これは、声に出して（call）対象を切り離す（off）というイメージ。これからしようとしていることや、現在進行中のものを現在の出来事から分離することから、「中止する」や「取り消す」といった意味になる。
&lt;span class="spacer"&gt;&lt;/span&gt;重要なのは、offという分離をコール（宣言）するイメージ。
&lt;span class="spacer"&gt;&lt;/span&gt;&lt;span class="explanation_tag"&gt;補足&lt;/span&gt;
call ~ offの語順にもなる。
&lt;span class="spacer"&gt;&lt;/span&gt;&lt;span class="explanation_tag"&gt;関連語&lt;/span&gt;
cancel
&lt;div class="sample_image 2026_182"&gt;&lt;/div&gt;&lt;/span&gt;</t>
    <phoneticPr fontId="1"/>
  </si>
  <si>
    <t>&lt;span class="w"&gt;&lt;b&gt;【184.come about：起こる】&lt;/b&gt;&lt;/span&gt;
&lt;span class="ml"&gt;&lt;span class="explanation_tag"&gt;語源&lt;/span&gt;
aboutは、古英語a＋be＋utanが合わさってできた語。現代英語にすると、on（〜に）＋by（そば）＋out（外側）となる。つまりaboutは「外側のそばに, ぐるりと, 周囲に」というニュアンス。
&lt;span class="spacer"&gt;&lt;/span&gt;&lt;span class="explanation_tag"&gt;イメージ&lt;/span&gt;
［come about］で、周囲の状況がぐるりと（about）変化して、それまでと違う事態がやってくる（come）ことから、何かが「起こる」という意味になる。
&lt;span class="spacer"&gt;&lt;/span&gt;&lt;span class="explanation_tag"&gt;関連語&lt;/span&gt;
happen
occur
&lt;span class="spacer"&gt;&lt;/span&gt;bring about A：Aを引き起こす
他動詞bringだと、何かを持ってくることから「〜を引き起こす」となる。
&lt;span class="spacer"&gt;&lt;/span&gt;自動詞comeだと、何かがやってくることから「起こる」になる。
&lt;div class="sample_image 2026_184"&gt;&lt;/div&gt;&lt;/span&gt;</t>
    <phoneticPr fontId="1"/>
  </si>
  <si>
    <t>&lt;span class="w"&gt;&lt;b&gt;【185.come by ~：〜を手に入れる】&lt;/b&gt;&lt;/span&gt;
&lt;span class="ml"&gt;&lt;span class="explanation_tag"&gt;イメージ&lt;/span&gt;
何かが自分の手の届く近くに（by）来る（come）ことから「手に入れる」という意味になる。
&lt;span class="spacer"&gt;&lt;/span&gt;&lt;span class="explanation_tag"&gt;関連語&lt;/span&gt;
get
obtain
&lt;div class="sample_image 2026_185"&gt;&lt;/div&gt;&lt;/span&gt;</t>
    <phoneticPr fontId="1"/>
  </si>
  <si>
    <t>&lt;span class="w"&gt;&lt;b&gt;【186.come up with ~：〜を思いつく】&lt;/b&gt;&lt;/span&gt;
&lt;span class="ml"&gt;&lt;span class="explanation_tag"&gt;イメージ&lt;/span&gt;
知恵を振り絞った結果、ある考えや方法を携えて（with）頭にポンッと（up）やって来る（come）イメージから、何かを「思いつく」という意味になる。
&lt;span class="spacer"&gt;&lt;/span&gt;&lt;span class="explanation_tag"&gt;関連語&lt;/span&gt;
conceive（思いつく）
invent（発明する）
devise（考案する）
&lt;div class="sample_image 2026_186"&gt;&lt;/div&gt;&lt;/span&gt;</t>
    <phoneticPr fontId="1"/>
  </si>
  <si>
    <t>&lt;span class="w"&gt;&lt;b&gt;【187.do away with ~：〜を廃止する, 〜を取り除く】&lt;/b&gt;&lt;/span&gt;
&lt;span class="ml"&gt;&lt;span class="explanation_tag"&gt;語源&lt;/span&gt;
doは、古英語donにさかのぼる。donには、現代の「行う」という意味のほかに「置く, 配置する」という意味があった。この意味は現代のdo単体には残っていないが、do away withのようなフレーズに残っている。
&lt;span class="spacer"&gt;&lt;/span&gt;&lt;span class="explanation_tag"&gt;イメージ&lt;/span&gt;
［do away with A］のdoは「置く」という古い意味を残した表現。Aを携えて（with A）遠くに（away）置く（do）ことから、不要なものを「取り除く」や、不要なルール・制度を「廃止する」という意味になる。
&lt;span class="spacer"&gt;&lt;/span&gt;&lt;span class="explanation_tag"&gt;関連語&lt;/span&gt;
abolish（廃止する）
eliminate（排除する）
get rid of ~（〜を取り除く）
&lt;div class="sample_image 2026_187"&gt;&lt;/div&gt;&lt;/span&gt;</t>
    <phoneticPr fontId="1"/>
  </si>
  <si>
    <t>&lt;span class="w"&gt;&lt;b&gt;【192.look into ~：〜を調査する】&lt;/b&gt;&lt;/span&gt;
&lt;span class="ml"&gt;&lt;span class="explanation_tag"&gt;イメージ&lt;/span&gt;
lookは視線を動かすイメージ。
［look into A］は、Aの表面ではなく内部深くに（into）視線を向ける（look）ことから、「Aを調べる」という意味になる。
&lt;div class="sample_image 2026_192"&gt;&lt;/div&gt;&lt;/span&gt;</t>
    <phoneticPr fontId="1"/>
  </si>
  <si>
    <t>&lt;span class="w"&gt;&lt;b&gt;【193.look over ~：〜を（ざっと）調べる】&lt;/b&gt;&lt;/span&gt;
&lt;span class="ml"&gt;&lt;span class="explanation_tag"&gt;イメージ&lt;/span&gt;
lookは視線を動かすイメージ。
［look over A］は、Aの端から端まで全体（over）に視線を向ける（look）ことから、「Aをざっと調べる」という意味になる。
&lt;span class="spacer"&gt;&lt;/span&gt;&lt;span class="explanation_tag"&gt;補足&lt;/span&gt;
look ~ overの語順にもなる。
&lt;div class="sample_image 2026_193"&gt;&lt;/div&gt;&lt;/span&gt;</t>
    <phoneticPr fontId="1"/>
  </si>
  <si>
    <t>&lt;span class="w"&gt;&lt;b&gt;【195.put off ~：〜を延期する】&lt;/b&gt;&lt;/span&gt;
&lt;span class="ml"&gt;&lt;span class="explanation_tag"&gt;イメージ&lt;/span&gt;
offは「分離」を表す。
［put off A］は、Aをある時点から切り離して（off）置く（put）ことから、「Aを延期する」という意味になる。
&lt;span class="spacer"&gt;&lt;/span&gt;&lt;span class="explanation_tag"&gt;補足&lt;/span&gt;
put ~ offの語順にもなる。
&lt;span class="spacer"&gt;&lt;/span&gt;&lt;span class="explanation_tag"&gt;関連語&lt;/span&gt;
pospone（延期する）
&lt;div class="sample_image 2026_195"&gt;&lt;/div&gt;&lt;/span&gt;</t>
    <phoneticPr fontId="1"/>
  </si>
  <si>
    <t>&lt;span class="w"&gt;&lt;b&gt;【197.put up ~：①〜を掲げる, 〜を建てる, ②〜を泊める】&lt;/b&gt;&lt;/span&gt;
&lt;span class="ml"&gt;&lt;span class="explanation_tag"&gt;イメージ&lt;/span&gt;
［put up A］は、Aを下から上に置くイメージ。
&lt;span class="spacer"&gt;&lt;/span&gt;Aを持ち上げて置くことから、①「Aを掲げる」という意味になる。
&lt;span class="spacer"&gt;&lt;/span&gt;また物を積み上げて置くイメージから、②「Aを建てる」という意味になる。
&lt;span class="spacer"&gt;&lt;/span&gt;外にいる人を家の中へ上げるイメージから、③「Aを泊める」という意味になる。
&lt;span class="spacer"&gt;&lt;/span&gt;&lt;span class="explanation_tag"&gt;補足&lt;/span&gt;
put ~ upの語順にもなる。
&lt;div class="sample_image 2026_197"&gt;&lt;/div&gt;&lt;/span&gt;</t>
    <phoneticPr fontId="1"/>
  </si>
  <si>
    <t>&lt;span class="w"&gt;&lt;b&gt;【198.put up with ~：〜を我慢する】&lt;/b&gt;&lt;/span&gt;
&lt;span class="ml"&gt;&lt;span class="explanation_tag"&gt;イメージ&lt;/span&gt;
［put up］は、「掲げる, 建てる, 泊める」といった何かを上に上げて、その状態を維持するイメージがある。
&lt;span class="spacer"&gt;&lt;/span&gt;そこから［put up with A］は、Aを持ったまま（with A）その状態を維持する（put up）イメージになり、「Aを我慢する」という意味になる。
&lt;div class="sample_image 2026_198"&gt;&lt;/div&gt;&lt;/span&gt;</t>
    <phoneticPr fontId="1"/>
  </si>
  <si>
    <t>&lt;span class="w"&gt;&lt;b&gt;【199.set about ~：〜を始める】&lt;/b&gt;&lt;/span&gt;
&lt;span class="ml"&gt;&lt;span class="explanation_tag"&gt;語源&lt;/span&gt;
aboutは、古英語a＋be＋utanが合わさってできた語。現代英語にすると、on（〜に）＋by（そば）＋out（外側）となる。つまりaboutは「外側のそばに, ぐるりと, 周囲に」というニュアンス。
&lt;span class="spacer"&gt;&lt;/span&gt;&lt;span class="explanation_tag"&gt;イメージ&lt;/span&gt;
［set about A］は、周辺にあるA（about A）に関して、自分自身をセット（set）して、それに取りかかるようにするイメージから、「Aを始める」という意味になる。
&lt;span class="spacer"&gt;&lt;/span&gt;&lt;span class="explanation_tag"&gt;関連語&lt;/span&gt;
［set in］
何かが中に入り込んで（in）固定される（set）イメージから、天気・季節・ネガティブな感情や状態などが「始まる」という意味になる。
&lt;div class="sample_image 2026_199"&gt;&lt;/div&gt;&lt;/span&gt;</t>
    <phoneticPr fontId="1"/>
  </si>
  <si>
    <t>&lt;span class="w"&gt;&lt;b&gt;【200.set in：始まる】&lt;/b&gt;&lt;/span&gt;
&lt;span class="ml"&gt;&lt;span class="explanation_tag"&gt;イメージ&lt;/span&gt;
［set in］は、何かが中に入り込んで（in）固定される（set）イメージから、天気・季節・ネガティブな感情や状態などが「始まる」という意味になる。
&lt;span class="spacer"&gt;&lt;/span&gt;&lt;span class="explanation_tag"&gt;関連語&lt;/span&gt;
［set about A］
周辺にあるA（about A）に関して、自分自身をセット（set）して、それに取りかかるようにするイメージから、Aを「始める」という意味になる。
&lt;div class="sample_image 2026_200"&gt;&lt;/div&gt;&lt;/span&gt;</t>
    <phoneticPr fontId="1"/>
  </si>
  <si>
    <t>&lt;span class="w"&gt;&lt;b&gt;【201.take after〈人〉：〈人〉に似ている】&lt;/b&gt;&lt;/span&gt;
&lt;span class="ml"&gt;&lt;span class="explanation_tag"&gt;イメージ&lt;/span&gt;
［S take after〈人〉］は、自分よりも年上の血縁者の要素を、後に（after）いるSが引き受ける（take）というイメージから、Sは「〈人〉に似ている」という意味になる。
&lt;span class="spacer"&gt;&lt;/span&gt;先に生まれた者の外見・性格・才能などを&lt;strong&gt;遺伝的に&lt;/strong&gt;受け継ぐという表現なので、&lt;strong&gt;血縁者&lt;/strong&gt;に対して使用する。
&lt;span class="spacer"&gt;&lt;/span&gt;&lt;span class="explanation_tag"&gt;関連語&lt;/span&gt;
resemble（似ている）
こちらはあらゆるものに対して「似ている」という意味で使える。
&lt;div class="sample_image 2026_201"&gt;&lt;/div&gt;&lt;/span&gt;</t>
    <phoneticPr fontId="1"/>
  </si>
  <si>
    <t>&lt;span class="w"&gt;&lt;b&gt;【203.along with ~：〜に加えて, 〜と一緒に】&lt;/b&gt;&lt;/span&gt;
&lt;span class="ml"&gt;&lt;span class="explanation_tag"&gt;イメージ&lt;/span&gt;
［along with A］は、Aがくっついて（with）流れに沿って（along）いくようなイメージから、「Aに加えて, 一緒に」という意味になる。
&lt;div class="sample_image 2026_203"&gt;&lt;/div&gt;&lt;/span&gt;</t>
    <phoneticPr fontId="1"/>
  </si>
  <si>
    <t>&lt;span class="w"&gt;&lt;b&gt;【205.on board (~)：（乗り物に）乗って】&lt;/b&gt;&lt;/span&gt;
&lt;span class="ml"&gt;&lt;span class="explanation_tag"&gt;語源&lt;/span&gt;
boardは、古英語bord（縁, へり, 船の側面）にさかのぼる。
［on board］は1500年頃からみられ、もともとは航海用語で、船を別の船の横（側面）につけることを表した。その後、1708年に「乗って」という意味になった。
&lt;span class="spacer"&gt;&lt;/span&gt;この意味の変化の理由は、船を横づけして別の船に乗る、aboard（乗っている）の影響、boardが木の板＝船の甲板の上にいると捉えられた、などが考えられる。
&lt;span class="spacer"&gt;&lt;/span&gt;現在では、船に限らず、さまざまな乗り物に対して使われる。
&lt;div class="sample_image 2026_205"&gt;&lt;/div&gt;&lt;/span&gt;</t>
    <phoneticPr fontId="1"/>
  </si>
  <si>
    <t>&lt;span class="w"&gt;&lt;b&gt;【206.prior to ~：〜より前に】&lt;/b&gt;&lt;/span&gt;
&lt;span class="ml"&gt;&lt;span class="explanation_tag"&gt;語源&lt;/span&gt;
priorは、ラテン語pri（前に）と、-or（比較級を作る）が合わさってできた語。何かに対して（to）時間的により（-or）前（pri）にあることから、何かより「前に」という意味になる。
&lt;span class="spacer"&gt;&lt;/span&gt;&lt;span class="explanation_tag"&gt;補足&lt;/span&gt;
ラテン語由来の比較のニュアンスが含まれる語は、比較対象をtoで示す。それらの語が、もともとは空間や時間的な位置関係を表したことから、to（〜に対して）で位置の基準を表すため。
superior to A：Aより上＝優れている
inferior to A：Aより下＝劣っている
prior to A：Aより前＝優先する
&lt;div class="sample_image 2026_206"&gt;&lt;/div&gt;&lt;/span&gt;</t>
    <phoneticPr fontId="1"/>
  </si>
  <si>
    <t>&lt;span class="w"&gt;&lt;b&gt;【207.(every) once in a while：ときどき】&lt;/b&gt;&lt;/span&gt;
&lt;span class="ml"&gt;&lt;span class="explanation_tag"&gt;語源&lt;/span&gt;
whileは、いまでは接続詞（〜の間）として使われるが、古英語では名詞として「時間」や「ある一定の期間」を表す語だった。
&lt;span class="spacer"&gt;&lt;/span&gt;この名詞としての意味は、ほとんどtimeに代わられてしまったが、一部のフレーズに残っている。その一つが(every) once in a whileである。
&lt;span class="spacer"&gt;&lt;/span&gt;［(every) once in a while］は、ある時間の中に（in a while）一度（once）を表し、そのある時間がいくつもある（every）ことから「ときどき」という意味になる。
&lt;div class="sample_image 2026_207"&gt;&lt;/div&gt;&lt;/span&gt;</t>
    <phoneticPr fontId="1"/>
  </si>
  <si>
    <t>&lt;span class="w"&gt;&lt;b&gt;【208.above all (else)：とりわけ, 特に】&lt;/b&gt;&lt;/span&gt;
&lt;span class="ml"&gt;&lt;span class="explanation_tag"&gt;語源&lt;/span&gt;
aboveは、古英語a＋be＋ufanが合わさってできた語。現代英語にすると、on（〜に）＋by（側）＋up（高いところに）となる。つまりaboveは「高いところに」というニュアンス。
&lt;span class="spacer"&gt;&lt;/span&gt;&lt;span class="explanation_tag"&gt;イメージ&lt;/span&gt;
［above all］は、直訳すれば「全ての上に」となる。つまり重要度において、他のあらゆるものよりも上にあることから「何よりも, とりわけ, 特に」といった意味になる。
&lt;div class="sample_image 2026_208"&gt;&lt;/div&gt;&lt;/span&gt;</t>
    <phoneticPr fontId="1"/>
  </si>
  <si>
    <t>&lt;span class="w"&gt;&lt;b&gt;【210.all / just the same：それでもやはり】&lt;/b&gt;&lt;/span&gt;
&lt;span class="ml"&gt;&lt;span class="explanation_tag"&gt;イメージ&lt;/span&gt;
［all / just tha same］は、the sameをall / justが強調しているだけ。全体を表すallの完全な感じや、まさにちょうどを表すjustの正確さが、程度の強調へとつながっていく。
&lt;span class="spacer"&gt;&lt;/span&gt;伝えたいことは「全く同じで変わらない」ということ。つまり、Aということがあっても、Bであることは全く同じで変わらない、というのがこの表現の核。
&lt;span class="spacer"&gt;&lt;/span&gt;I’m tired, but I’ll go  &lt;strong&gt;all the same&lt;/strong&gt;.
A：疲れている
B：私は行く
A「疲れている」という前提があっても、B「私は行く」ということは全く同じで変わらない。
&lt;span class="spacer"&gt;&lt;/span&gt;だから日本語訳が「疲れているけれど、&lt;strong&gt;それでも&lt;/strong&gt;私は行く」となる。
&lt;div class="sample_image 2026_210"&gt;&lt;/div&gt;&lt;/span&gt;</t>
    <phoneticPr fontId="1"/>
  </si>
  <si>
    <t>&lt;span class="w"&gt;&lt;b&gt;【213.before long：まもなく】&lt;/b&gt;&lt;/span&gt;
&lt;span class="ml"&gt;&lt;span class="explanation_tag"&gt;イメージ&lt;/span&gt;
［before long］は、before (a) long (time) と考えればよい。何かが起こるまでの時間が長くなる前に＝「まもなく」という意味になる。
&lt;div class="sample_image 2026_213"&gt;&lt;/div&gt;&lt;/span&gt;</t>
    <phoneticPr fontId="1"/>
  </si>
  <si>
    <t>&lt;span class="w"&gt;&lt;b&gt;【214.by degrees：徐々に】&lt;/b&gt;&lt;/span&gt;
&lt;span class="ml"&gt;&lt;span class="explanation_tag"&gt;語源&lt;/span&gt;
degreeは、ラテン語de（下に）と、gradus（一歩）が合わさってできた語。一歩ずつ上り下りする段から「段階, 度合い」といった意味になる。
&lt;span class="spacer"&gt;&lt;/span&gt;&lt;span class="explanation_tag"&gt;イメージ&lt;/span&gt;
byは、one by one（一つずつ）やstep by step（一歩ずつ）のように「〜ずつ」という単位を表す。
&lt;span class="spacer"&gt;&lt;/span&gt;そこに複数形degreesが付いて、各段階ごとに＝「徐々に」という意味になる。
&lt;div class="sample_image 2026_214"&gt;&lt;/div&gt;&lt;/span&gt;</t>
    <phoneticPr fontId="1"/>
  </si>
  <si>
    <t>&lt;span class="w"&gt;&lt;b&gt;【215.for good：永久に】&lt;/b&gt;&lt;/span&gt;
&lt;span class="ml"&gt;&lt;span class="spacer"&gt;&lt;/span&gt;&lt;span class="explanation_tag"&gt;語源&lt;/span&gt;
［for good］は1711年から確認されるが、これは16世紀のfor good and allのand allが省略されたもの。このgoodは「完全」を意味する。
&lt;span class="spacer"&gt;&lt;/span&gt;goodは、いまでは「良い」という意味が真っ先に出るが、英語よりさらに前の祖先言語にさかのぼると「適している, ふさわしい」という意味だったと考えられる。
&lt;span class="spacer"&gt;&lt;/span&gt;何かにぴったり合っているという根本のイメージから「完全に」という意味が出てくる。そして、ぴったり合っていることから望ましくて「良い」という意味にもなる。
&lt;span class="spacer"&gt;&lt;/span&gt;［for good and all］は、直訳すると「完全かつ全体の」という意味になる。これは、何かが完全な形で完結しており、それ以上変化のしようがない状態を表す。
&lt;span class="spacer"&gt;&lt;/span&gt;もう変化することがないということは、その完全な形がずっと続くということ。そこから「永久の」という意味になった。
&lt;div class="sample_image 2026_215"&gt;&lt;/div&gt;&lt;/span&gt;</t>
    <phoneticPr fontId="1"/>
  </si>
  <si>
    <t>&lt;span class="w"&gt;&lt;b&gt;【218.in advance：前もって, あらかじめ】&lt;/b&gt;&lt;/span&gt;
&lt;span class="ml"&gt;&lt;span class="explanation_tag"&gt;語源&lt;/span&gt;
advanceは、ラテン語ab（〜から）と、ante（前に）が合わさってできた語。実際にある地点から前に進んでいくことだけではなく、時間的に前にいることも表すようになった。
&lt;span class="spacer"&gt;&lt;/span&gt;&lt;span class="explanation_tag"&gt;イメージ&lt;/span&gt;
［in advance］は、時間的に前（advance）の状態にいる（in）ことから「前もって, あらかじめ」という意味になる。
&lt;div class="sample_image 2026_218"&gt;&lt;/div&gt;&lt;/span&gt;</t>
    <phoneticPr fontId="1"/>
  </si>
  <si>
    <t>&lt;span class="w"&gt;&lt;b&gt;【220.in particular：特に】&lt;/b&gt;&lt;/span&gt;
&lt;span class="ml"&gt;&lt;span class="explanation_tag"&gt;語源&lt;/span&gt;
particularは、ラテン語pars（部分）と、cula（小さいことを表す）が合わさってできた語。全体ではなく小さい部分に目を向けることから「特定の」という意味になる。
&lt;span class="spacer"&gt;&lt;/span&gt;&lt;span class="explanation_tag"&gt;イメージ&lt;/span&gt;
［in particular］は、全体ではなく、特定のもの（particular）に焦点を当てた状態にいる（in）という感じ。そこから「特に」という意味になる。
&lt;div class="sample_image 2026_220"&gt;&lt;/div&gt;&lt;/span&gt;</t>
    <phoneticPr fontId="1"/>
  </si>
  <si>
    <t>&lt;span class="w"&gt;&lt;b&gt;【221.on occasion(s)：ときどき】&lt;/b&gt;&lt;/span&gt;
&lt;span class="ml"&gt;&lt;span class="explanation_tag"&gt;語源&lt;/span&gt;
occasionは、ラテン語ob（〜に対して）と、cadere（落ちる）が合わさってできた語。自分の目の前に落ちてきたものから、あるときに不意に降りかかる「出来事」や「機会, 時」を意味するようになった。
&lt;span class="spacer"&gt;&lt;/span&gt;&lt;span class="explanation_tag"&gt;イメージ&lt;/span&gt;
［on occasion(s)］は「複数の機会・時に」から「ときどき」という意味になった。
&lt;div class="sample_image 2026_221"&gt;&lt;/div&gt;&lt;/span&gt;</t>
    <phoneticPr fontId="1"/>
  </si>
  <si>
    <t>&lt;span class="w"&gt;&lt;b&gt;【222.on purpose：わざと, 故意に】&lt;/b&gt;&lt;/span&gt;
&lt;span class="ml"&gt;&lt;span class="explanation_tag"&gt;語源&lt;/span&gt;
purposeは、古フランス語por（前に）と、poser（置く）が合わさってできた語。何かの行動をする前に置かれる前提＝「目的, 意図」という意味になった。
&lt;span class="spacer"&gt;&lt;/span&gt;on purposeは、1580年代から見られる。
&lt;span class="spacer"&gt;&lt;/span&gt;&lt;span class="explanation_tag"&gt;イメージ&lt;/span&gt;
［on purpose］は、直訳すると「目的の上で, 意図の上で」となる。つまり、あらかじめ意図した通りに何かをすることから「わざと, 故意に」という意味になる。
&lt;div class="sample_image 2026_222"&gt;&lt;/div&gt;&lt;/span&gt;</t>
    <phoneticPr fontId="1"/>
  </si>
  <si>
    <t>&lt;span class="w"&gt;&lt;b&gt;【225.agree to ~：（提案・計画・条件など）に同意する（内容を受け入れる）】&lt;/b&gt;&lt;/span&gt;
&lt;span class="ml"&gt;&lt;span class="explanation_tag"&gt;イメージ&lt;/span&gt;
［agree to A］のAには、提案・計画・条件などがくる。提案・計画・条件の内容に対して（to）&lt;strong&gt;受け入れる&lt;/strong&gt;（agree）というイメージから「Aに同意する」になる。
&lt;span class="spacer"&gt;&lt;/span&gt;&lt;span class="explanation_tag"&gt;関連語&lt;/span&gt;
［agree with A］は、Aに&lt;strong&gt;一致する&lt;/strong&gt;イメージ。そこから、人・考えに一致する＝「同意する」や、気候や食事が人に一致する＝「合う」という意味になる。
&lt;div class="sample_image 2026_225"&gt;&lt;/div&gt;&lt;/span&gt;</t>
    <phoneticPr fontId="1"/>
  </si>
  <si>
    <t>&lt;span class="w"&gt;&lt;b&gt;【226.agree with ~：①（人・考え）に同意する（一致する）, ②（気候・食事などが）人に合う】&lt;/b&gt;&lt;/span&gt;
&lt;span class="ml"&gt;&lt;span class="explanation_tag"&gt;イメージ&lt;/span&gt;
①［agree with A］のAには、人・考えがくる。人・考えに&lt;strong&gt;一致する&lt;/strong&gt;というイメージから、「Aに同意する」になる。
&lt;span class="spacer"&gt;&lt;/span&gt;②［S agree with 人］は、Sに天候や食事がきて、天候や食事が人に&lt;strong&gt;一致する&lt;/strong&gt;イメージから、「Sが人に合う」になる。
&lt;span class="spacer"&gt;&lt;/span&gt;&lt;span class="explanation_tag"&gt;関連語&lt;/span&gt;
［agree to A］は、Aに対して&lt;strong&gt;受け入れる&lt;/strong&gt;イメージ。そこから、提案・計画・条件などを受け入れる＝「同意する」という意味になる。
&lt;div class="sample_image 2026_226"&gt;&lt;/div&gt;&lt;/span&gt;</t>
    <phoneticPr fontId="1"/>
  </si>
  <si>
    <t>&lt;span class="w"&gt;&lt;b&gt;【227.apply for ~：（仕事・許可など）を求めて申し込む】&lt;/b&gt;&lt;/span&gt;
&lt;span class="ml"&gt;&lt;span class="explanation_tag"&gt;語源&lt;/span&gt;
applyは、ラテン語ad（〜へ）と、plicare（折りたたむ）が合わさってできた語。折りたたんで端と端を重ね合わせるように、対象に向けてぴったり合わせるイメージ。
&lt;span class="spacer"&gt;&lt;/span&gt;そこから、要求を対象へぴったり合わせる＝「申し込む」という意味になる。
&lt;span class="spacer"&gt;&lt;/span&gt;また、何かを対象へぴったり合わせる＝「適用する」という意味になる。
&lt;span class="spacer"&gt;&lt;/span&gt;&lt;span class="explanation_tag"&gt;イメージ&lt;/span&gt;
［apply for A］は、Aを求めて（for）要求をぴったり合わせる（apply）ことから、「Aを（求めて）申し込む」という意味になる。
&lt;span class="spacer"&gt;&lt;/span&gt;例：仕事・許可を求めて申し込む。
&lt;span class="spacer"&gt;&lt;/span&gt;&lt;span class="explanation_tag"&gt;関連語&lt;/span&gt;
①［S apply to A］は、SがAの方に（to）ぴったり合う（apply）ことから、「SがAに当てはまる」という意味になる。
&lt;span class="spacer"&gt;&lt;/span&gt;例：規則や条件などがAに当てはまる。
&lt;span class="spacer"&gt;&lt;/span&gt;②「apply to A」は、Aの方向に（to）要求をぴったり合わせる（apply）ことから、「A（の方向）に申し込む」という意味になる。
&lt;span class="spacer"&gt;&lt;/span&gt;例：人・場所・組織の方向に申し込む。
&lt;div class="sample_image 2026_227"&gt;&lt;/div&gt;&lt;/span&gt;</t>
    <phoneticPr fontId="1"/>
  </si>
  <si>
    <t>&lt;span class="w"&gt;&lt;b&gt;【228.apply to ~：①〜に当てはまる, ②（人・場所・組織など）に対して申し込む】&lt;/b&gt;&lt;/span&gt;
&lt;span class="ml"&gt;&lt;span class="explanation_tag"&gt;語源&lt;/span&gt;
applyは、ラテン語ad（〜へ）と、plicare（折りたたむ）が合わさってできた語。折りたたんで端と端を重ね合わせるように、対象に向けてぴったり合わせるイメージ。
&lt;span class="spacer"&gt;&lt;/span&gt;そこから、要求を対象へぴったり合わせる＝「申し込む」という意味になる。
&lt;span class="spacer"&gt;&lt;/span&gt;また、何かを対象へぴったり合わせる＝「適用する」という意味になる。
&lt;span class="spacer"&gt;&lt;/span&gt;&lt;span class="explanation_tag"&gt;イメージ&lt;/span&gt;
①［S apply to A］は、SがAの方に（to）ぴったり合う（apply）ことから、「SがAに当てはまる」という意味になる。
&lt;span class="spacer"&gt;&lt;/span&gt;例：規則や条件などがAに当てはまる。
&lt;span class="spacer"&gt;&lt;/span&gt;②「apply to A」は、Aの方向に（to）要求をぴったり合わせる（apply）ことから、「A（の方向）に申し込む」という意味になる。
&lt;span class="spacer"&gt;&lt;/span&gt;例：人・場所・組織の方向に申し込む。
&lt;span class="spacer"&gt;&lt;/span&gt;&lt;span class="explanation_tag"&gt;関連語&lt;/span&gt;
［apply for A］は、Aを求めて（for）要求をぴったり合わせる（apply）ことから、「Aを（求めて）申し込む」という意味になる。
&lt;span class="spacer"&gt;&lt;/span&gt;例：仕事・許可を求めて申し込む。
&lt;div class="sample_image 2026_228"&gt;&lt;/div&gt;&lt;/span&gt;</t>
    <phoneticPr fontId="1"/>
  </si>
  <si>
    <t>&lt;span class="w"&gt;&lt;b&gt;【231.catch up with / to ~：（遅れた状態から）〜に追いつく】&lt;/b&gt;&lt;/span&gt;
&lt;span class="ml"&gt;&lt;span class="explanation_tag"&gt;イメージ&lt;/span&gt;
［catch up with / to A］は、遅れたところから完全に（up）捕まえて（catch）Aと一緒の位置になる（with）/ Aのところへ至る（to）というイメージ。そこから「Aに追いつく」という意味になる。
&lt;div class="sample_image 2026_231"&gt;&lt;/div&gt;&lt;/span&gt;</t>
    <phoneticPr fontId="1"/>
  </si>
  <si>
    <t>&lt;span class="w"&gt;&lt;b&gt;【232.keep pace with ~：〜に遅れずについていく】&lt;/b&gt;&lt;/span&gt;
&lt;span class="ml"&gt;&lt;span class="explanation_tag"&gt;イメージ&lt;/span&gt;
［keep pace with A］は、Aと一緒に（with）ペース（pace）を維持する（keep）ことから「Aに遅れずについていく」という意味になる。
&lt;span class="spacer"&gt;&lt;/span&gt;&lt;span class="explanation_tag"&gt;関連語&lt;/span&gt;
［keep up with A］は、Aと一緒の状態を（with）完全に（up）維持する（keep）ことから「Aに遅れずについていく」という意味になる。
&lt;div class="sample_image 2026_232"&gt;&lt;/div&gt;&lt;/span&gt;</t>
    <phoneticPr fontId="1"/>
  </si>
  <si>
    <t>&lt;span class="w"&gt;&lt;b&gt;【233.keep up with ~：〜に遅れずについていく】&lt;/b&gt;&lt;/span&gt;
&lt;span class="ml"&gt;&lt;span class="explanation_tag"&gt;イメージ&lt;/span&gt;
［keep up with A］は、Aと一緒の状態を（with）完全に（up）維持する（keep）ことから「Aに遅れずについていく」という意味になる。
&lt;span class="spacer"&gt;&lt;/span&gt;&lt;span class="explanation_tag"&gt;関連語&lt;/span&gt;
［keep pace with A］は、Aと一緒に（with）ペース（pace）を維持する（keep）ことから「Aに遅れずについていく」という意味になる。
&lt;div class="sample_image 2026_233"&gt;&lt;/div&gt;&lt;/span&gt;</t>
    <phoneticPr fontId="1"/>
  </si>
  <si>
    <t>&lt;span class="w"&gt;&lt;b&gt;【234.leave ~ alone：〜をそのままにしておく, 〜に干渉しない】&lt;/b&gt;&lt;/span&gt;
&lt;span class="ml"&gt;&lt;span class="explanation_tag"&gt;イメージ&lt;/span&gt;
［leave A alone］のleaveは、第5文型「OをCのままにしておく」という意味。なので、「Aをそのままにしておく, Aに干渉しない」という意味になる。
&lt;span class="spacer"&gt;&lt;/span&gt;第5文型だと覚えていなくても、直訳「Aをひとりにして去る」から、「Aに干渉しない, Aをそのままにしておく」という意味は導き出せる。
&lt;div class="sample_image 2026_234"&gt;&lt;/div&gt;&lt;/span&gt;</t>
    <phoneticPr fontId="1"/>
  </si>
  <si>
    <t>&lt;span class="w"&gt;&lt;b&gt;【235.let alone ~：（主に否定文で）〜は言うまでもない】&lt;/b&gt;&lt;/span&gt;
&lt;span class="ml"&gt;&lt;span class="explanation_tag"&gt;語源&lt;/span&gt;
もともとは［let A alone］で「Aをそのままにしておく」という表現だった。物理的に何かに触れないことを表したこの表現は、次第に&lt;strong&gt;話題として触れない&lt;strong&gt;ことへと発展する。
&lt;span class="spacer"&gt;&lt;/span&gt;［let alone A］で、Aはわざわざ話題にして触れないということから、「Aは言うまでもない」という意味になった。
&lt;span class="spacer"&gt;&lt;/span&gt;&lt;span class="explanation_tag"&gt;補足&lt;/span&gt;
［let alone A］は、主に否定文や否定的な内容で使われる。
&lt;span class="spacer"&gt;&lt;/span&gt;I can’t swim, let alone dive.
私は泳げない
（泳げないんだから）ダイビングの話には触れない＝ダイビングは言うまでもない。
&lt;div class="sample_image 2026_235"&gt;&lt;/div&gt;&lt;/span&gt;</t>
    <phoneticPr fontId="1"/>
  </si>
  <si>
    <t>&lt;span class="w"&gt;&lt;b&gt;【236.correspond to ~：〜に一致する, 〜に相当する】&lt;/b&gt;&lt;/span&gt;
&lt;span class="ml"&gt;&lt;span class="explanation_tag"&gt;語源&lt;/span&gt;
correspondは、ラテン語com（共に）と、respondare（答える）が合わさってできた語。後者は現代英語respondだと考えればよい。
&lt;span class="spacer"&gt;&lt;/span&gt;自分が何かを送ったら、相手も自分に送ってくるようなマッチした関係であることから、対象に向ける側と返す側が合う＝何かと何かが「一致する, 相当する」や、誰かと誰かが「やりとりする」という意味になった。
&lt;span class="spacer"&gt;&lt;/span&gt;&lt;span class="explanation_tag"&gt;イメージ&lt;/span&gt;
［S correspond to A］は、SがAに対して（to）向けたら、AからSにも返ってくるイメージから、Sは「Aに一致する, 相当する」という&lt;strong&gt;両者の対応関係&lt;/strong&gt;を表す。
&lt;span class="spacer"&gt;&lt;/span&gt;&lt;span class="explanation_tag"&gt;関連語&lt;/span&gt;
［S correspond with A］は、SがAに向けたら、一緒に（with）AからSに返ってくる感じから、Sは「Aに一致する, 相当する」という&lt;strong&gt;両者の合致&lt;/strong&gt;を表す。
&lt;span class="spacer"&gt;&lt;/span&gt;また、SがAと一緒に（with）送り合う（correspond）ことから、「Aとやりとりする, 文通する」という意味になる。
&lt;div class="sample_image 2026_236"&gt;&lt;/div&gt;&lt;/span&gt;</t>
    <phoneticPr fontId="1"/>
  </si>
  <si>
    <t>&lt;span class="w"&gt;&lt;b&gt;【237.correspond with ~：①〜とやりとりする・文通する, ②〜に一致する】&lt;/b&gt;&lt;/span&gt;
&lt;span class="ml"&gt;&lt;span class="explanation_tag"&gt;語源&lt;/span&gt;
correspondは、ラテン語com（共に）と、respondare（答える）が合わさってできた語。後者は現代英語respondだと考えればよい。
&lt;span class="spacer"&gt;&lt;/span&gt;自分が何かを送ったら、相手も自分に送ってくるようなマッチした関係であることから、対象に向ける側と返す側が合う＝何かと何かが「一致する, 相当する」や、誰かと誰かが「やりとりする」という意味になった。
&lt;span class="spacer"&gt;&lt;/span&gt;&lt;span class="explanation_tag"&gt;イメージ&lt;/span&gt;
［S correspond with A］は、SがAに向けたら、一緒に（with）AからSに返ってくる感じから、Sは「Aに一致する, 相当する」という&lt;strong&gt;両者の合致&lt;/strong&gt;を表す。
&lt;span class="spacer"&gt;&lt;/span&gt;また、SがAと一緒に（with）送り合う（correspond）ことから、「Aとやりとりする, 文通する」という意味になる。
&lt;span class="spacer"&gt;&lt;/span&gt;&lt;span class="explanation_tag"&gt;関連語&lt;/span&gt;
［S correspond to A］は、SがAに対して（to）向けたら、AからSにも返ってくるイメージから、Sは「Aに一致する, 相当する」という&lt;strong&gt;両者の対応関係&lt;/strong&gt;を表す。
&lt;div class="sample_image 2026_237"&gt;&lt;/div&gt;&lt;/span&gt;</t>
    <phoneticPr fontId="1"/>
  </si>
  <si>
    <t>&lt;span class="w"&gt;&lt;b&gt;【238.〈人〉hit on〈考え〉：人が考えを思いつく】&lt;/b&gt;&lt;/span&gt;
&lt;span class="ml"&gt;&lt;span class="explanation_tag"&gt;イメージ&lt;/span&gt;
［人 hit on 考え］は、人が考えに（on）ドンとぶつかる（hit）ような感じから、「人が考えを思いつく」という意味になる。
&lt;div class="sample_image 2026_238"&gt;&lt;/div&gt;&lt;/span&gt;</t>
    <phoneticPr fontId="1"/>
  </si>
  <si>
    <t>&lt;span class="w"&gt;&lt;b&gt;【239.〈考え〉occur to〈人〉：考えが人に思い浮かぶ】&lt;/b&gt;&lt;/span&gt;
&lt;span class="ml"&gt;&lt;span class="explanation_tag"&gt;語源&lt;/span&gt;
occurは、ラテン語ob（に対して）と、currere（走る）が合わさってできた語。走っていて突然何かにぶつかるという、自分の意思とは関係ない出来事から、何かが「起こる, 生じる」地う意味になる。
&lt;span class="spacer"&gt;&lt;/span&gt;&lt;span class="explanation_tag"&gt;イメージ&lt;/span&gt;
［考え occur to 人］は、考えがある人の方に（to）生じる（occur）ことから、「考えが人に思い浮かぶ」という意味になる。
&lt;div class="sample_image 2026_239"&gt;&lt;/div&gt;&lt;/span&gt;</t>
    <phoneticPr fontId="1"/>
  </si>
  <si>
    <t>&lt;span class="w"&gt;&lt;b&gt;【240.〈考え〉dawn on〈人〉：考えが人に思い浮かぶ, わかり始める】&lt;/b&gt;&lt;/span&gt;
&lt;span class="ml"&gt;&lt;span class="explanation_tag"&gt;イメージ&lt;/span&gt;
［考え down on 人］は、人のもとに（on）考えが降りてくる（down）ように、「考えが人に思い浮かぶ, わかり始める」という意味になる。
&lt;div class="sample_image 2026_240"&gt;&lt;/div&gt;&lt;/span&gt;</t>
    <phoneticPr fontId="1"/>
  </si>
  <si>
    <t>&lt;span class="w"&gt;&lt;b&gt;【243.lay off ~：〜を解雇する, 〜をやめる】&lt;/b&gt;&lt;/span&gt;
&lt;span class="ml"&gt;&lt;span class="explanation_tag"&gt;イメージ&lt;/span&gt;
［lay off A］は、Aを分離（off）して横に置く（lay）ことから、何かを活動・行動から切り離すイメージになり、「Aを解雇する, やめる」という意味になる。
&lt;span class="spacer"&gt;&lt;/span&gt;&lt;span class="explanation_tag"&gt;補足&lt;/span&gt;
lay ~ offの語順にもなる。
&lt;div class="sample_image 2026_243"&gt;&lt;/div&gt;&lt;/span&gt;</t>
    <phoneticPr fontId="1"/>
  </si>
  <si>
    <t>&lt;span class="w"&gt;&lt;b&gt;【244.lay out ~：〜を並べる, 〜を設計する】&lt;/b&gt;&lt;/span&gt;
&lt;span class="ml"&gt;&lt;span class="explanation_tag"&gt;イメージ&lt;/span&gt;
［lay out A］は、Aを外に広げて（out）置く（lay）ことから、「Aを並べる」という意味になる。
&lt;span class="spacer"&gt;&lt;/span&gt;また、要素を配置して並べるイメージから、「Aを設計する」という意味にもなる。これは日本語のレイアウトと同じ。
&lt;span class="spacer"&gt;&lt;/span&gt;&lt;span class="explanation_tag"&gt;補足&lt;/span&gt;
lay ~ outの語順にもなる。
&lt;div class="sample_image 2026_244"&gt;&lt;/div&gt;&lt;/span&gt;</t>
    <phoneticPr fontId="1"/>
  </si>
  <si>
    <t>&lt;span class="w"&gt;&lt;b&gt;【245.be concerned about / for ~：〜を心配している】&lt;/b&gt;&lt;/span&gt;
&lt;span class="ml"&gt;&lt;span class="explanation_tag"&gt;語源&lt;/span&gt;
concernは、ラテン語com（共に）と、cernere（ふるいにかける）が合わさってできた語。いろいろな物が一緒にふるいにかけられると、似たような関係のあるものが残るので「関係する」という意味になる。
&lt;span class="spacer"&gt;&lt;/span&gt;また関係ある物事の中でも、特に自分自身の利益に関係することは、どうしても気になってしまうことから「心配する」という意味にもなる。
&lt;span class="spacer"&gt;&lt;/span&gt;&lt;span class="explanation_tag"&gt;イメージ&lt;/span&gt;
［S be concerned about / for A］は、ふるいにかけられて（be concerned）残ったAについて / Aのために（about / for）Sが「心配している」という意味になる。
&lt;span class="spacer"&gt;&lt;/span&gt;&lt;span class="explanation_tag"&gt;関連語&lt;/span&gt;
［S be concerned with A］は、ふるいにかけられて（be concerned）Aと一緒に（with）残ることから、Sは「Aと関係がある」という意味になる。
&lt;div class="sample_image 2026_245"&gt;&lt;/div&gt;&lt;/span&gt;</t>
    <phoneticPr fontId="1"/>
  </si>
  <si>
    <t>&lt;span class="w"&gt;&lt;b&gt;【246.be concerned with ~：〜と関係がある】&lt;/b&gt;&lt;/span&gt;
&lt;span class="ml"&gt;concernは、ラテン語com（共に）と、cernere（ふるいにかける）が合わさってできた語。いろいろな物が一緒にふるいにかけられると、似たような関係のあるものが残るので「関係する」という意味になる。
&lt;span class="spacer"&gt;&lt;/span&gt;また関係ある物事の中でも、特に自分自身の利益に関係することは、どうしても気になってしまうことから「心配する」という意味にもなる。
&lt;span class="spacer"&gt;&lt;/span&gt;&lt;span class="explanation_tag"&gt;イメージ&lt;/span&gt;
［S be concerned with A］は、ふるいにかけられて（be concerned）Aと一緒に（with）残ることから、Sは「Aと関係がある」という意味になる。
&lt;span class="spacer"&gt;&lt;/span&gt;&lt;span class="explanation_tag"&gt;関連語&lt;/span&gt;
［S be concerned about / for A］は、ふるいにかけられて（be concerned）残ったAについて / Aのために（about / for）Sが「心配している」という意味になる。
&lt;div class="sample_image 2026_246"&gt;&lt;/div&gt;&lt;/span&gt;</t>
    <phoneticPr fontId="1"/>
  </si>
  <si>
    <t>&lt;span class="w"&gt;&lt;b&gt;【247.be free from / of ~：〜がない】&lt;/b&gt;&lt;/span&gt;
&lt;span class="ml"&gt;&lt;span class="explanation_tag"&gt;イメージ&lt;/span&gt;
［be free from / of A］は、Aから（from A）距離をとって自由になっている（be free）や、内部からAが分離されて（of A）自由になっている（be free）というイメージ。
&lt;span class="spacer"&gt;&lt;/span&gt;Aから距離が離れて「Aがない」状態や、内部からAが分離されて「Aがない」状態を表す。
&lt;span class="spacer"&gt;&lt;/span&gt;free from fear
恐怖がない（恐怖から離れて自由）
&lt;span class="spacer"&gt;&lt;/span&gt;free of tax
税が無い（内部から税が分離）
&lt;div class="sample_image 2026_247"&gt;&lt;/div&gt;&lt;/span&gt;</t>
    <phoneticPr fontId="1"/>
  </si>
  <si>
    <t>&lt;span class="w"&gt;&lt;b&gt;【248.be free to do：自由に〜できる, 自由に〜してよい】&lt;/b&gt;&lt;/span&gt;
&lt;span class="ml"&gt;［be free to do］は直訳通り「〜する」ことにおいて「自由である」ことから「自由に〜できる」という意味になる。
&lt;div class="sample_image 2026_248"&gt;&lt;/div&gt;&lt;/span&gt;</t>
    <phoneticPr fontId="1"/>
  </si>
  <si>
    <t>&lt;span class="w"&gt;&lt;b&gt;【249.be familiar to ~：〜によく知られている】&lt;/b&gt;&lt;/span&gt;
&lt;span class="ml"&gt;&lt;span class="explanation_tag"&gt;イメージ&lt;/span&gt;
familiarは、familyの形容詞で「（家族のように）お互いよく知っている」というイメージ。
&lt;span class="spacer"&gt;&lt;/span&gt;［be familiar to A］で、Aに（to A）よく知られている（be familiar）という意味になる。
&lt;span class="spacer"&gt;&lt;/span&gt;このto Aは、be known to Aと同じ。
&lt;span class="spacer"&gt;&lt;/span&gt;&lt;span class="explanation_tag"&gt;関連語&lt;/span&gt;
［be familiar with A］で、Aに結びついていて（with A）よく知っている（be familiar）という意味になる。
&lt;div class="sample_image 2026_249"&gt;&lt;/div&gt;&lt;/span&gt;</t>
    <phoneticPr fontId="1"/>
  </si>
  <si>
    <t>&lt;span class="w"&gt;&lt;b&gt;【250.be familiar with ~：〜をよく知っている】&lt;/b&gt;&lt;/span&gt;
&lt;span class="ml"&gt;familiarは、familyの形容詞で「（家族のように）お互いよく知っている」というイメージ。
&lt;span class="spacer"&gt;&lt;/span&gt;［be familiar with A］で、Aに結びついていて（with A）よく知っている（be familiar）という意味になる。
&lt;span class="spacer"&gt;&lt;/span&gt;&lt;span class="explanation_tag"&gt;関連語&lt;/span&gt;
［be familiar to A］で、Aに（to A）よく知られている（be familiar）という意味になる。
&lt;span class="spacer"&gt;&lt;/span&gt;この［to A］は、be known to Aと同じ。
&lt;div class="sample_image 2026_250"&gt;&lt;/div&gt;&lt;/span&gt;</t>
    <phoneticPr fontId="1"/>
  </si>
  <si>
    <t>&lt;span class="w"&gt;&lt;b&gt;【251.be true of ~：〜に当てはまる】&lt;/b&gt;&lt;/span&gt;
&lt;span class="ml"&gt;&lt;span class="explanation_tag"&gt;語源&lt;/span&gt;
trueは、古英語より前の祖先言語の段階にさかのぼると、堅い樹のような「どっしりと揺るがない状態」を表したと考えられる。
&lt;span class="spacer"&gt;&lt;/span&gt;古英語（500~1100年）では、その揺るがなさから、相手や約束などに対して「忠実な, 誠実な」を意味した。
&lt;span class="spacer"&gt;&lt;/span&gt;その後、事実に対して忠実である（揺るがない）ことから、現代でなじみのある「真実の, 本物の」という意味になった。
&lt;span class="spacer"&gt;&lt;/span&gt;&lt;span class="explanation_tag"&gt;イメージ&lt;/span&gt;
［S be true of A］は、Aという対象に関して（of A）Sは真（true）であるということから、Sは「Aに当てはまる」という意味になる。
&lt;span class="spacer"&gt;&lt;/span&gt;&lt;span class="explanation_tag"&gt;関連語&lt;/span&gt;
［S be true to A］は、Aに向かって（to A）Sは揺るがない（true）ことから、Sは「Aに忠実である」という意味になる。
&lt;div class="sample_image 2026_251"&gt;&lt;/div&gt;&lt;/span&gt;</t>
    <phoneticPr fontId="1"/>
  </si>
  <si>
    <t>&lt;span class="w"&gt;&lt;b&gt;【252.be true to ~：〜に忠実である】&lt;/b&gt;&lt;/span&gt;
&lt;span class="ml"&gt;&lt;span class="explanation_tag"&gt;語源&lt;/span&gt;
trueは、古英語より前の祖先言語の段階にさかのぼると、堅い樹のような「どっしりと揺るがない状態」を表したと考えられる。
&lt;span class="spacer"&gt;&lt;/span&gt;古英語（500~1100年）では、その揺るがなさから、相手や約束などに対して「忠実な, 誠実な」を意味した。
&lt;span class="spacer"&gt;&lt;/span&gt;その後、事実に対して忠実である（揺るがない）ことから、現代でなじみのある「真実の, 本物の」という意味になった。
&lt;span class="spacer"&gt;&lt;/span&gt;&lt;span class="explanation_tag"&gt;イメージ&lt;/span&gt;
［S be true to A］は、Aに向かって（to A）Sは揺るがない（true）ことから、Sは「Aに忠実である」という意味になる。
&lt;span class="spacer"&gt;&lt;/span&gt;&lt;span class="explanation_tag"&gt;関連語&lt;/span&gt;
［S be true of A］は、Aという対象に関して（of A）Sは真（true）であるということから、Sは「Aに当てはまる」という意味になる。
&lt;div class="sample_image 2026_252"&gt;&lt;/div&gt;&lt;/span&gt;</t>
    <phoneticPr fontId="1"/>
  </si>
  <si>
    <t>&lt;span class="w"&gt;&lt;b&gt;【255.be bound for ~：〜行きである】&lt;/b&gt;&lt;/span&gt;
&lt;span class="ml"&gt;&lt;span class="explanation_tag"&gt;語源&lt;/span&gt;
boundは、中英語boun（出発の準備ができている）にさかのぼり、そこから「〜に行くつもりである」という意味になった。もともとはスペルの最後にdはなかったが、［256. be bound to do］のboundの影響で付け加えられた。
&lt;span class="spacer"&gt;&lt;/span&gt;［be bound for A］は、Aという目的地を目指して（for A）行くつもりであるということから、「A行きである」という意味になる。
&lt;div class="sample_image 2026_255"&gt;&lt;/div&gt;&lt;/span&gt;</t>
    <phoneticPr fontId="1"/>
  </si>
  <si>
    <t>&lt;span class="w"&gt;&lt;b&gt;【256.be bound to do：きっと〜する】&lt;/b&gt;&lt;/span&gt;
&lt;span class="ml"&gt;&lt;span class="explanation_tag"&gt;語源&lt;/span&gt;
boundは、動詞bind（縛る）の過去分詞形容詞で「結びつけられて固定されている」という意味になる。
&lt;span class="explanation_tag"&gt;イメージ&lt;/span&gt;
［be bound to do］は、何かをすること（to do）に縛り付けられて固定されている（be bound）イメージから、「きっと〜する」という意味になる。
&lt;div class="sample_image 2026_256"&gt;&lt;/div&gt;&lt;/span&gt;</t>
    <phoneticPr fontId="1"/>
  </si>
  <si>
    <t>&lt;span class="w"&gt;&lt;b&gt;【257.be anxious about ~：〜を心配している】&lt;/b&gt;&lt;/span&gt;
&lt;span class="ml"&gt;&lt;span class="explanation_tag"&gt;語源&lt;/span&gt;
anxiousは、ラテン語angere（締め付ける）に由来する。胸を締め付けるということから、心理的に「不安な」という意味になった。
&lt;span class="spacer"&gt;&lt;/span&gt;そこから［be anxious about A］は、「Aについて不安な」という意味になる。
&lt;div class="sample_image 2026_257"&gt;&lt;/div&gt;&lt;/span&gt;</t>
    <phoneticPr fontId="1"/>
  </si>
  <si>
    <t>&lt;span class="w"&gt;&lt;b&gt;【258.be anxious to do：〜したがる】&lt;/b&gt;&lt;/span&gt;
&lt;span class="ml"&gt;&lt;span class="explanation_tag"&gt;語源&lt;/span&gt;
anxiousは、ラテン語angere（締め付ける）に由来する。胸を締め付けるということから、心理的に「不安な」という意味になった。
&lt;span class="spacer"&gt;&lt;/span&gt;さらに、不安である心理状態から、それを解消するために何かを「切望している」という意味にも発展した。
&lt;span class="spacer"&gt;&lt;/span&gt;&lt;span class="explanation_tag"&gt;イメージ&lt;/span&gt;
［be anxious to do］は、不安な状態（be anxious）から（不安を解消したくて）何らかの行動に向かう（to do）というイメージから、何かを「したがる」という意味になる。
&lt;div class="sample_image 2026_258"&gt;&lt;/div&gt;&lt;/span&gt;</t>
    <phoneticPr fontId="1"/>
  </si>
  <si>
    <t>&lt;span class="w"&gt;&lt;b&gt;【259.〈名詞〉to come：将来の〜, きたるべき〜】&lt;/b&gt;&lt;/span&gt;
&lt;span class="ml"&gt;&lt;span class="explanation_tag"&gt;イメージ&lt;/span&gt;
［名詞 to come］は、名詞をto comeが後ろから修飾する。これから来る〈名詞〉を表して、「将来の〜, きたるべき〜」という意味になる。
&lt;div class="sample_image 2026_259"&gt;&lt;/div&gt;&lt;/span&gt;</t>
    <phoneticPr fontId="1"/>
  </si>
  <si>
    <t>&lt;span class="w"&gt;&lt;b&gt;【260.〈名詞〉to go：あと〜, 残りの〜, 持ち帰り用の】&lt;/b&gt;&lt;/span&gt;
&lt;span class="ml"&gt;&lt;span class="explanation_tag"&gt;イメージ&lt;/span&gt;
［名詞 to go］は、名詞をto goが後ろから修飾する。「これから進んで行く」ということが、完了までの進むべき先の道を表して、「あと〜, 残りの〜」という意味になる。
&lt;span class="spacer"&gt;&lt;/span&gt;また店内ではなく、持っていくことから、「持ち帰り用の〜」という意味にもなる。
&lt;div class="sample_image 2026_260"&gt;&lt;/div&gt;&lt;/span&gt;</t>
    <phoneticPr fontId="1"/>
  </si>
  <si>
    <t>&lt;span class="w"&gt;&lt;b&gt;【261.anything but ~：〜どころではない, 全然〜ではなく】&lt;/b&gt;&lt;/span&gt;
&lt;span class="ml"&gt;&lt;span class="explanation_tag"&gt;語源&lt;/span&gt;
butは、古英語be＋utanaが合わさってできた語。現代英語にすると、by（そばに）＋out（外に）になる。対象を外側に置くことから、もともとは「〜を除いて」を意味した。
&lt;span class="spacer"&gt;&lt;/span&gt;「しかし」という接続詞としての用法は、そこから発展して生まれたもの。
&lt;span class="spacer"&gt;&lt;/span&gt;&lt;span class="explanation_tag"&gt;イメージ&lt;/span&gt;
［anything but A］のbutは、「〜を除いて」を意味する。つまり、Aを除いて（but A）なんでも（anything）ということから、Aだけは絶対ない＝「全然Aではない, Aどころではない」という意味になる。
&lt;div class="sample_image 2026_261"&gt;&lt;/div&gt;&lt;/span&gt;</t>
    <phoneticPr fontId="1"/>
  </si>
  <si>
    <t>&lt;span class="w"&gt;&lt;b&gt;【262.nothing but ~：ただ〜だけ, 〜にすぎない】&lt;/b&gt;&lt;/span&gt;
&lt;span class="ml"&gt;&lt;span class="explanation_tag"&gt;語源&lt;/span&gt;
butは、古英語be＋utanaが合わさってできた語。現代英語にすると、by（そばに）＋out（外に）になる。対象を外側に置くことから、もともとは「〜を除いて」を意味した。
&lt;span class="spacer"&gt;&lt;/span&gt;「しかし」という接続詞としての用法は、そこから発展して生まれたもの。
&lt;span class="spacer"&gt;&lt;/span&gt;&lt;span class="explanation_tag"&gt;イメージ&lt;/span&gt;
［nothing but A］のbutは、「〜を除いて」を意味する。つまり、Aを除いて（but A）何もない（nothing）ということから、「ただAだけ, Aにすぎない」という意味になる。
&lt;div class="sample_image 2026_262"&gt;&lt;/div&gt;&lt;/span&gt;</t>
    <phoneticPr fontId="1"/>
  </si>
  <si>
    <t>&lt;span class="w"&gt;&lt;b&gt;【265.in the way (of ~)：（〜の）邪魔になって】&lt;/b&gt;&lt;/span&gt;
&lt;span class="ml"&gt;&lt;span class="explanation_tag"&gt;イメージ&lt;/span&gt;
［in the way (of ~)］は、進んでいく道（the way）の&lt;strong&gt;空間の中に&lt;/strong&gt;（in）何かがあることから、何かが進行の妨げで「邪魔になって」という意味になる。
&lt;span class="spacer"&gt;&lt;/span&gt;これは、反対のout of the wayから考えるとわかりやすい。out of the wayは、進んでいく道から外にどけることを表す。
&lt;div class="sample_image 2026_265"&gt;&lt;/div&gt;&lt;/span&gt;</t>
    <phoneticPr fontId="1"/>
  </si>
  <si>
    <t>&lt;span class="w"&gt;&lt;b&gt;【266.on the way (to ~)：（〜の）途中で】&lt;/b&gt;&lt;/span&gt;
&lt;span class="ml"&gt;&lt;span class="explanation_tag"&gt;イメージ&lt;/span&gt;
［on the way (to ~)］は、進んでいく&lt;strong&gt;道の上に&lt;/strong&gt;いることから、「〜の途中で」という意味になる。
&lt;div class="sample_image 2026_266"&gt;&lt;/div&gt;&lt;/span&gt;</t>
    <phoneticPr fontId="1"/>
  </si>
  <si>
    <t>&lt;span class="w"&gt;&lt;b&gt;【267.by now：今ごろは, 今はもう】&lt;/b&gt;&lt;/span&gt;
&lt;span class="ml"&gt;&lt;span class="explanation_tag"&gt;イメージ&lt;/span&gt;
［by now］は直訳すると、今（now）までに（by）。&lt;strong&gt;いま現時点までには何かが行われている&lt;/strong&gt;ことを表して、「今ごろは, 今はもう」という意味になる。
&lt;div class="sample_image 2026_267"&gt;&lt;/div&gt;&lt;/span&gt;</t>
    <phoneticPr fontId="1"/>
  </si>
  <si>
    <t>&lt;span class="w"&gt;&lt;b&gt;【268.for now：今のところは, 当分は】&lt;/b&gt;&lt;/span&gt;
&lt;span class="ml"&gt;&lt;span class="explanation_tag"&gt;イメージ&lt;/span&gt;
［for now］は直訳すると、今（now）の期間は（for）。&lt;strong&gt;いま現時点を含んだ期間&lt;/strong&gt;を表して、「今のところは, 当分は」という意味になる。
&lt;div class="sample_image 2026_268"&gt;&lt;/div&gt;&lt;/span&gt;</t>
    <phoneticPr fontId="1"/>
  </si>
  <si>
    <t>&lt;span class="w"&gt;&lt;b&gt;【269.on the contrary：それどころか, それとは反対に】&lt;/b&gt;&lt;/span&gt;
&lt;span class="ml"&gt;&lt;span class="explanation_tag"&gt;語源&lt;/span&gt;
contraryは、contrast（コントラスト）やcontroversy（論争）と同じく、対立を表すラテン語contraに由来する。
&lt;span class="spacer"&gt;&lt;/span&gt;&lt;span class="explanation_tag"&gt;イメージ&lt;/span&gt;
［on the contrary］は、反対（the contrary）の立場に立つ（on）というイメージから、直前に述べられたことに対して「それどころか, それとは反対に」という意味になる。
&lt;span class="spacer"&gt;&lt;/span&gt;&lt;span class="explanation_tag"&gt;関連語&lt;/span&gt;
［to the contrary］は、反対（the contrary）の方に向かう（to）というイメージから、「それと反対の」という意味になる。
&lt;span class="spacer"&gt;&lt;/span&gt;主に［名詞 to the contrary］で、反対の方向に向かう名詞＝「それと反対の名詞」となる。
&lt;div class="sample_image 2026_269"&gt;&lt;/div&gt;&lt;/span&gt;</t>
    <phoneticPr fontId="1"/>
  </si>
  <si>
    <t>&lt;span class="w"&gt;&lt;b&gt;【270.to the contrary：それと反対の】&lt;/b&gt;&lt;/span&gt;
&lt;span class="ml"&gt;&lt;span class="explanation_tag"&gt;語源&lt;/span&gt;
contraryは、contrast（コントラスト）やcontroversy（論争）と同じく、対立を表すラテン語contraに由来する。
&lt;span class="spacer"&gt;&lt;/span&gt;&lt;span class="explanation_tag"&gt;イメージ&lt;/span&gt;
［to the contrary］は、反対（the contrary）の方に向かう（to）というイメージから、「それと反対の」という意味になる。
&lt;span class="spacer"&gt;&lt;/span&gt;主に［名詞 to the contrary］で、反対の方向に向かう名詞＝「それと反対の名詞」となる。
&lt;span class="spacer"&gt;&lt;/span&gt;&lt;span class="explanation_tag"&gt;関連語&lt;/span&gt;
［on the contrary］は、反対（the contrary）の立場に立つ（on）というイメージから、直前に述べられたことに対して「それどころか, それとは反対に」という意味になる。
&lt;div class="sample_image 2026_270"&gt;&lt;/div&gt;&lt;/span&gt;</t>
    <phoneticPr fontId="1"/>
  </si>
  <si>
    <t>&lt;span class="w"&gt;&lt;b&gt;【271.in the air：①空中で, ②未決定で, ③（雰囲気などが）漂っている】&lt;/b&gt;&lt;/span&gt;
&lt;span class="ml"&gt;&lt;span class="explanation_tag"&gt;イメージ&lt;/span&gt;
［in the air］は、以下の3つの意味になる。
&lt;span class="spacer"&gt;&lt;/span&gt;①は、直訳通り「空中で」という意味になる。
&lt;span class="spacer"&gt;&lt;/span&gt;②は、物事が空中に漂った状態であることから、何かが「未決定で」という意味になる。
&lt;span class="spacer"&gt;&lt;/span&gt;③は、雰囲気や緊張感などが空気中にあるような感じを表して、何かが「漂っている, 感じられて」という意味になる。
&lt;div class="sample_image 2026_271"&gt;&lt;/div&gt;&lt;/span&gt;</t>
    <phoneticPr fontId="1"/>
  </si>
  <si>
    <t>&lt;span class="w"&gt;&lt;b&gt;【272.on the air：放送中で】&lt;/b&gt;&lt;/span&gt;
&lt;span class="ml"&gt;&lt;span class="explanation_tag"&gt;イメージ&lt;/span&gt;
［on the air］は、空気中（the air）に電波が乗って（on）いくことから、何かが「放送中で」という意味になる。
&lt;div class="sample_image 2026_272"&gt;&lt;/div&gt;&lt;/span&gt;</t>
    <phoneticPr fontId="1"/>
  </si>
  <si>
    <t>&lt;span class="w"&gt;&lt;b&gt;【273.by chance：偶然に】&lt;/b&gt;&lt;/span&gt;
&lt;span class="ml"&gt;&lt;span class="explanation_tag"&gt;語源&lt;/span&gt;
chanceは、ラテン語cadere（落ちる）から派生した*cadentia（起こったこと, 降ってきたもの）に由来する。これはサイコロ遊びで用いられた語で、振られたサイコロは何の目が出るかわからないことから、「見込み, 運, 偶然, 危険, 機会」といった意味になった。
&lt;span class="spacer"&gt;&lt;/span&gt;&lt;span class="explanation_tag"&gt;イメージ&lt;/span&gt;
［by chance］は、偶然（chance）によって（by）という直訳通り、「偶然に」という意味になる。ここでのchanceは、日本語でイメージされる好機ではなく、突然降りかかる「偶然」という意味。
&lt;div class="sample_image 2026_273"&gt;&lt;/div&gt;&lt;/span&gt;</t>
    <phoneticPr fontId="1"/>
  </si>
  <si>
    <t>&lt;span class="w"&gt;&lt;b&gt;【274.by any chance：（疑問文で）もしかして】&lt;/b&gt;&lt;/span&gt;
&lt;span class="ml"&gt;&lt;span class="explanation_tag"&gt;語源&lt;/span&gt;
chanceは、ラテン語cadere（落ちる）から派生した*cadentia（起こったこと, 降ってきたもの）に由来する。これはサイコロ遊びで用いられた語で、振られたサイコロは何の目が出るかわからないことから、「見込み, 運, 偶然, 危険, 機会」といった意味になった。
&lt;span class="spacer"&gt;&lt;/span&gt;&lt;span class="explanation_tag"&gt;イメージ&lt;/span&gt;
［by any chance］は直訳すると、どんな偶然（any chance）によって（by）でもいいから、という現実的な可能性の低さを表す。疑問文の中で使うことで、その疑問が肯定される可能性の低さを表し、「もしかして」という意味になる。
&lt;span class="spacer"&gt;&lt;/span&gt;Do you have a pen?
ペン持ってる？
&lt;span class="spacer"&gt;&lt;/span&gt;Do you by any chance have a pen?
&lt;strong&gt;どんな偶然によってでもいいから&lt;/strong&gt;ペン持ってる？
&lt;strong&gt;たまたま&lt;/strong&gt;ペン持ってたりしない？
&lt;strong&gt;もしかして&lt;/strong&gt;ペン持ってたりする？
&lt;div class="sample_image 2026_274"&gt;&lt;/div&gt;&lt;/span&gt;</t>
    <phoneticPr fontId="1"/>
  </si>
  <si>
    <t>&lt;span class="w"&gt;&lt;b&gt;【277.at a distance：ある距離をおいて】&lt;/b&gt;&lt;/span&gt;
&lt;span class="ml"&gt;&lt;span class="explanation_tag"&gt;語源&lt;/span&gt;
distanceは、ラテン語dis（離れて）と、stare（立つ）が合わさってできた語。AとBが離れて立つことから、その間の「距離」を意味するようになった。
&lt;span class="spacer"&gt;&lt;/span&gt;&lt;span class="explanation_tag"&gt;イメージ&lt;/span&gt;
［at a distance］は、ある距離（a distance）が置かれた状態（at）というイメージ。そこから、物理的・心理的に「ある距離を置いて」という意味になる。
&lt;span class="spacer"&gt;&lt;/span&gt;&lt;span class="explanation_tag"&gt;関連語&lt;/span&gt;
［in the distance］は、ある範囲の中（in）の距離（the distance）がある場所というイメージ。そこから、「遠方で」という意味になる。
&lt;span class="spacer"&gt;&lt;/span&gt;その場にいればdistanceを体感できるため、定冠詞theを使う。
&lt;div class="sample_image 2026_277"&gt;&lt;/div&gt;&lt;/span&gt;</t>
    <phoneticPr fontId="1"/>
  </si>
  <si>
    <t>&lt;span class="w"&gt;&lt;b&gt;【278.in the distance：遠方に】&lt;/b&gt;&lt;/span&gt;
&lt;span class="ml"&gt;&lt;span class="explanation_tag"&gt;語源&lt;/span&gt;
distanceは、ラテン語dis（離れて）と、stare（立つ）が合わさってできた語。AとBが離れて立つことから、その間の「距離」を意味するようになった。
&lt;span class="spacer"&gt;&lt;/span&gt;&lt;span class="explanation_tag"&gt;イメージ&lt;/span&gt;
［in the distance］は、ある範囲の中（in）の距離（the distance）がある場所というイメージ。そこから、「遠方で」という意味になる。
&lt;span class="spacer"&gt;&lt;/span&gt;その場にいればdistanceを体感できるため、定冠詞theを使う。
&lt;span class="spacer"&gt;&lt;/span&gt;&lt;span class="explanation_tag"&gt;関連語&lt;/span&gt;
［at a distance］は、ある距離（a distance）が置かれた状態（at）というイメージ。そこから、物理的・心理的に「ある距離を置いて」という意味になる。
&lt;div class="sample_image 2026_278"&gt;&lt;/div&gt;&lt;/span&gt;</t>
    <phoneticPr fontId="1"/>
  </si>
  <si>
    <t>&lt;span class="w"&gt;&lt;b&gt;【287.distinguish A from B：AをBと区別する】&lt;/b&gt;&lt;/span&gt;
&lt;span class="ml"&gt;&lt;span class="explanation_tag"&gt;語源&lt;/span&gt;
distinguishは、ラテン語dis（離れて）と、stinguere（突く）が合わさった語だと考えられる。何かを突き刺して分離させることから、何かと何かを「区別する」という意味になった。
&lt;span class="spacer"&gt;&lt;/span&gt;&lt;span class="explanation_tag"&gt;イメージ&lt;/span&gt;
［distinguish A from B］は、Aを突き刺して（distinguish A）Bから（from B）離すイメージ。そこから「AをBと区別する」という意味になる。
&lt;div class="sample_image 2026_287"&gt;&lt;/div&gt;&lt;/span&gt;</t>
    <phoneticPr fontId="1"/>
  </si>
  <si>
    <t>&lt;span class="w"&gt;&lt;b&gt;【289.participate in ~：〜に参加する】&lt;/b&gt;&lt;/span&gt;
&lt;span class="ml"&gt;&lt;span class="explanation_tag"&gt;語源&lt;/span&gt;
participateは、ラテン語pars（部分）と、capere（取る）が合わさってできた語。部分を取るというのは、ある活動において自分が一部分を受け持つことを表す。そこから何かに「参加する」という意味になる。
&lt;span class="spacer"&gt;&lt;/span&gt;&lt;span class="explanation_tag"&gt;イメージ&lt;/span&gt;
［participate in A］は、語源的に解釈すると、Aという活動において（in A）一部分を受け持つ（participate）こと表す。そこから、「Aに参加する」という意味になる。
&lt;span class="spacer"&gt;&lt;/span&gt;&lt;span class="explanation_tag"&gt;補足&lt;/span&gt;
participateのcipate部分は、語源で見た通り、ラテン語capereに由来する。capereからは、capture, anticipate, accept, receiveなど、-cipate / -cept / -ceiveといった〈取る〉系の語がたくさん生まれている。
&lt;span class="spacer"&gt;&lt;/span&gt;ラテン語由来のpars（部分）＋caoere（取る）と、英語のtake（取る）＋part（部分）は、全く同じ発想の表現。
&lt;div class="sample_image 2026_289"&gt;&lt;/div&gt;&lt;/span&gt;</t>
    <phoneticPr fontId="1"/>
  </si>
  <si>
    <t>&lt;span class="w"&gt;&lt;b&gt;【290.take part in ~：〜に参加する】&lt;/b&gt;&lt;/span&gt;
&lt;span class="ml"&gt;&lt;span class="explanation_tag"&gt;イメージ&lt;/span&gt;
［take part in A］は、Aという活動において（in A）一部分を引き受ける（take part）こと表す。そこから、「Aに参加する」という意味になる。
&lt;span class="spacer"&gt;&lt;/span&gt;&lt;span class="explanation_tag"&gt;補足&lt;/span&gt;
participateのcipate部分は、ラテン語capere（取る）に由来する。capereからは、capture, anticipate, accept, receiveなど、-cipate / -cept / -ceiveといった〈取る〉系の語がたくさん生まれている。
&lt;span class="spacer"&gt;&lt;/span&gt;ラテン語由来のpars（部分）＋capere（取る）と、英語のtake partは、全く同じ発想の表現。
&lt;div class="sample_image 2026_290"&gt;&lt;/div&gt;&lt;/span&gt;</t>
    <phoneticPr fontId="1"/>
  </si>
  <si>
    <t>&lt;span class="w"&gt;&lt;b&gt;【291.compensate for ~：〜の埋め合わせをする】&lt;/b&gt;&lt;/span&gt;
&lt;span class="ml"&gt;&lt;span class="explanation_tag"&gt;語源&lt;/span&gt;
compensateは、ラテン語com（共に）と、pendere（吊る）の派生形pensareが合わさってできた語。何かと何かを一緒に天秤に吊るし、釣り合わせることが意味の核。
&lt;span class="spacer"&gt;&lt;/span&gt;そこから、釣り合わせるために足りない部分を補うことへと発展して、何かを「埋め合わせる」という意味になった。
&lt;span class="spacer"&gt;&lt;/span&gt;&lt;span class="explanation_tag"&gt;イメージ&lt;/span&gt;
［compensate for A］は語源的に考えると、Aの代わりに（for A）何かを足して釣り合わせる（compensate）ことから、「Aの埋め合わせをする」という意味になる。
&lt;div class="sample_image 2026_291"&gt;&lt;/div&gt;&lt;/span&gt;</t>
    <phoneticPr fontId="1"/>
  </si>
  <si>
    <t>&lt;span class="w"&gt;&lt;b&gt;【292.make up (~)：①〜を作り上げる, ②仲直りする, ③（for ~）〜の埋め合わせをする】&lt;/b&gt;&lt;/span&gt;
&lt;span class="ml"&gt;&lt;span class="explanation_tag"&gt;イメージ&lt;/span&gt;
①何かを「作り（make）上げる（up）」という文字通りの意味になる。化粧を意味するメイクアップや、話をでっち上げるといった意味でも使われる。
&lt;span class="spacer"&gt;&lt;/span&gt;②壊れた関係からもとの状態を作り上げることから、「仲直りする」という意味になる。
&lt;span class="spacer"&gt;&lt;/span&gt;③［make up for A］で、Aの代わりに（for A）何かを作り上げる（make up）ことから、「Aの埋め合わせをする」という意味になる。
&lt;div class="sample_image 2026_292"&gt;&lt;/div&gt;&lt;/span&gt;</t>
    <phoneticPr fontId="1"/>
  </si>
  <si>
    <t>&lt;span class="w"&gt;&lt;b&gt;【293.care for ~：①〜の世話をする, ②（否定文・疑問文・条件文で）〜を望む, 〜を好む】&lt;/b&gt;&lt;/span&gt;
&lt;span class="ml"&gt;&lt;span class="explanation_tag"&gt;イメージ&lt;/span&gt;
［care for A］の意味の核は、Aのために（for A）注意や好意を向ける（care）こと。
&lt;span class="spacer"&gt;&lt;/span&gt;①Aに注意を向けて行動することから、「Aの世話をする」という意味になる。
&lt;span class="spacer"&gt;&lt;/span&gt;②Aに注意・関心・好意を向けることから、「Aを望む, 好む」という意味になる。
&lt;span class="spacer"&gt;&lt;/span&gt;I don’t care for coffee.
私はコーヒーに注意・関心・好意を向けない。
私はコーヒーを好まない。
&lt;span class="spacer"&gt;&lt;/span&gt;Would you care for some tea?
あなたはお茶に注意・関心・好意を向けますか？
あなたはお茶を好みますか？
お茶はいかがですか？
&lt;div class="sample_image 2026_293"&gt;&lt;/div&gt;&lt;/span&gt;</t>
    <phoneticPr fontId="1"/>
  </si>
  <si>
    <t>&lt;span class="w"&gt;&lt;b&gt;【294.look after ~：〜の世話をする】&lt;/b&gt;&lt;/span&gt;
&lt;span class="ml"&gt;&lt;span class="explanation_tag"&gt;イメージ&lt;/span&gt;
［look after A］は、Aの後ろ（after A）から視線を向ける（look）イメージ。そこから後ろから見守る、そして「Aの世話をする」という意味になる。
&lt;div class="sample_image 2026_294"&gt;&lt;/div&gt;&lt;/span&gt;</t>
    <phoneticPr fontId="1"/>
  </si>
  <si>
    <t>&lt;span class="w"&gt;&lt;b&gt;【295.show up (~)：①現れる, ②目立つ, 〜を目立たせる】&lt;/b&gt;&lt;/span&gt;
&lt;span class="ml"&gt;&lt;span class="explanation_tag"&gt;イメージ&lt;/span&gt;
［show up (~)］は、下や奥に隠れていたもの、姿が見えなかったものが、表面へ出て（up）姿を見せる（show）イメージ。そこから、①「現れる」という意味になる。
&lt;span class="spacer"&gt;&lt;/span&gt;また、他のものよりも表に（up）姿が見える（show）ことから、②「目立つ, 目立たせる」という意味になる。
&lt;span class="spacer"&gt;&lt;/span&gt;&lt;span class="explanation_tag"&gt;補足&lt;/span&gt;
②「何かを目立たせる」という意味の場合は、show ~ upの語順にもなる。
&lt;div class="sample_image 2026_295"&gt;&lt;/div&gt;&lt;/span&gt;</t>
    <phoneticPr fontId="1"/>
  </si>
  <si>
    <t>&lt;span class="w"&gt;&lt;b&gt;【296.turn up (~)：①現れる, 起こる, （失くしたものが）見つける, ②音量上げる, （失くしたものを）見つける】&lt;/b&gt;&lt;/span&gt;
&lt;span class="ml"&gt;&lt;span class="explanation_tag"&gt;イメージ&lt;/span&gt;
［turn up (~)］は、下に隠れていたものがくるっと回って（turn）表に（up）出てくるイメージ。そこから、①表に出てなかったものが「現れる, 起こる, 見つかる」という意味になる。
&lt;span class="spacer"&gt;&lt;/span&gt;また、ダイヤルをクルクル回して（turn）上にあげる（up）ことから、②「音量を上げる」という意味になる。
&lt;span class="spacer"&gt;&lt;/span&gt;&lt;span class="explanation_tag"&gt;補足&lt;/span&gt;
②「音量を上げる, 見つける」という意味の場合、turn ~ upの語順にもなる。
&lt;div class="sample_image 2026_296"&gt;&lt;/div&gt;&lt;/span&gt;</t>
    <phoneticPr fontId="1"/>
  </si>
  <si>
    <t>&lt;span class="w"&gt;&lt;b&gt;【297.consist in ~：〜にある】&lt;/b&gt;&lt;/span&gt;
&lt;span class="ml"&gt;&lt;span class="explanation_tag"&gt;語源&lt;/span&gt;
consistは、ラテン語con（しっかり）と、sistere（立つ）が合わさってできた語。「しっかりと立つ」がconsistの核。
&lt;span class="spacer"&gt;&lt;/span&gt;&lt;span class="explanation_tag"&gt;イメージ&lt;/span&gt;
［S consist in A］は、SがAの中に（in A）しっかりと立っている（consist）というイメージから、Sは「Aにある」という意味になる。
&lt;span class="spacer"&gt;&lt;/span&gt;&lt;span class="explanation_tag"&gt;関連語&lt;/span&gt;
［S consist of A］は、Aという構成要素（of A）があることで、Sがしっかりと立っている（consist）というイメージから、Sが「Aで成り立っている」という意味になる。
&lt;div class="sample_image 2026_297"&gt;&lt;/div&gt;&lt;/span&gt;</t>
    <phoneticPr fontId="1"/>
  </si>
  <si>
    <t>&lt;span class="w"&gt;&lt;b&gt;【299.give in (~)：①屈する, ②（to ~）〜に屈する, ③〜を提出する】&lt;/b&gt;&lt;/span&gt;
&lt;span class="ml"&gt;&lt;span class="explanation_tag"&gt;イメージ&lt;/span&gt;
［give in (~)］は、自分の立場や自分の側にあるものを、相手の中に（in）そのまま渡してしまう（give）ことから、「屈する」や、何かを「提出する」という意味になる。
&lt;span class="spacer"&gt;&lt;/span&gt;屈する対象は［to A］で示す。
&lt;div class="sample_image 2026_299"&gt;&lt;/div&gt;&lt;/span&gt;</t>
    <phoneticPr fontId="1"/>
  </si>
  <si>
    <t>&lt;span class="w"&gt;&lt;b&gt;【301.stand out：際立つ, 目立つ】&lt;/b&gt;&lt;/span&gt;
&lt;span class="ml"&gt;&lt;span class="explanation_tag"&gt;イメージ&lt;/span&gt;
［stand out］は、立っていて（stand）他よりも外に出ている（out）様子から、何かが「際立つ, 目立つ」という意味になる。
&lt;div class="sample_image 2026_301"&gt;&lt;/div&gt;&lt;/span&gt;</t>
    <phoneticPr fontId="1"/>
  </si>
  <si>
    <t>&lt;span class="w"&gt;&lt;b&gt;【302.stick out：突き出る, 目立つ】&lt;/b&gt;&lt;/span&gt;
&lt;span class="ml"&gt;&lt;span class="explanation_tag"&gt;イメージ&lt;/span&gt;
［stick out］は、棒を突き出すイメージ。そこから、何かが「突き出る, 目立つ」という意味になる。
&lt;div class="sample_image 2026_302"&gt;&lt;/div&gt;&lt;/span&gt;</t>
    <phoneticPr fontId="1"/>
  </si>
  <si>
    <t>&lt;span class="w"&gt;&lt;b&gt;【303.cling to ~：〜にくっつく, 〜に固執する】&lt;/b&gt;&lt;/span&gt;
&lt;span class="ml"&gt;&lt;span class="explanation_tag"&gt;語源&lt;/span&gt;
clingは、古英語clingan（しっかりつかむ, 密着する）にさかのぼる。この頃から何かに「強くくっつく」という意味が核になっている。
&lt;span class="spacer"&gt;&lt;/span&gt;［cling to A］は、「Aにくっつく」だけではなく、考え・信念・希望などにしがみつくイメージから「Aに固執する」という意味にもなる。
&lt;div class="sample_image 2026_303"&gt;&lt;/div&gt;&lt;/span&gt;</t>
    <phoneticPr fontId="1"/>
  </si>
  <si>
    <t>&lt;span class="w"&gt;&lt;b&gt;【304.stick to ~：〜にくっつく, 〜の通りに行う, 〜を続ける】&lt;/b&gt;&lt;/span&gt;
&lt;span class="ml"&gt;&lt;span class="explanation_tag"&gt;語源&lt;/span&gt;
stickは、古英語stician（突き刺す）にさかのぼる。尖った物で突き刺すことから、さらに突き刺して「固定する」という意味も生まれた。
&lt;span class="spacer"&gt;&lt;/span&gt;&lt;span class="explanation_tag"&gt;イメージ&lt;/span&gt;
［stick to A］は、Aに対して（to A）しっかりと固定する（stick）イメージ。そこから、物理的に「くっつく」や、計画やルールなどから離れず「Aの通りに行う, Aを守る」といった意味になる。
&lt;div class="sample_image 2026_304"&gt;&lt;/div&gt;&lt;/span&gt;</t>
    <phoneticPr fontId="1"/>
  </si>
  <si>
    <t>&lt;span class="w"&gt;&lt;b&gt;【305.count on / upon ~：〜に頼る, 〜を当てにする】&lt;/b&gt;&lt;/span&gt;
&lt;span class="ml"&gt;&lt;span class="explanation_tag"&gt;イメージ&lt;/span&gt;
［count on A］は、頭の中で計画や戦略などさまざまなことを考える際に、Aがあるという前提の上で（on A）、あれこれ計算する（count）ことから、「Aを頼る, 当てにする」となる。
&lt;span class="spacer"&gt;&lt;/span&gt;これは、カードゲームやトランプなどで、「自分の手札にAがあるから、ああしてこうして…」というように、Aを当てにして思考するイメージ。
&lt;div class="sample_image 2026_305"&gt;&lt;/div&gt;&lt;/span&gt;</t>
    <phoneticPr fontId="1"/>
  </si>
  <si>
    <t>&lt;span class="w"&gt;&lt;b&gt;【306.rest on / upon ~：〜の上に載っている, 〜に基づく, 〜次第である】&lt;/b&gt;&lt;/span&gt;
&lt;span class="ml"&gt;&lt;span class="explanation_tag"&gt;イメージ&lt;/span&gt;
restの意味の核は静止。休む・休止する・落ち着くといった意味は、すべて静止という核にもとづいている。
&lt;span class="spacer"&gt;&lt;/span&gt;［rest on A］は直訳すると、Aの上で（on A）静止している。つまり、Aの上に何かが止まって「載っている」ことを意味する。
&lt;span class="spacer"&gt;&lt;/span&gt;この物理的に載っていることから比喩的に、論理の土台や根拠を表すようになり、判断・結論などが「Aに基づく」という意味になる。
&lt;span class="spacer"&gt;&lt;/span&gt;また、成功・失敗などがAの上にあることから、どうなるかは「A次第である」という意味にもなる。
&lt;div class="sample_image 2026_306"&gt;&lt;/div&gt;&lt;/span&gt;</t>
    <phoneticPr fontId="1"/>
  </si>
  <si>
    <t>&lt;span class="w"&gt;&lt;b&gt;【307.look out (for ~)：（〜に）気をつける】&lt;/b&gt;&lt;/span&gt;
&lt;span class="ml"&gt;&lt;span class="explanation_tag"&gt;イメージ&lt;/span&gt;
［look out］は、外側に（out）視線を向ける（look）ことから、警戒して周囲を見る＝「気をつける」という意味になる。
&lt;span class="spacer"&gt;&lt;/span&gt;注意の対象は、［for A］で示す。
&lt;div class="sample_image 2026_307"&gt;&lt;/div&gt;&lt;/span&gt;</t>
    <phoneticPr fontId="1"/>
  </si>
  <si>
    <t>&lt;span class="w"&gt;&lt;b&gt;【308.watch out (for ~)：（〜に）気をつける】&lt;/b&gt;&lt;/span&gt;
&lt;span class="ml"&gt;&lt;span class="explanation_tag"&gt;イメージ&lt;/span&gt;
［watch out］は、外側を（out）じっとよく見る（watch）ことから、警戒して周囲を見る＝「気をつける」という意味になる。
&lt;span class="spacer"&gt;&lt;/span&gt;注意の対象は、［for A］で示す。
&lt;div class="sample_image 2026_308"&gt;&lt;/div&gt;&lt;/span&gt;</t>
    <phoneticPr fontId="1"/>
  </si>
  <si>
    <t>&lt;span class="w"&gt;&lt;b&gt;【309.hand over ~：〜を引き渡す, 〜を手渡す】&lt;/b&gt;&lt;/span&gt;
&lt;span class="ml"&gt;&lt;span class="explanation_tag"&gt;イメージ&lt;/span&gt;
［hand over A］は、自分の側から相手の側へ（over）渡す（hand）イメージから、「Aを引き渡す, 手渡す」という意味になる。
&lt;span class="spacer"&gt;&lt;/span&gt;&lt;span class="explanation_tag"&gt;補足&lt;/span&gt;
hand ~ overの語順にもなる。
&lt;div class="sample_image 2026_309"&gt;&lt;/div&gt;&lt;/span&gt;</t>
    <phoneticPr fontId="1"/>
  </si>
  <si>
    <t>&lt;span class="w"&gt;&lt;b&gt;【310.turn over ~：①〜を引き渡す, ②〜をめくる】&lt;/b&gt;&lt;/span&gt;
&lt;span class="ml"&gt;&lt;span class="explanation_tag"&gt;イメージ&lt;/span&gt;
［turn over A］は、自分の側にあるものを、くるっと向きを変えて（turn）相手側に（over）送るイメージ。そこから、①「Aを引き渡す」という意味になる。
&lt;span class="spacer"&gt;&lt;/span&gt;また、反対側へ（over）くるっと向きを変える（turn）ことから、②「Aをめくる」という意味になる。
&lt;span class="spacer"&gt;&lt;/span&gt;&lt;span class="explanation_tag"&gt;補足&lt;/span&gt;
turn ~ overの語順にもなる。
&lt;div class="sample_image 2026_310"&gt;&lt;/div&gt;&lt;/span&gt;</t>
    <phoneticPr fontId="1"/>
  </si>
  <si>
    <t>&lt;span class="w"&gt;&lt;b&gt;【311.date back to ~：〜にさかのぼる】&lt;/b&gt;&lt;/span&gt;
&lt;span class="ml"&gt;&lt;span class="explanation_tag"&gt;イメージ&lt;/span&gt;
［date back to A］は、日付がAまで戻るというイメージ。そこから、「Aにさかのぼる」という意味になる。
&lt;div class="sample_image 2026_311"&gt;&lt;/div&gt;&lt;/span&gt;</t>
    <phoneticPr fontId="1"/>
  </si>
  <si>
    <t>&lt;span class="w"&gt;&lt;b&gt;【312.date from ~ ：〜から始まる】&lt;/b&gt;&lt;/span&gt;
&lt;span class="ml"&gt;&lt;span class="explanation_tag"&gt;イメージ&lt;/span&gt;
［date from A］は、Aから日付けが開始するというイメージ。そこから、「Aから始まる」という意味になる。
&lt;div class="sample_image 2026_312"&gt;&lt;/div&gt;&lt;/span&gt;</t>
    <phoneticPr fontId="1"/>
  </si>
  <si>
    <t>&lt;span class="w"&gt;&lt;b&gt;【313.put aside ~：〜を脇に置く, 〜取っておく, 〜を蓄える】&lt;/b&gt;&lt;/span&gt;
&lt;span class="ml"&gt;&lt;span class="explanation_tag"&gt;イメージ&lt;/span&gt;
［put aside A］は、Aを横に（aside）置く（put）ことから、そのまま「Aを脇に置く」という意味になる。
&lt;span class="spacer"&gt;&lt;/span&gt;また脇に置いておくことから発展して、「Aを取っておく, Aを蓄える」という意味にもなる。
&lt;span class="spacer"&gt;&lt;/span&gt;&lt;span class="explanation_tag"&gt;補足&lt;/span&gt;
put ~ asideの語順にもなる。
&lt;div class="sample_image 2026_313"&gt;&lt;/div&gt;&lt;/span&gt;</t>
    <phoneticPr fontId="1"/>
  </si>
  <si>
    <t>&lt;span class="w"&gt;&lt;b&gt;【314.set aside ~：〜を脇に置く, 〜取っておく, 〜を蓄える】&lt;/b&gt;&lt;/span&gt;
&lt;span class="ml"&gt;&lt;span class="explanation_tag"&gt;イメージ&lt;/span&gt;
［set aside A］は、Aを横に（aside）置く（set）ことから、そのまま「Aを脇に置く」という意味になる。
&lt;span class="spacer"&gt;&lt;/span&gt;また脇に置いておくことから発展して、「Aを取っておく, Aを蓄える」という意味にもなる。
&lt;span class="spacer"&gt;&lt;/span&gt;&lt;span class="explanation_tag"&gt;補足&lt;/span&gt;
set ~ asideの語順にもなる。
&lt;div class="sample_image 2026_314"&gt;&lt;/div&gt;&lt;/span&gt;</t>
    <phoneticPr fontId="1"/>
  </si>
  <si>
    <t>&lt;span class="w"&gt;&lt;b&gt;【315.sit up：①寝ないで起きている, ②上半身を起こす, ③背筋を伸ばして座る】&lt;/b&gt;&lt;/span&gt;
&lt;span class="ml"&gt;&lt;span class="explanation_tag"&gt;イメージ&lt;/span&gt;
［sit up］は、座りながら（sit）上方向へ伸びる（up）イメージ。そこから、③「背筋を伸ばして座る」という意味になる。
&lt;span class="spacer"&gt;&lt;/span&gt;また、寝ている状態から上半身を上げて（up）座る（sit）ことから、②「上半身を起こす」という意味になる。
&lt;span class="spacer"&gt;&lt;/span&gt;さらにそのまま寝ないことで、①「寝ないで起きている」という意味になる。
&lt;div class="sample_image 2026_315"&gt;&lt;/div&gt;&lt;/span&gt;</t>
    <phoneticPr fontId="1"/>
  </si>
  <si>
    <t>&lt;span class="w"&gt;&lt;b&gt;【316.stay up：（寝ないで）起きている】&lt;/b&gt;&lt;/span&gt;
&lt;span class="ml"&gt;&lt;span class="explanation_tag"&gt;イメージ&lt;/span&gt;
［stay up］は、起きている状態（up）のままいる（stay）ことから、「寝ないで起きている」という意味になる。
&lt;div class="sample_image 2026_316"&gt;&lt;/div&gt;&lt;/span&gt;</t>
    <phoneticPr fontId="1"/>
  </si>
  <si>
    <t>&lt;span class="w"&gt;&lt;b&gt;【317.hold back ~：〜を制止する, 〜を隠す】&lt;/b&gt;&lt;/span&gt;
&lt;span class="ml"&gt;&lt;span class="explanation_tag"&gt;イメージ&lt;/span&gt;
［hold back A］は、Aをガッとつかんで（hold）背後に止める（back）イメージ。そこから、何かが表に出ないように「制止する, 隠す」という意味になる。
&lt;span class="spacer"&gt;&lt;/span&gt;&lt;span class="explanation_tag"&gt;補足&lt;/span&gt;
hold ~ backの語順にもなる。
&lt;div class="sample_image 2026_317"&gt;&lt;/div&gt;&lt;/span&gt;</t>
    <phoneticPr fontId="1"/>
  </si>
  <si>
    <t>&lt;span class="w"&gt;&lt;b&gt;【318.keep back ~：〜を隠す, 〜を制止する】&lt;/b&gt;&lt;/span&gt;
&lt;span class="ml"&gt;&lt;span class="explanation_tag"&gt;イメージ&lt;/span&gt;
［keep back A］は、Aを背後に（back）保っておく（keep）イメージ。そこから、何かが表に出ないように「隠す, 制止する」という意味になる。
&lt;span class="spacer"&gt;&lt;/span&gt;&lt;span class="explanation_tag"&gt;補足&lt;/span&gt;
keep ~ backの語順にもなる。
&lt;div class="sample_image 2026_318"&gt;&lt;/div&gt;&lt;/span&gt;</t>
    <phoneticPr fontId="1"/>
  </si>
  <si>
    <t>&lt;span class="w"&gt;&lt;b&gt;【324.surrender to ~：〜に屈する】&lt;/b&gt;&lt;/span&gt;
&lt;span class="ml"&gt;&lt;span class="explanation_tag"&gt;語源&lt;/span&gt;
surrenderは、ラテン語sur（超えて）と、reddere（返す, 引き渡す）が合わさってできた語。自分側のものを相手の方へ引き渡すことから、相手に「屈する」という意味になった。
&lt;span class="spacer"&gt;&lt;/span&gt;&lt;span class="explanation_tag"&gt;イメージ&lt;/span&gt;
［surrender to A］は、語源の通り、Aに対して（to A）自分側のものや自分自身を引き渡す（surrender）イメージ。そこから「Aに屈する」という意味になる。
&lt;div class="sample_image 2026_324"&gt;&lt;/div&gt;&lt;/span&gt;</t>
    <phoneticPr fontId="1"/>
  </si>
  <si>
    <t>&lt;span class="w"&gt;&lt;b&gt;【325.yield to ~：〜に屈する, 〜に道を譲る】&lt;/b&gt;&lt;/span&gt;
&lt;span class="ml"&gt;&lt;span class="explanation_tag"&gt;語源&lt;/span&gt;
yieldは、古英語gieldan（支払う）にさかのぼる。これはsurrender（屈する）のもとになったラテン語reddere（返す, 引き渡す）の翻訳語として使われたことから、何かを「与える, 引き渡す」という意味になった。
&lt;span class="spacer"&gt;&lt;/span&gt;そして「与える」から発展して、何かを「もたらす」、対象に何かを「譲る」、対象に「屈する」という意味になった（屈することで自分の立場・権利・所有物を相手に与える）。
&lt;span class="spacer"&gt;&lt;/span&gt;&lt;span class="explanation_tag"&gt;イメージ&lt;/span&gt;
yieldの意味の核は「与える」。
&lt;span class="spacer"&gt;&lt;/span&gt;［yield to A］は、Aに対して（to A）自分の立場や自分自身を与える（yield）ことから、「Aに屈する」という意味になる。
&lt;span class="spacer"&gt;&lt;/span&gt;また［yield O to A］で「AにOを譲る, もたらす」という意味になる。特に目的語なしの［yield to A］で「Aに道を譲る」という意味で使われる。
&lt;div class="sample_image 2026_325"&gt;&lt;/div&gt;&lt;/span&gt;</t>
    <phoneticPr fontId="1"/>
  </si>
  <si>
    <t>&lt;span class="w"&gt;&lt;b&gt;【326.be essential to ~：〜にとって不可欠である】&lt;/b&gt;&lt;/span&gt;
&lt;span class="ml"&gt;&lt;span class="explanation_tag"&gt;語源&lt;/span&gt;
essentialは、ラテン語のesse（存在する）に由来する。「存在する」という言葉から、あるものをそのものとして成り立たせる「本質」という名詞へと発展し、さらにそこから「欠かすことができない」という形容詞になった。
&lt;span class="spacer"&gt;&lt;/span&gt;たとえば、人間を人間として存在させる本質がなくなってしまえば、人間はもはや人間として存在できなくなる。そういう意味で、存在を成り立たせる本質とは「必要不可欠」なのである。
&lt;span class="spacer"&gt;&lt;/span&gt;&lt;span class="explanation_tag"&gt;イメージ&lt;/span&gt;
［be essential to A］は直訳すれば、Aに対して（to A）必要不可欠である（be essential）という意味になる。
&lt;div class="sample_image 2026_326"&gt;&lt;/div&gt;&lt;/span&gt;</t>
    <phoneticPr fontId="1"/>
  </si>
  <si>
    <t>&lt;span class="w"&gt;&lt;b&gt;【329.be equivalent to ~：〜と同等である, 〜に相当する】&lt;/b&gt;&lt;/span&gt;
&lt;span class="ml"&gt;&lt;span class="explanation_tag"&gt;語源&lt;/span&gt;equivalentは、ラテン語aequus（同じ）と、valere（価値がある）が合わさってできた語。同じ価値があるということから、「同等の, 相当する」という意味になる。
&lt;span class="spacer"&gt;&lt;/span&gt;ラテン語aequusはequalの、valereはvalueの語源となった語。
&lt;span class="spacer"&gt;&lt;/span&gt;&lt;span class="explanation_tag"&gt;イメージ&lt;/span&gt;
equivalentは、equal＋valueと考えればよい。「同じような価値」なので、equalのような完全一致ではない。
&lt;span class="spacer"&gt;&lt;/span&gt;［be equivalent to A］は、Aに対して（to A）同じような価値がある（be equivalent）ことから、「Aと同等である, Aに相当する」という意味になる。
&lt;span class="spacer"&gt;&lt;/span&gt;&lt;span class="explanation_tag"&gt;関連語&lt;/span&gt;
［be equal to A］は直訳すると、「Aに等しい」という意味になる。イコールなので完全一致、同一であることを表す。
&lt;div class="sample_image 2026_329"&gt;&lt;/div&gt;&lt;/span&gt;</t>
    <phoneticPr fontId="1"/>
  </si>
  <si>
    <t>&lt;span class="w"&gt;&lt;b&gt;【331.be inclined to do：〜する傾向がある, 〜したい気がする】&lt;/b&gt;&lt;/span&gt;
&lt;span class="ml"&gt;&lt;span class="explanation_tag"&gt;語源&lt;/span&gt;
inclinedは、動詞inclineの過去分詞が形容詞になったもの。
&lt;span class="spacer"&gt;&lt;/span&gt;inclineは、ラテン語in（〜の中へ）と、clinare（曲げる）が合わさってできた語。何かの中の方へグッと曲げて傾けることを表した。
&lt;span class="spacer"&gt;&lt;/span&gt;そこからinclinedは、何かの方へ傾いている＝「傾向がある」という意味になった。
&lt;span class="spacer"&gt;&lt;/span&gt;&lt;span class="explanation_tag"&gt;イメージ&lt;/span&gt;
［be inclined to do］は、何かをすること（to do）の方へ傾いている（be inclined）ことから、「〜をする傾向にある」という意味になる。
&lt;span class="spacer"&gt;&lt;/span&gt;&lt;span class="explanation_tag"&gt;関連語&lt;/span&gt;
ラテン語clinare（曲げる）からは、以下の語も生まれている。
&lt;span class="spacer"&gt;&lt;/span&gt;reclining（リクライニング：背もたれを後ろに傾ける）
decline（下に傾く, 減少する, 断る）
&lt;div class="sample_image 2026_331"&gt;&lt;/div&gt;&lt;/span&gt;</t>
    <phoneticPr fontId="1"/>
  </si>
  <si>
    <t>&lt;span class="w"&gt;&lt;b&gt;【343.on the whole：全体的には】&lt;/b&gt;&lt;/span&gt;
&lt;span class="ml"&gt;［on the whole］は直訳すると、全体（the whole）の上で（on）となる。部分的ではなく全体に基づいていることを表して、「全体的に」という意味になる。
&lt;span class="spacer"&gt;&lt;/span&gt;&lt;span class="explanation_tag"&gt;補足&lt;/span&gt;
wholeは、日本語でも使うホールケーキの「ホール」として使われる。全体からカットされたケーキではなく、全体のままのケーキをホールケーキと呼ぶ。
&lt;div class="sample_image 2026_343"&gt;&lt;/div&gt;&lt;/span&gt;</t>
    <phoneticPr fontId="1"/>
  </si>
  <si>
    <t>&lt;span class="w"&gt;&lt;b&gt;【348.by all means：①ぜひとも, ②（返事として）ぜひどうぞ】&lt;/b&gt;&lt;/span&gt;
&lt;span class="ml"&gt;&lt;span class="explanation_tag"&gt;イメージ&lt;/span&gt;
［by all means］は直訳すると、全ての（all）手段（means）によってでも（by）となる。つまり、何がなんでも突き進むことを表して、「ぜひとも」という意味になる。
&lt;span class="spacer"&gt;&lt;/span&gt;また、相手が許可を求めるような質問したときに［by all means］を使えば、「あらゆる手段を使ってでもそれをしてください」＝「ぜひそうしてください, ぜひどうぞ」という意味になる。
&lt;div class="sample_image 2026_348"&gt;&lt;/div&gt;&lt;/span&gt;</t>
    <phoneticPr fontId="1"/>
  </si>
  <si>
    <t>&lt;span class="w"&gt;&lt;b&gt;【353.for the present：今のところは, 当面の間は】&lt;/b&gt;&lt;/span&gt;
&lt;span class="ml"&gt;&lt;span class="explanation_tag"&gt;語源&lt;/span&gt;
presentは、ラテン語prae（前に）と、esse（存在する）が合わさってできた語。いま目の前に存在するということから、時間に関して「現在, 今この瞬間」という意味になった。
&lt;span class="spacer"&gt;&lt;/span&gt;&lt;span class="explanation_tag"&gt;イメージ&lt;/span&gt;
［for the present］は直訳すると、現在（the present）の間は（for）となる。今この瞬間を含む一定の期間を表して、今後変わるかもしれないが「今のところは, 当面の間は」という意味になる。
&lt;div class="sample_image 2026_353"&gt;&lt;/div&gt;&lt;/span&gt;</t>
    <phoneticPr fontId="1"/>
  </si>
  <si>
    <t>&lt;span class="w"&gt;&lt;b&gt;【354.for the time being：今のところは, 当面の間は】&lt;/b&gt;&lt;/span&gt;
&lt;span class="ml"&gt;［for the time being］は、forとthe time beingに分けて考える。
&lt;span class="spacer"&gt;&lt;/span&gt;［the time being］は、特定の時間を表すthe timeを、beの現在分詞beingが修飾することで、「いまこの瞬間に流れている時間」＝「現在」を意味する。
&lt;span class="spacer"&gt;&lt;/span&gt;これに期間を表すforが付くことで、いま現在を含む一定の期間を表して、今後変わるかもしれないが「今のところは, 当面の間は」という意味になる。
&lt;div class="sample_image 2026_354"&gt;&lt;/div&gt;&lt;/span&gt;</t>
    <phoneticPr fontId="1"/>
  </si>
  <si>
    <t>&lt;span class="w"&gt;&lt;b&gt;【357.for all ~：〜にもかかわらず】&lt;/b&gt;&lt;/span&gt;
&lt;span class="ml"&gt;&lt;span class="explanation_tag"&gt;イメージ&lt;/span&gt;
［for all A］は直訳すると、全てのA（all A）の割には（for）や、全てのAに対して（for）といった感じになる。つまり、「Aという存在を丸ごと前提として受け入れたとしても…」というニュアンスになり、そこから「Aにもかかわらず」という意味になる。
&lt;span class="spacer"&gt;&lt;/span&gt;&lt;span class="explanation_tag"&gt;関連語&lt;/span&gt;
［with all A］は直訳すると、全てのA（all A）を持っていても（with）という感じになる。つまり、「Aという存在を丸ごと持っているのに…」というニュアンスになり、そこから「Aにもかかわらず」という意味になる。
&lt;div class="sample_image 2026_357"&gt;&lt;/div&gt;&lt;/span&gt;</t>
    <phoneticPr fontId="1"/>
  </si>
  <si>
    <t>&lt;span class="w"&gt;&lt;b&gt;【358.with all ~：〜にもかかわらず】&lt;/b&gt;&lt;/span&gt;
&lt;span class="ml"&gt;&lt;span class="explanation_tag"&gt;イメージ&lt;/span&gt;
［with all A］は直訳すると、全てのA（all A）を持っていても（with）という感じになる。つまり、「Aという存在を丸ごと持っているのに…」というニュアンスになり、そこから「Aにもかかわらず」という意味になる。
&lt;span class="spacer"&gt;&lt;/span&gt;&lt;span class="explanation_tag"&gt;関連語&lt;/span&gt;
［for all A］は直訳すると、全てのA（all A）の割には（for）や、全てのAに対して（for）といった感じになる。つまり、「Aという存在を丸ごと前提として受け入れたとしても…」というニュアンスになり、そこから「Aにもかかわらず」という意味になる。
&lt;div class="sample_image 2026_358"&gt;&lt;/div&gt;&lt;/span&gt;</t>
    <phoneticPr fontId="1"/>
  </si>
  <si>
    <t>&lt;span class="w"&gt;&lt;b&gt;【359.as for ~：〜について言えば, 〜に関する限りでは】&lt;/b&gt;&lt;/span&gt;
&lt;span class="ml"&gt;&lt;span class="explanation_tag"&gt;語源&lt;/span&gt;
asは、古英語eal（all）と、swa（so）が合わさってできた語にさかのぼる。もともとは「まったくそのように, 完全に同様に」という意味だった。&lt;span class="obsolete"&gt;だからas ~ asは「同じくらい」という意味になる。&lt;/span&gt;
&lt;span class="spacer"&gt;&lt;/span&gt;つまり、asの核には「一致」というイメージがある。
&lt;span class="spacer"&gt;&lt;/span&gt;&lt;span class="explanation_tag"&gt;イメージ&lt;/span&gt;
［as for A］は、for（〜について言えば）が提示する&lt;strong&gt;話題Aに話の方向性を一致させる&lt;/strong&gt;（as）イメージ。そこから、他の話題ではなく「Aについて言えば」という意味になる。
&lt;span class="spacer"&gt;&lt;/span&gt;&lt;span class="explanation_tag"&gt;例&lt;/span&gt;
［〜. As for me, ….］
「〜」という話題から
&lt;span class="arrow"&gt;→&lt;/span&gt;話の方向性がmeに一致（as）
&lt;span class="arrow"&gt;→&lt;/span&gt;As for me＝私&lt;strong&gt;について言えば&lt;/strong&gt;
&lt;span class="spacer"&gt;&lt;/span&gt;&lt;span class="explanation_tag"&gt;関連語&lt;/span&gt;
［as to A］は、&lt;strong&gt;話の焦点をAに向けて&lt;/strong&gt;（to A）完全に一致させる（as）イメージ。そこから、「Aに関しては」という意味になる。
&lt;div class="sample_image 2026_359"&gt;&lt;/div&gt;&lt;/span&gt;</t>
    <phoneticPr fontId="1"/>
  </si>
  <si>
    <t>&lt;span class="w"&gt;&lt;b&gt;【360.as to ~：〜に関して】&lt;/b&gt;&lt;/span&gt;
&lt;span class="ml"&gt;&lt;span class="explanation_tag"&gt;語源&lt;/span&gt;
asは、古英語eal（all）と、swa（so）が合わさってできた語にさかのぼる。もともとは「まったくそのように, 完全に同様に」という意味だった。
&lt;span class="obsolete"&gt;だからas ~ asは「同じくらい」という意味になる。&lt;/span&gt;
&lt;span class="spacer"&gt;&lt;/span&gt;つまり、asの核には「一致」というイメージがある。
&lt;span class="spacer"&gt;&lt;/span&gt;&lt;span class="explanation_tag"&gt;イメージ&lt;/span&gt;
［as to A］は、&lt;strong&gt;話の焦点をAに向けて&lt;/strong&gt;（to A）完全に一致させる（as）イメージ。そこから、「Aに関しては」という意味になる。
&lt;span class="spacer"&gt;&lt;/span&gt;&lt;span class="explanation_tag"&gt;例&lt;/span&gt;
I have a question &lt;strong&gt;as to&lt;/strong&gt; how we should proceed.
&lt;span class="spacer"&gt;&lt;/span&gt;［I have a question］
&lt;span class="arrow"&gt;→&lt;/span&gt;疑問の焦点をtoで向ける
&lt;span class="arrow"&gt;→&lt;/span&gt;to［how we should proceed］
&lt;span class="arrow"&gt;→&lt;/span&gt;疑問の中心がこれに一致される（as）
&lt;span class="arrow"&gt;→&lt;/span&gt;疑問＝どのように進めるべきか&lt;strong&gt;について&lt;/strong&gt;
&lt;span class="spacer"&gt;&lt;/span&gt;&lt;span class="explanation_tag"&gt;関連語&lt;/span&gt;
［as for A］は、for（〜について言えば）が提示する&lt;strong&gt;話題Aに話の方向性を一致させる&lt;/strong&gt;（as）イメージ。そこから、他の話題ではなく「Aについて言えば」という意味になる。
&lt;div class="sample_image 2026_360"&gt;&lt;/div&gt;&lt;/span&gt;</t>
    <phoneticPr fontId="1"/>
  </si>
  <si>
    <t>&lt;span class="w"&gt;&lt;b&gt;【363.be dependent on / upon ~：〜に依存している】&lt;/b&gt;&lt;/span&gt;
&lt;span class="ml"&gt;&lt;span class="explanation_tag"&gt;語源&lt;/span&gt;
dependentは、動詞dependの形容詞として考えればよい。
&lt;span class="spacer"&gt;&lt;/span&gt;dependは、ラテン語de（下に）と、pendere（吊るす）が合わさってできた語。何かにぶら下がっている状態から、ぶら下がっている対象に「依存する」という意味になる。
&lt;span class="spacer"&gt;&lt;/span&gt;&lt;span class="explanation_tag"&gt;イメージ&lt;/span&gt;
［be dependent on A］は、Aにくっついて（on A）ぶら下がっている状態（be dependent）を表して、「Aに依存している」という意味になる。
&lt;div class="sample_image 2026_363"&gt;&lt;/div&gt;&lt;/span&gt;</t>
    <phoneticPr fontId="1"/>
  </si>
  <si>
    <t>&lt;span class="w"&gt;&lt;b&gt;【364.be independent of ~ ：〜から独立している】&lt;/b&gt;&lt;/span&gt;
&lt;span class="ml"&gt;&lt;span class="explanation_tag"&gt;イメージ&lt;/span&gt;
independentは、in（否定）と、dependent（依存している）が合わさってできた語。「依存している」の反対なので「独立している」という意味になる。
&lt;span class="spacer"&gt;&lt;/span&gt;be dependentは、接触を表すonを使う。それに対してbe independentは、&lt;strong&gt;分離を表すof&lt;/strong&gt;を使う。
&lt;div class="sample_image 2026_364"&gt;&lt;/div&gt;&lt;/span&gt;</t>
    <phoneticPr fontId="1"/>
  </si>
  <si>
    <t>&lt;span class="w"&gt;&lt;b&gt;【365.in order：整頓されて, 順調で】&lt;/b&gt;&lt;/span&gt;
&lt;span class="ml"&gt;&lt;span class="explanation_tag"&gt;語源&lt;/span&gt;
orderは、ラテン語ordo（列, 配置）に由来する。きちんと列になっている、配置通りになっているということから、「順序, 整列, 秩序」といった意味になる。
&lt;span class="spacer"&gt;&lt;/span&gt;&lt;span class="explanation_tag"&gt;イメージ&lt;/span&gt;
［in order］は、きちんと列になっていて乱れていない状態というイメージ。そこから「整頓されて, 順調で」という意味になる。
&lt;span class="spacer"&gt;&lt;/span&gt;&lt;span class="explanation_tag"&gt;関連語&lt;/span&gt;
［out of order］は、列や順序から外れていて乱れている状態や、秩序通りではなく狂った状態というイメージ。そこから「故障して, 順序が狂って」という意味になる。
&lt;div class="sample_image 2026_365"&gt;&lt;/div&gt;&lt;/span&gt;</t>
    <phoneticPr fontId="1"/>
  </si>
  <si>
    <t>&lt;span class="w"&gt;&lt;b&gt;【366.out of order：故障して, 順序が狂って】&lt;/b&gt;&lt;/span&gt;
&lt;span class="ml"&gt;&lt;span class="explanation_tag"&gt;語源&lt;/span&gt;
orderは、ラテン語ordo（列, 配置）に由来する。きちんと列になっている、配置通りになっているということから、「順序, 整列, 秩序」といった意味になる。
&lt;span class="spacer"&gt;&lt;/span&gt;&lt;span class="explanation_tag"&gt;イメージ&lt;/span&gt;
［out of order］は、列や順序から外れていて乱れている状態や、秩序通りではなく狂った状態というイメージ。そこから「故障して, 順序が狂って」という意味になる。
&lt;span class="spacer"&gt;&lt;/span&gt;&lt;span class="explanation_tag"&gt;関連語&lt;/span&gt;
［in order］は、きちんと列になっていて乱れていない状態というイメージ。そこから「整頓されて, 順調で」という意味になる。
&lt;div class="sample_image 2026_366"&gt;&lt;/div&gt;&lt;/span&gt;</t>
    <phoneticPr fontId="1"/>
  </si>
  <si>
    <t>&lt;span class="w"&gt;&lt;b&gt;【367.look down on / upon ~：〜を見下す】&lt;/b&gt;&lt;/span&gt;
&lt;span class="ml"&gt;&lt;span class="explanation_tag"&gt;イメージ&lt;/span&gt;
［look down on A］は、視線を下に向けて（look down）Aに押し付ける（on A）イメージ。そこから「Aを見下す」という意味になる。
&lt;span class="spacer"&gt;&lt;/span&gt;&lt;span class="explanation_tag"&gt;関連語&lt;/span&gt;
［look up to A］は、視線を上に向けて（look up）Aの方に伸ばす（to A）イメージ。相手を上の存在とみることから、「Aを尊敬する」という意味になる。
&lt;div class="sample_image 2026_367"&gt;&lt;/div&gt;&lt;/span&gt;</t>
    <phoneticPr fontId="1"/>
  </si>
  <si>
    <t>&lt;span class="w"&gt;&lt;b&gt;【368.look up to ~：～を尊敬する】&lt;/b&gt;&lt;/span&gt;
&lt;span class="ml"&gt;&lt;span class="explanation_tag"&gt;イメージ&lt;/span&gt;
［look up to A］は、視線を上に向けて（look up）Aの方に伸ばす（to A）イメージ。相手を上の存在とみることから、「Aを尊敬する」という意味になる。
&lt;span class="spacer"&gt;&lt;/span&gt;&lt;span class="explanation_tag"&gt;関連語&lt;/span&gt;
［look down on A］は、視線を下に向けて（look down）Aに押し付ける（on A）イメージ。そこから「Aを見下す」という意味になる。
&lt;div class="sample_image 2026_368"&gt;&lt;/div&gt;&lt;/span&gt;</t>
    <phoneticPr fontId="1"/>
  </si>
  <si>
    <t>&lt;span class="w"&gt;&lt;b&gt;【371.in / within sight：視界に入って, 見えて】&lt;/b&gt;&lt;/span&gt;
&lt;span class="ml"&gt;&lt;span class="explanation_tag"&gt;イメージ&lt;/span&gt;
sight（視界, 視力, 景色）は、seeにth（名詞化）が付いてできたもの。
&lt;span class="spacer"&gt;&lt;/span&gt;［in / within sight］は直訳すると、視界（sight）の中に（in / within）となる。そこから、「視界に入って, 見えて」という意味になる。
&lt;span class="spacer"&gt;&lt;/span&gt;&lt;span class="explanation_tag"&gt;関連語&lt;/span&gt;
［out of sight］は直訳すると、視界（sight）の外（out of）となる。そこから、「視界から消えて」という意味になる。
&lt;div class="sample_image 2026_371"&gt;&lt;/div&gt;&lt;/span&gt;</t>
    <phoneticPr fontId="1"/>
  </si>
  <si>
    <t>&lt;span class="w"&gt;&lt;b&gt;【372.out of sight：視界から消えて, 見えなくて】&lt;/b&gt;&lt;/span&gt;
&lt;span class="ml"&gt;&lt;span class="explanation_tag"&gt;イメージ&lt;/span&gt;
sight（視界, 視力, 景色）は、seeにth（名詞化）が付いてできたもの。
&lt;span class="spacer"&gt;&lt;/span&gt;［out of sight］は直訳すると、視界（sight）の外（out of）となる。そこから、「視界から消えて」という意味になる。
&lt;span class="spacer"&gt;&lt;/span&gt;&lt;span class="explanation_tag"&gt;関連語&lt;/span&gt;
［in / within sight］は直訳すると、視界（sight）の中に（in / within）となる。そこから、「視界に入って, 見えて」という意味になる。
&lt;div class="sample_image 2026_372"&gt;&lt;/div&gt;&lt;/span&gt;</t>
    <phoneticPr fontId="1"/>
  </si>
  <si>
    <t>&lt;span class="w"&gt;&lt;b&gt;【375.act on / upon ~：①〜に取り組む, 〜に作用する, ②〜に従って行動する】&lt;/b&gt;&lt;/span&gt;
&lt;span class="ml"&gt;&lt;span class="explanation_tag"&gt;イメージ&lt;/span&gt;
［act on A］は、［on A］の2つのイメージで覚える。
&lt;span class="spacer"&gt;&lt;/span&gt;&lt;span class="explanation_tag"&gt;①on A：Aに対して&lt;/span&gt;
行動や効果（act）がAの上にピタッとくっつくイメージから、「Aに取り組む, Aに作用する」という意味になる。
&lt;span class="spacer"&gt;&lt;/span&gt;&lt;span class="explanation_tag"&gt;②on A：Aに基づいて&lt;/span&gt;
Aという土台の上に乗って行動するイメージから、「Aに従って行動する」という意味になる。
&lt;div class="sample_image 2026_375"&gt;&lt;/div&gt;&lt;/span&gt;</t>
    <phoneticPr fontId="1"/>
  </si>
  <si>
    <t>&lt;span class="w"&gt;&lt;b&gt;【376.break in (~)：①押し入る, 口を挟む, ②〜を慣らす】&lt;/b&gt;&lt;/span&gt;
&lt;span class="ml"&gt;&lt;span class="explanation_tag"&gt;①のイメージ&lt;/span&gt;
［break in］は、物や状況を壊して（break）中に入る（in）ことから、「押し入る, 口を挟む」という意味になる。
&lt;span class="spacer"&gt;&lt;/span&gt;&lt;span class="explanation_tag"&gt;②のイメージ&lt;/span&gt;
「break in A」は、新品の物や自分に馴染んでいない物・相手の、いわば硬い状態を壊わして、その中に入るイメージから、「〜を慣らす」という意味になる。
&lt;span class="spacer"&gt;&lt;/span&gt;&lt;span class="explanation_tag"&gt;補足&lt;/span&gt;
②は、break ~ inの語順にもなる。
&lt;div class="sample_image 2026_376"&gt;&lt;/div&gt;&lt;/span&gt;</t>
    <phoneticPr fontId="1"/>
  </si>
  <si>
    <t>&lt;span class="w"&gt;&lt;b&gt;【377.break out：①（火事・戦争などが）起こる, ②（汗・吹き出ものなどが）出る, ③（〜doing）急に〜しだす】&lt;/b&gt;&lt;/span&gt;
&lt;span class="ml"&gt;&lt;span class="explanation_tag"&gt;イメージ&lt;/span&gt;
［break out］は、何もない状態を壊して（break）外へ出る（out）イメージ。
&lt;span class="spacer"&gt;&lt;/span&gt;①平常な状態を壊して、火事や戦争などが「起こる」
&lt;span class="spacer"&gt;&lt;/span&gt;②奥にあった汗や吹き出ものなどが「出る」
&lt;span class="spacer"&gt;&lt;/span&gt;③［break out doing］で、何もしていなかった状態を壊して「急に〜しだす」
&lt;div class="sample_image 2026_377"&gt;&lt;/div&gt;&lt;/span&gt;</t>
    <phoneticPr fontId="1"/>
  </si>
  <si>
    <t>&lt;span class="w"&gt;&lt;b&gt;【378.break up (~)：①バラバラになる, 〜をバラバラにする, ②別れる, ③終わる, 〜を終わらせる】&lt;/b&gt;&lt;/span&gt;
&lt;span class="ml"&gt;&lt;span class="explanation_tag"&gt;イメージ&lt;/span&gt;
［break up (A)］は、完全に（up）壊す（break）というイメージ。
&lt;span class="spacer"&gt;&lt;/span&gt;①固まっているもの・集まっているものが完全に壊れることから、「バラバラになる, Aをバラバラにする」
&lt;span class="spacer"&gt;&lt;/span&gt;②人間関係が完全に壊れることから、「別れる」
&lt;span class="spacer"&gt;&lt;/span&gt;③続いている状況や状態が完全に壊れることから、「終わる, Aを終わらせる」
&lt;span class="spacer"&gt;&lt;/span&gt;&lt;span class="explanation_tag"&gt;補足&lt;/span&gt;
break ~ upの語順にもなる。
&lt;div class="sample_image 2026_378"&gt;&lt;/div&gt;&lt;/span&gt;</t>
    <phoneticPr fontId="1"/>
  </si>
  <si>
    <t>&lt;span class="w"&gt;&lt;b&gt;【379.call for ~：①〜を求める, ②人を誘いに行く, 物を取りに行く】&lt;/b&gt;&lt;/span&gt;
&lt;span class="ml"&gt;&lt;span class="explanation_tag"&gt;語源&lt;/span&gt;
①callは、13世紀半ばには「呼ぶ」だけではなく、声を出して「求める」という意味でも使われた。
&lt;span class="spacer"&gt;&lt;/span&gt;②また中英語期（1100-1500年）には、玄関に立って中にいる住人を呼ぶという行為から発展して、「訪問する」という意味でも使われた。
&lt;span class="spacer"&gt;&lt;/span&gt;&lt;span class="explanation_tag"&gt;イメージ&lt;/span&gt;
語源①の通り、「求める」という意味がある。forを使って求める対象を示すことで、［call for A］は、「〜を求める」となる。
&lt;span class="spacer"&gt;&lt;/span&gt;語源②の通り、callには、誰かのもとへ訪問するという意味があった。そこから、人や物を求めて行くことへとつながり、［call for A］は、「人を誘いに行く」「物を取りに行く」となる。
&lt;div class="sample_image 2026_379"&gt;&lt;/div&gt;&lt;/span&gt;</t>
    <phoneticPr fontId="1"/>
  </si>
  <si>
    <t>&lt;span class="w"&gt;&lt;b&gt;【380.call on / upon ~：①〜を訪問する, ②〈人〉に要求する】&lt;/b&gt;&lt;/span&gt;
&lt;span class="ml"&gt;&lt;span class="explanation_tag"&gt;語源&lt;/span&gt;
①callは、中英語期（1100-1500年）には、玄関に立って中にいる住人を呼ぶという行為から発展して、「訪問する」という意味でも使われた。
&lt;span class="spacer"&gt;&lt;/span&gt;②また13世紀半ばには「呼ぶ」だけではなく、声を出して「求める」という意味でも使われた。
&lt;span class="spacer"&gt;&lt;/span&gt;&lt;span class="explanation_tag"&gt;イメージ&lt;/span&gt;
①の語源の通り、「訪問する」という意味になる。接触を表すonを使って訪問相手を示すことで、［call on A］は、「Aを訪問する」となる。
&lt;span class="spacer"&gt;&lt;/span&gt;②の語源の通り、「求める」という意味になる。接触のonを使って求める相手を示すことで、［call on A］は、「Aに求める」となる。
&lt;span class="spacer"&gt;&lt;/span&gt;［call on 人 for X］なら「人にXを求める」
［call on 人 to do］なら「人に〜することを求める」
&lt;div class="sample_image 2026_380"&gt;&lt;/div&gt;&lt;/span&gt;</t>
    <phoneticPr fontId="1"/>
  </si>
  <si>
    <t>&lt;span class="w"&gt;&lt;b&gt;【381.come across (~)：①〜を偶然見つける, 〜に偶然出会う, ②（考えや意味が相手に）伝わる】&lt;/b&gt;&lt;/span&gt;
&lt;span class="ml"&gt;&lt;span class="explanation_tag"&gt;①のイメージ&lt;/span&gt;
［come across A］は、十字の道を進んでいたら、真ん中でバッタリ出会うイメージ。そこから「Aに偶然出会う, Aを偶然見つける」という思いがけない、人や物との出会いを意味する。
&lt;span class="spacer"&gt;&lt;/span&gt;&lt;span class="explanation_tag"&gt;②の語源&lt;/span&gt;
［come across］で、意味や考えが相手に「伝わる」となるのは、おそらく19世紀のget ~ across the footlightsという演劇用語に由来する。
&lt;span class="spacer"&gt;&lt;/span&gt;この表現は、演劇の舞台上から、足元のライトの向こう側にいる観客に伝わるように演じる、という意味で使われた。つまり、舞台と客席を隔てる空間を横切って、相手に届ける＝伝えることを表した。
&lt;span class="spacer"&gt;&lt;/span&gt;この演劇用語で考えると、come acrossは、超えて来るという客目線になる。つまり［come across］は、受け手目線で「伝わる」という感じになる。
&lt;div class="sample_image 2026_381"&gt;&lt;/div&gt;&lt;/span&gt;</t>
    <phoneticPr fontId="1"/>
  </si>
  <si>
    <t>&lt;span class="w"&gt;&lt;b&gt;【382.come to (~)：①〜に達する, 〜に来る, ②〜するようになる, ③意識を取り戻す】&lt;/b&gt;&lt;/span&gt;
&lt;span class="ml"&gt;&lt;span class="explanation_tag"&gt;イメージ&lt;/span&gt;
［come to A］の核は、Aというゴールに来ること。
&lt;span class="spacer"&gt;&lt;/span&gt;①物理的な移動で「Aに来る」という基本的な意味から、比喩的に、ある結論や結果というゴール「に達する」や、数字の合計で「Aに達する」という意味になる。
&lt;span class="spacer"&gt;&lt;/span&gt;②［come to do］で、何かをするというゴールに達することから、「〜するようになる」という意味になる。
&lt;span class="spacer"&gt;&lt;/span&gt;③どこかへ行ってしまっていた意識が現実に戻ってくることから、「意識を取り戻す」という意味になる。
&lt;div class="sample_image 2026_382"&gt;&lt;/div&gt;&lt;/span&gt;</t>
    <phoneticPr fontId="1"/>
  </si>
  <si>
    <t>&lt;span class="w"&gt;&lt;b&gt;【383.give out (~)：①〜を配る, ②尽きる】&lt;/b&gt;&lt;/span&gt;
&lt;span class="ml"&gt;&lt;span class="explanation_tag"&gt;イメージ&lt;/span&gt;
［give out］の核は、外に手放すこと。
&lt;span class="spacer"&gt;&lt;/span&gt;①［give out A］は、Aを自分のもとから外へ手放すことから、「Aを配る」という意味になる。
&lt;span class="spacer"&gt;&lt;/span&gt;②［give out］は、全てを外へ手放して空っぽにすることから、「尽きる」という意味になる。
&lt;span class="spacer"&gt;&lt;/span&gt;&lt;span class="explanation_tag"&gt;補足&lt;/span&gt;
①は、give ~ outの語順にもなる。
&lt;div class="sample_image 2026_383"&gt;&lt;/div&gt;&lt;/span&gt;</t>
    <phoneticPr fontId="1"/>
  </si>
  <si>
    <t>&lt;span class="w"&gt;&lt;b&gt;【384.go by (~)：①（時などが）経つ, 通りすぎる, ②〜に従って行動する, ③〜という名前で通る】&lt;/b&gt;&lt;/span&gt;
&lt;span class="ml"&gt;&lt;span class="explanation_tag"&gt;イメージ&lt;/span&gt;
①［go by］は、自分のすぐそば（by）を行く（go）ことから、何かが「通りすぎる」や、時間が「経つ」という意味になる。
&lt;span class="spacer"&gt;&lt;/span&gt;②［go by A］は、Aによって（by A）進んで行く（go）ことから、行動や判断の指針となる＝「Aに従って行動する」という意味になる。
&lt;span class="spacer"&gt;&lt;/span&gt;③［go by 名前］は、ある〈名前〉によって人々に知られて進んで行くことから、「〜という名前で通る」という意味になる。
&lt;div class="sample_image 2026_384"&gt;&lt;/div&gt;&lt;/span&gt;</t>
    <phoneticPr fontId="1"/>
  </si>
  <si>
    <t>&lt;span class="w"&gt;&lt;b&gt;【385.go off：①去る, ②（灯りなどが）消える, ③（仕掛けが）作動する, （爆弾が）爆発する, （銃が）発射される】&lt;/b&gt;&lt;/span&gt;
&lt;span class="ml"&gt;&lt;span class="explanation_tag"&gt;イメージ&lt;/span&gt;
［go off］の核は、手元やある場所を離れ（off）、そのまま進んで行く（go）こと。
&lt;span class="spacer"&gt;&lt;/span&gt;①ある場所から離れて（off）進んで行くことから、「去る」という意味になる。
&lt;span class="spacer"&gt;&lt;/span&gt;②スイッチなどがonの状態から、切り離されたoffの状態に行くことから、灯りなどが「消える」という意味になる。
&lt;span class="spacer"&gt;&lt;/span&gt;③ストッパーや設定などで止められていた状態から切り離されて（off）進行して行く（go）ことから、仕掛けが「作動する」、爆弾が「爆発する」、銃がなど「発射される」といった意味になる。
&lt;div class="sample_image 2026_385"&gt;&lt;/div&gt;&lt;/span&gt;</t>
    <phoneticPr fontId="1"/>
  </si>
  <si>
    <t>&lt;span class="w"&gt;&lt;b&gt;【386.go on (~)：①続く, ②（be going onで）起こっている, ③（旅などに）出かける】&lt;/b&gt;&lt;/span&gt;
&lt;span class="ml"&gt;&lt;span class="explanation_tag"&gt;onのイメージ&lt;/span&gt;
onは次のような流れで考える。
基本の「接触」&lt;span class="arrow"&gt;→&lt;/span&gt;くっついて離れない「継続」と、今まさにくっついている「進行中」
&lt;span class="spacer"&gt;&lt;/span&gt;&lt;span class="explanation_tag"&gt;イメージ&lt;/span&gt;①のイメージ：on「継続」&lt;/span&gt;
そのまま進み（go）続ける（on）ことから、何かが「続く」という意味になる。
&lt;span class="spacer"&gt;&lt;/span&gt;&lt;span class="explanation_tag"&gt;②のイメージ：on「進行中」&lt;/span&gt;
［be going on］は、進行形になることで「今まさに進行の真っ最中」となり、何かが「起こっている」という意味になる。
&lt;span class="spacer"&gt;&lt;/span&gt;What's going on?
何が起こっているんだ？
&lt;span class="spacer"&gt;&lt;/span&gt;&lt;span class="explanation_tag"&gt;③のイメージ：on「接触」&lt;/span&gt;
旅行などの活動スケジュールの流れに乗って行くことから、旅などに「出かける」という意味になる。
&lt;div class="sample_image 2026_386"&gt;&lt;/div&gt;&lt;/span&gt;</t>
    <phoneticPr fontId="1"/>
  </si>
  <si>
    <t>&lt;span class="w"&gt;&lt;b&gt;【387.go out：①出かける, ②（灯りなどが）消える, 気絶する, 死ぬ】&lt;/b&gt;&lt;/span&gt;
&lt;span class="ml"&gt;&lt;span class="explanation_tag"&gt;イメージ&lt;/span&gt;
［go out］の核は、外に行くこと。
&lt;span class="spacer"&gt;&lt;/span&gt;①は、外に（out）行く（go）ことから、「出かける」という意味になる。
&lt;span class="spacer"&gt;&lt;/span&gt;②は、人の移動ではなく、何かがどこかへ行ってしまうことを表しているにすぎない。
&lt;span class="spacer"&gt;&lt;/span&gt;灯りなどがどこかへ行けば「消える」、人の意識がどこかへ行けば「気絶する」、命や魂がどこかへ行けば「死ぬ」といった意味になる。
&lt;div class="sample_image 2026_387"&gt;&lt;/div&gt;&lt;/span&gt;</t>
    <phoneticPr fontId="1"/>
  </si>
  <si>
    <t>&lt;span class="w"&gt;&lt;b&gt;【388.go over ~：①〜に詳細に目を通す, ②〜を復習する, 〜を繰り返す】&lt;/b&gt;&lt;/span&gt;
&lt;span class="ml"&gt;&lt;span class="explanation_tag"&gt;イメージ&lt;/span&gt;
［go over A］の核は、対象であるA全体の端から端まで、視線・意識・思考などを行かせること。
&lt;span class="spacer"&gt;&lt;/span&gt;①まだ全体をじっくり見ていない物が対象であれば、「Aに詳細に目を通す」という意味になる。
&lt;span class="spacer"&gt;&lt;/span&gt;②既に全体を見たものが対象であれば、「復習する, 繰り返す」という意味になる。
&lt;div class="sample_image 2026_388"&gt;&lt;/div&gt;&lt;/span&gt;</t>
    <phoneticPr fontId="1"/>
  </si>
  <si>
    <t>&lt;span class="w"&gt;&lt;b&gt;【390.hold out (~)：①（手などを）差し出す, 希望などを抱かせる, ②持ち堪える, 耐える】&lt;/b&gt;&lt;/span&gt;
&lt;span class="ml"&gt;&lt;span class="explanation_tag"&gt;①のイメージ&lt;/span&gt;
何かをつかむ（hold）ための手を外に出す（out）
何かをつかんで（hold）外に出す（out）
この2つのイメージから、［hold out A］は「Aを差し出す」という意味になる。
&lt;span class="spacer"&gt;&lt;/span&gt;&lt;span class="explanation_tag"&gt;補足&lt;/span&gt;
hold ~ outの語順にもなる。
&lt;span class="spacer"&gt;&lt;/span&gt;&lt;span class="explanation_tag"&gt;②のイメージ&lt;/span&gt;
外部のある状況において（out）、状態を維持する（hold）イメージから、人・集団が「持ち堪える, 耐える」や、物が尽きずに「持ち堪える」という意味になる。
&lt;div class="sample_image 2026_390"&gt;&lt;/div&gt;&lt;/span&gt;</t>
    <phoneticPr fontId="1"/>
  </si>
  <si>
    <t>&lt;span class="w"&gt;&lt;b&gt;【391.hold up (~)：①〜を持ち上げる, ②持ちこたえる, 耐える, ③〜を遅らせる, ④強盗に入る】&lt;/b&gt;&lt;/span&gt;
&lt;span class="ml"&gt;&lt;span class="explanation_tag"&gt;語源&lt;/span&gt;
12世紀後期
手などを上げる
&lt;span class="spacer"&gt;&lt;/span&gt;13世紀後期
倒れたり沈んだりしないように何かを支える
&lt;span class="spacer"&gt;&lt;/span&gt;1580年代までに
持ちこたえる, 耐える
&lt;span class="spacer"&gt;&lt;/span&gt;1590年代から
止まる, 中止する
&lt;span class="spacer"&gt;&lt;/span&gt;1837年までに
通行や進行を一時的に妨害する, 遅らせる
&lt;span class="spacer"&gt;&lt;/span&gt;1878年までに
強盗をする（強盗が手を上げろ！と命令することに由来）
&lt;span class="spacer"&gt;&lt;/span&gt;&lt;span class="explanation_tag"&gt;イメージ&lt;/span&gt;
［hold up (A)］の核は、上方向へ（up）保持する（hold）こと。ここから全ての意味が生まれている。
&lt;span class="spacer"&gt;&lt;/span&gt;①Aを上へあげて、その状態を保持することから、「Aを持ち上げる」という意味になる。
&lt;span class="spacer"&gt;&lt;/span&gt;②上方向を保持して、下に&lt;strong&gt;崩れ落ちないようにする&lt;/strong&gt;ことから、「持ちこたえる, 耐える」という意味になる。
&lt;span class="spacer"&gt;&lt;/span&gt;③手をあげて制止することや、前に進んで行くAを持ち上げて進行できないようにするイメージから、「Aを遅らせる」という意味になる。
&lt;span class="spacer"&gt;&lt;/span&gt;④強盗が「手を上げろ」と命令したことから、「強盗に入る」という意味になる。
&lt;span class="spacer"&gt;&lt;/span&gt;&lt;span class="explanation_tag"&gt;補足&lt;/span&gt;
hold ~ upの語順にもなる。
&lt;div class="sample_image 2026_391"&gt;&lt;/div&gt;&lt;/span&gt;</t>
    <phoneticPr fontId="1"/>
  </si>
  <si>
    <t>&lt;span class="w"&gt;&lt;b&gt;【392.live on (~)：①〜を常食とする, ②（〜の収入）で生活する, ③生き続ける】&lt;/b&gt;&lt;/span&gt;
&lt;span class="ml"&gt;&lt;span class="explanation_tag"&gt;イメージ&lt;/span&gt;
①と②のonは「&lt;strong&gt;〜の上で&lt;/strong&gt;」という土台を表す。
&lt;span class="spacer"&gt;&lt;/span&gt;③のonは「継続」を表す。onの基本は接触だが、ずっと触れたままというイメージから「&lt;strong&gt;継続&lt;/strong&gt;」になる。
&lt;span class="spacer"&gt;&lt;/span&gt;①［live on 食べ物］で、ある〈食べ物〉を土台にして（on）生きる（live）ことから、「Aを常食とする」という意味になる。
&lt;span class="spacer"&gt;&lt;/span&gt;②［live on お金］で、何らかの〈お金〉を土台にして（on）生きる（live）ことから、「（〜の収入）で生活する」という意味になる。
&lt;span class="spacer"&gt;&lt;/span&gt;③生きる（live）ことがずっと続く（on）ことから、「生き続ける」という意味になる。
&lt;div class="sample_image 2026_392"&gt;&lt;/div&gt;&lt;/span&gt;</t>
    <phoneticPr fontId="1"/>
  </si>
  <si>
    <t>&lt;span class="w"&gt;&lt;b&gt;【393.look to ~：①〜の方を見る, 〜に気をつける, ②〜を頼る】&lt;/b&gt;&lt;/span&gt;
&lt;span class="ml"&gt;&lt;span class="explanation_tag"&gt;イメージ&lt;/span&gt;
［look to A］は、Aの方向へ（to A）視線を向ける（look）ことが基本イメージ。
&lt;span class="spacer"&gt;&lt;/span&gt;①Aへ視線を送ることから「Aの方を見る」という意味になる。
これが状況的に意識や注意の視線を向ける場合であれば、「Aに気をつける」という意味になる。
&lt;span class="spacer"&gt;&lt;/span&gt;②助けが必要なときに、Aに対して視線を向けるイメージから、「Aを頼る」という意味になる。
&lt;div class="sample_image 2026_393"&gt;&lt;/div&gt;&lt;/span&gt;</t>
    <phoneticPr fontId="1"/>
  </si>
  <si>
    <t>&lt;span class="w"&gt;&lt;b&gt;【394.look up ~：①〜を調べる, ②〜を訪問する, ③（be looking upで）景気や状況が好転する, よくなる】&lt;/b&gt;&lt;/span&gt;
&lt;span class="ml"&gt;&lt;span class="explanation_tag"&gt;イメージ&lt;/span&gt;
①・②のupは「下から浮かび上がらせる」イメージ。
&lt;span class="spacer"&gt;&lt;/span&gt;③のupは「上方向」のイメージ。
&lt;span class="spacer"&gt;&lt;/span&gt;①［look up A］は、本・資料・ネットなどで、様々な情報の中からAを浮かび上がらせて（up）視線を向ける（look）ことから、「Aを調べる」という意味になる。
&lt;span class="spacer"&gt;&lt;/span&gt;②は、浮かび上がらせる対象が、①の情報から〈人〉に変わっただけ。たくさんの人の中から人物Aを浮かび上がらせ（up）、会って視線を向ける（look）ことから、「Aを訪問する」という意味になる。
&lt;span class="spacer"&gt;&lt;/span&gt;③［be looking up］は、落ち込んでいる景気や良くない状況が、今まさに上を向いていることを表して、「好転する, よくなる」という意味になる。
&lt;span class="spacer"&gt;&lt;/span&gt;下に落ち込んでいるグラフが上向きに伸び始めている、みんなが顔を下に向けるような状況で上を向き始めている様子をイメージすればよい。
&lt;span class="spacer"&gt;&lt;/span&gt;&lt;span class="explanation_tag"&gt;補足&lt;/span&gt;
①と②は、look ~ upの語順にもなる。
&lt;div class="sample_image 2026_394"&gt;&lt;/div&gt;&lt;/span&gt;</t>
    <phoneticPr fontId="1"/>
  </si>
  <si>
    <t>&lt;span class="w"&gt;&lt;b&gt;【395.put out ~：①（火・灯りなど）〜を消す, ②〜を出す, 〜を発表する】&lt;/b&gt;&lt;/span&gt;
&lt;span class="ml"&gt;&lt;span class="explanation_tag"&gt;語源&lt;/span&gt;
outは、基本となる「内から外へ」に加えて、①1400年頃から「燃えていない, 消えている, 光がない」、②1540年代から「公の目に触れる」という意味で使われた。
&lt;span class="spacer"&gt;&lt;/span&gt;①の「燃えていない」は、内側から外へ出て行って、消えてなくなることから。
&lt;span class="spacer"&gt;&lt;/span&gt;②の「公の目に触れる」は、内部のものが外の人々の前に出ることから。
&lt;span class="spacer"&gt;&lt;/span&gt;&lt;span class="explanation_tag"&gt;①のイメージ&lt;/span&gt;
火や灯りなど、Aを消えている状態（out）に置く（put）ことから、「Aを消す」という意味になる。
&lt;span class="spacer"&gt;&lt;/span&gt;&lt;span class="explanation_tag"&gt;②のイメージ&lt;/span&gt;
Aを内部から外へ（out）置いて（put）人々の目に触れさせることから、「Aを出す, Aを発表する」という意味になる。
&lt;span class="spacer"&gt;&lt;/span&gt;&lt;span class="explanation_tag"&gt;補足&lt;/span&gt;
put ~ outの語順にもなる。
&lt;div class="sample_image 2026_395"&gt;&lt;/div&gt;&lt;/span&gt;</t>
    <phoneticPr fontId="1"/>
  </si>
  <si>
    <t>&lt;span class="w"&gt;&lt;b&gt;【396.settle down：①定住する, 落ち着く, ②（to ~ / to do）腰を据えて〜を始める】&lt;/b&gt;&lt;/span&gt;
&lt;span class="ml"&gt;&lt;span class="explanation_tag"&gt;語源&lt;/span&gt;
settleは、古英語setl（座席）にさかのぼり、席に座ってどっしり構えるように「落ち着かせる」「定住する」「問題を解決する」などの意味になった。
&lt;span class="spacer"&gt;&lt;/span&gt;&lt;span class="explanation_tag"&gt;イメージ&lt;/span&gt;
①は語源の通り、下方向に降ろして（down）席に座る（settle）イメージから、安定した状態になる＝「落ち着く」や、ある場所に落ち着く＝「定住する」という意味になる。
&lt;span class="spacer"&gt;&lt;/span&gt;②［settle down to A / to do］は、しっかり腰を降ろして（settle down）、Aやto doに向き合うことから、「腰を据えてAを始める」「腰を据えて〜し始める」という意味になる。
&lt;div class="sample_image 2026_396"&gt;&lt;/div&gt;&lt;/span&gt;</t>
    <phoneticPr fontId="1"/>
  </si>
  <si>
    <t>&lt;span class="w"&gt;&lt;b&gt;【397.stand by：①傍観する, ②支持する】&lt;/b&gt;&lt;/span&gt;
&lt;span class="ml"&gt;&lt;span class="explanation_tag"&gt;イメージ&lt;/span&gt;
［stand by］は直訳すると、そばに（by）立つ（stand）となる。
&lt;span class="spacer"&gt;&lt;/span&gt;誰かのそばに立っていることから、①そばに立って見ている＝「傍観する」、②そばに立って支える＝「支持する」といった意味になる。
&lt;span class="spacer"&gt;&lt;/span&gt;日本語の待機を表すスタンバイも、stand by（待機する）からきている。
&lt;div class="sample_image 2026_397"&gt;&lt;/div&gt;&lt;/span&gt;</t>
    <phoneticPr fontId="1"/>
  </si>
  <si>
    <t>&lt;span class="w"&gt;&lt;b&gt;【398.stand for ~：①〜を意味する, 〜の略である, ②〜を支持する, ③（主に否定文・疑問文）〜に耐える】&lt;/b&gt;&lt;/span&gt;
&lt;span class="ml"&gt;&lt;span class="explanation_tag"&gt;イメージ&lt;/span&gt;
［stand for A］は、forの&lt;strong&gt;「〜代わりに」「〜のために」「〜に対して」&lt;/strong&gt;という意味をもとに覚える。
&lt;span class="spacer"&gt;&lt;/span&gt;①略語が元の単語の代わりに立つ、ある記号がある意味の代わりに立つとなれば、「Aを意味する, Aの略である」という意味になる。
US J：Universal Studio Japanの代わりに立つ。
赤信号：止まれという意味の代わりに立つ。
&lt;span class="spacer"&gt;&lt;/span&gt;②何かがAのために立つとなれば、「Aを支持する」という意味になる。
&lt;span class="spacer"&gt;&lt;/span&gt;③Aに対して立つ（立ち向かう）となれば、「Aに耐える」という意味になる。
&lt;div class="sample_image 2026_398"&gt;&lt;/div&gt;&lt;/span&gt;</t>
    <phoneticPr fontId="1"/>
  </si>
  <si>
    <t>&lt;span class="w"&gt;&lt;b&gt;【399.take in ~：①〜を取り入れる, ②〜を理解する, ③〜をだます, ④〜を見物する, 見る】&lt;/b&gt;&lt;/span&gt;
&lt;span class="ml"&gt;［take in A］の核は、Aを中に（in）取り込む（take）こと。
&lt;span class="spacer"&gt;&lt;/span&gt;&lt;span class="explanation_tag"&gt;イメージ&lt;/span&gt;
①直訳通り「Aを取り入れる」という意味になる。
&lt;span class="spacer"&gt;&lt;/span&gt;②Aを自分の頭の中に取り入れるイメージから、「Aを理解する」という意味になる。
&lt;span class="spacer"&gt;&lt;/span&gt;③Aを罠の中に取り入れるイメージから、「Aをだます」という意味になる。
&lt;span class="spacer"&gt;&lt;/span&gt;④Aを予定の中に取り入れることから、「Aを見物する」という意味になる。
&lt;span class="spacer"&gt;&lt;/span&gt;&lt;span class="explanation_tag"&gt;補足&lt;/span&gt;
take ~ inの語順にもなる。
&lt;div class="sample_image 2026_399"&gt;&lt;/div&gt;&lt;/span&gt;</t>
    <phoneticPr fontId="1"/>
  </si>
  <si>
    <t>&lt;span class="w"&gt;&lt;b&gt;【400.take on ~：①〜を引き受ける, ②〜を雇う, ③（性質や雰囲気）を帯びる】&lt;/b&gt;&lt;/span&gt;
&lt;span class="ml"&gt;［take on A］の核は、Aを自分の側に（on）受け取る（take）こと。
&lt;span class="spacer"&gt;&lt;/span&gt;&lt;span class="explanation_tag"&gt;イメージ&lt;/span&gt;
①Aを自分の側に受け取ることから、「Aを引き受ける」という意味になる。
&lt;span class="spacer"&gt;&lt;/span&gt;②〈人〉を受け入れることから、「Aを雇う」という意味になる。
&lt;span class="spacer"&gt;&lt;/span&gt;③〈主語〉が、Aを主語自体の表面に取るイメージから、「Aをを帯びる」という意味になる。
&lt;span class="spacer"&gt;&lt;/span&gt;&lt;span class="explanation_tag"&gt;補足&lt;/span&gt;
①と②は、take ~ onの語順にもなる。
&lt;div class="sample_image 2026_400"&gt;&lt;/div&gt;&lt;/span&gt;</t>
    <phoneticPr fontId="1"/>
  </si>
  <si>
    <t>&lt;span class="w"&gt;&lt;b&gt;【401.take to ~：①〜を好きになる, ②〜を習慣的に始める】&lt;/b&gt;&lt;/span&gt;
&lt;span class="ml"&gt;&lt;span class="explanation_tag"&gt;イメージ&lt;/span&gt;
［take to A］は、心がAの方に自然と向かって（to A）それをつかむイメージ。
&lt;span class="spacer"&gt;&lt;/span&gt;①心が自然とAの方に向かってそれをつかむ、自然とAに引き寄せられてしまうイメージから、「Aを好きになる」という意味になる。
&lt;span class="spacer"&gt;&lt;/span&gt;②心がある行動の方に自然と向かってそれをつかむ、自然とAという行動に引き寄せられてしまうイメージから、「Aを習慣的に始める」という意味になる。
&lt;span class="spacer"&gt;&lt;/span&gt;心が向かうという「好き」がある。そして好きが行動に向かえば「習慣的な行動」になる。
&lt;div class="sample_image 2026_401"&gt;&lt;/div&gt;&lt;/span&gt;</t>
    <phoneticPr fontId="1"/>
  </si>
  <si>
    <t>&lt;span class="w"&gt;&lt;b&gt;【402.take up ~：①〜を取り上げる, ②（時間・場所）を取る, ③（趣味・仕事を）〜を始める】&lt;/b&gt;&lt;/span&gt;
&lt;span class="ml"&gt;&lt;span class="explanation_tag"&gt;イメージ&lt;/span&gt;
［take up A］は直訳の通り、何かをつかみ上げるイメージ。
&lt;span class="spacer"&gt;&lt;/span&gt;①実際に物を「つかみ上げる」だけではなく、問題・話題などを「取り上げる」という意味になる。
&lt;span class="spacer"&gt;&lt;/span&gt;②時間や場所をつかみ上げることから、「（時間・場所）を取る」という意味になる。
&lt;span class="spacer"&gt;&lt;/span&gt;③趣味や仕事をつかみ上げるイメージから、「（趣味・仕事）を始める」という意味になる。
&lt;span class="spacer"&gt;&lt;/span&gt;&lt;span class="explanation_tag"&gt;補足&lt;/span&gt;
take ~ upの語順にもなる。
&lt;div class="sample_image 2026_402"&gt;&lt;/div&gt;&lt;/span&gt;</t>
    <phoneticPr fontId="1"/>
  </si>
  <si>
    <t>&lt;span class="w"&gt;&lt;b&gt;【403.turn down ~：①〜を却下する, ②（音量, 火力など）を小さくする】&lt;/b&gt;&lt;/span&gt;
&lt;span class="ml"&gt;&lt;span class="explanation_tag"&gt;①のイメージ&lt;/span&gt;
書類などを裏にひっくり返して（turn）下におく（down）イメージから、「Aを却下する」という意味になる。
&lt;span class="spacer"&gt;&lt;/span&gt;&lt;span class="explanation_tag"&gt;②のイメージ&lt;/span&gt;
ダイヤルを回して（turn）ボリュームを下げる（down）ことから、音量・火力などを「下げる」という意味になる。
&lt;span class="spacer"&gt;&lt;/span&gt;&lt;span class="explanation_tag"&gt;補足&lt;/span&gt;
turn ~ downの語順にもなる。
&lt;div class="sample_image 2026_403"&gt;&lt;/div&gt;&lt;/span&gt;</t>
    <phoneticPr fontId="1"/>
  </si>
  <si>
    <t>&lt;span class="w"&gt;&lt;b&gt;【404.turn in ~：①〜を提出する, ②（警察や窓口に）〜を引き渡す】&lt;/b&gt;&lt;/span&gt;
&lt;span class="ml"&gt;&lt;span class="explanation_tag"&gt;イメージ&lt;/span&gt;
［turn in A］は、自分側やこちら側にあるAを、向きを変えて（turn）他者側の中に（in）入れるイメージ。
&lt;span class="spacer"&gt;&lt;/span&gt;①自分の課題や書類などを、相手の方に向きを変え、相手側の中に入れることから、「Aを提出する」となる。
&lt;span class="spacer"&gt;&lt;/span&gt;②こちら側にある人や物を警察や窓口の方に向けて、その中に入れることから、「〜を引き渡す」という意味になる。
&lt;span class="spacer"&gt;&lt;/span&gt;&lt;span class="explanation_tag"&gt;補足&lt;/span&gt;
turn ~ inの語順にもなる。
&lt;div class="sample_image 2026_404"&gt;&lt;/div&gt;&lt;/span&gt;</t>
    <phoneticPr fontId="1"/>
  </si>
  <si>
    <t>&lt;span class="w"&gt;&lt;b&gt;【406.make out ~：①（canを伴って）〜を理解する, ②（canを伴って）〜を見分ける, ③（書類・小切手など）を作成する】&lt;/b&gt;&lt;/span&gt;
&lt;span class="ml"&gt;&lt;span class="explanation_tag"&gt;イメージ&lt;/span&gt;
①・②ぼんやりした状態から外に出して（out）はっきりと形作る（make）イメージから、「理解する」や「見分ける」という意味になる。
&lt;span class="spacer"&gt;&lt;/span&gt;③直訳通り、何かを作り出すことから「作成する」という意味になる。
&lt;div class="sample_image 2026_406"&gt;&lt;/div&gt;&lt;/span&gt;</t>
    <phoneticPr fontId="1"/>
  </si>
  <si>
    <t>&lt;span class="w"&gt;&lt;b&gt;【408.provide for ~：①〜を扶養する, ②〜に備える, ③（法律や条約が）〜を規定する】&lt;/b&gt;&lt;/span&gt;
&lt;span class="ml"&gt;&lt;span class="explanation_tag"&gt;語源&lt;/span&gt;
provideは、ラテン語pro（前もって）と、videre（見る）が合わさってできた語に由来する。あらかじめ先のことを見て用意することから、「供給する, 備える」という意味になる。
&lt;span class="spacer"&gt;&lt;/span&gt;&lt;span class="explanation_tag"&gt;イメージ&lt;/span&gt;
［provide for A］は、Aのために（for A）必要なものを用意して与える（provide）というイメージ。
&lt;span class="spacer"&gt;&lt;/span&gt;①〈人〉のために、必要なものを用意して与えることから、「〈人〉を扶養する」という意味になる。
&lt;span class="spacer"&gt;&lt;/span&gt;②将来や不測の事態のために、必要なものを用意して与えることから、「Aに備える」という意味になる。
&lt;span class="spacer"&gt;&lt;/span&gt;③法律や条約などが、将来の事態のために、必要なものを用意することから、「Aを規定する」という意味になる。
&lt;div class="sample_image 2026_408"&gt;&lt;/div&gt;&lt;/span&gt;</t>
    <phoneticPr fontId="1"/>
  </si>
  <si>
    <t>&lt;span class="w"&gt;&lt;b&gt;【409.put down ~：①〜を置く, ②〜を書き留める, ③〜を抑える（鎮める）】&lt;/b&gt;&lt;/span&gt;
&lt;span class="ml"&gt;&lt;span class="explanation_tag"&gt;イメージ&lt;/span&gt;
［put down A］の核は、Aを下に置くという動き。
&lt;span class="spacer"&gt;&lt;/span&gt;①putだけではどこに置くかわからないが、downが付くことで下に「Aを置く」という意味になる。
&lt;span class="spacer"&gt;&lt;/span&gt;②頭の中の言葉や情報を下に下ろして置くイメージから、「Aを書き留める」という意味になる。
&lt;span class="spacer"&gt;&lt;/span&gt;③熱気やエネルギーが込み上げる状態を下方向に置くイメージから、「Aを抑える, 鎮める」という意味になる。
&lt;div class="sample_image 2026_409"&gt;&lt;/div&gt;&lt;/span&gt;</t>
    <phoneticPr fontId="1"/>
  </si>
  <si>
    <t>&lt;span class="w"&gt;&lt;b&gt;【411.set out (~)：①出発する, ②（to do）〜し始める, ③〜を並べる, 提示する】&lt;/b&gt;&lt;/span&gt;
&lt;span class="ml"&gt;&lt;span class="explanation_tag"&gt;イメージ&lt;/span&gt;
①いろいろ準備して（set）外に出る（out）ことから、「出発する」という意味になる。
&lt;span class="spacer"&gt;&lt;/span&gt;②現状から、いろいろ準備して（set）外に出て（out）to doに向かうイメージから、「〜をし始める」という意味になる。
&lt;span class="spacer"&gt;&lt;/span&gt;③内部にあるものを、外に出して（out）見える形にセットする（set）ことから、「並べる, 提示する」という意味になる。
&lt;div class="sample_image 2026_411"&gt;&lt;/div&gt;&lt;/span&gt;</t>
    <phoneticPr fontId="1"/>
  </si>
  <si>
    <t>&lt;span class="w"&gt;&lt;b&gt;【412.be due to ~：〜のため（結果）である, ②（be due to do）〜する予定である, 〜することになっている】&lt;/b&gt;&lt;/span&gt;
&lt;span class="ml"&gt;&lt;span class="explanation_tag"&gt;語源&lt;/span&gt;
dueは、ラテン語de（離れて）と、habere（持つ）が合わさってできた語。誰かのものを離れて持っている、つまり借りていることを表した。そして、借りている状態であれば、それを返さなければならないという義務感が生じ、「当然支払われるべき, 当然そうなるべき, 予定された, 期日の」などの意味になった。
&lt;span class="spacer"&gt;&lt;/span&gt;&lt;span class="explanation_tag"&gt;イメージ&lt;/span&gt;
①［S be due to A］は語源からイメージすると、SはAに借りがある状態。つまり、AがあることでSが成り立っているイメージになる。そこから「SはAのため（結果）である」という意味になる。
&lt;span class="spacer"&gt;&lt;/span&gt;②［S be due to do］は、dueが持つ「当然〜すべき」という義務感が表れた表現。つまり、Sはto doを当然すべき状態になっていることから、「〜する予定である, 〜することになっている」という意味になる。
&lt;div class="sample_image 2026_412"&gt;&lt;/div&gt;&lt;/span&gt;</t>
    <phoneticPr fontId="1"/>
  </si>
  <si>
    <t>&lt;span class="w"&gt;&lt;b&gt;【413.up to ~：①〜まで, ②〜次第である, ③（be up to ~）〜しようとしている】&lt;/b&gt;&lt;/span&gt;
&lt;span class="ml"&gt;&lt;span class="explanation_tag"&gt;イメージ&lt;/span&gt;
［up to A］は、上方向への動き（up）の到達点がAである（to A）ことを表す。
&lt;span class="spacer"&gt;&lt;/span&gt;①何かがAのところまで上がってくるイメージから、最大を示して「Aまで」という意味になる。
&lt;span class="spacer"&gt;&lt;/span&gt;②判断や決定の場所が最終的に上がってくるところを表して、「A次第」という意味になる。
&lt;span class="spacer"&gt;&lt;/span&gt;③このupは、準備運動のアップと同じで活動状態になるイメージ。toで活動の対象を示して、「〜をしようとしている」という意味になる。
&lt;div class="sample_image 2026_413"&gt;&lt;/div&gt;&lt;/span&gt;</t>
    <phoneticPr fontId="1"/>
  </si>
  <si>
    <t>&lt;span class="w"&gt;&lt;b&gt;【414.at large：①逮捕されないで, 逃走中で, ②（名詞の後に置いて）一般の, 全体の】&lt;/b&gt;&lt;/span&gt;
&lt;span class="ml"&gt;&lt;span class="explanation_tag"&gt;語源&lt;/span&gt;
largeは、ラテン語largus（豊富な, 気前のよい, 寛大な）&lt;span class="arrow"&gt;→&lt;/span&gt;古フランス語large（広い, 寛大な, 豊富な）に由来する。
&lt;span class="spacer"&gt;&lt;/span&gt;1200年頃に英語に入ったlargeは、14世紀後期までは「気前がよい」「寛大な」「広大な」「豊富な」「数が多い」といった意味を持ち、物理的な広さだけではなく、心の広さ・数量の広がりなど、様々な「広さ」を表した。
&lt;span class="spacer"&gt;&lt;/span&gt;形容詞largeは、14世紀後期に名詞として使われるようになる。その表現の一つが［at large］である。
&lt;span class="spacer"&gt;&lt;/span&gt;［at large］の核は、制限がなく広がっているということ。
&lt;span class="spacer"&gt;&lt;/span&gt;①投獄や拘束といった制限がなく自由に外を歩き回れるという、行動が無制限に広がっている状態を表して、「逮捕されないで, 逃走中で」という意味になった。
&lt;span class="spacer"&gt;&lt;/span&gt;②1620年代には、特定の制限がなく広く一般的であることを表して、「一般の, 全体の」という意味にもなった。
&lt;div class="sample_image 2026_414"&gt;&lt;/div&gt;&lt;/span&gt;</t>
    <phoneticPr fontId="1"/>
  </si>
  <si>
    <t>&lt;span class="w"&gt;&lt;b&gt;【416.all but ~：①〜以外すべて, ②〜も同然, ほとんど〜】&lt;/b&gt;&lt;/span&gt;
&lt;span class="ml"&gt;&lt;span class="explanation_tag"&gt;語源&lt;/span&gt;
butは、古英語be＋utanaが合わさってできた語。現代英語にすると、by（そばに）＋out（外に）になる。対象を外側に置くことから、もともとは「〜を除いて」を意味した。
&lt;span class="spacer"&gt;&lt;/span&gt;&lt;span class="explanation_tag"&gt;イメージ&lt;/span&gt;
［all but A］のbutは「〜以外」という意味。
&lt;span class="spacer"&gt;&lt;/span&gt;①後ろに名詞が続き、「A以外すべて」という意味になる。
&lt;span class="spacer"&gt;&lt;/span&gt;②後ろに形容詞・動詞が続き、A以外はすべてを満たしていて、あとはAだけであることを表す。そこから「Aも同然, ほとんどA」という意味になる。
&lt;div class="sample_image 2026_416"&gt;&lt;/div&gt;&lt;/span&gt;</t>
    <phoneticPr fontId="1"/>
  </si>
  <si>
    <t>&lt;span class="w"&gt;&lt;b&gt;【417.at length：①長々と, 詳細に, ②ついに】&lt;/b&gt;&lt;/span&gt;
&lt;span class="ml"&gt;&lt;span class="explanation_tag"&gt;イメージ&lt;/span&gt;
lengthは、longの名詞で「長さ」という意味。
&lt;span class="spacer"&gt;&lt;/span&gt;①十分な説明の言葉や時間の長さ（length）で（at）というイメージから、「長々と, 詳細に」という意味になる。
&lt;span class="spacer"&gt;&lt;/span&gt;②時間的な長さ（length）を経て、ある点に（at）到達するイメージから、「ついに」という意味になる。
&lt;div class="sample_image 2026_417"&gt;&lt;/div&gt;&lt;/span&gt;</t>
    <phoneticPr fontId="1"/>
  </si>
  <si>
    <t>&lt;span class="w"&gt;&lt;b&gt;【418.next to ~：①〜の隣に, 〜の次の, ②（否定的な語の前に置いて）ほとんど〜】&lt;/b&gt;&lt;/span&gt;
&lt;span class="ml"&gt;&lt;span class="explanation_tag"&gt;イメージ&lt;/span&gt;
①［next to A］は、Aに対して（to A）隣（next）というイメージから、「Aの隣に, Aの次に」という意味になる。
&lt;span class="spacer"&gt;&lt;/span&gt;②すぐ隣にあるということから、ほぼそれに近くて等しいというイメージになり、「ほとんど〜」という意味になる。
&lt;div class="sample_image 2026_418"&gt;&lt;/div&gt;&lt;/span&gt;</t>
    <phoneticPr fontId="1"/>
  </si>
  <si>
    <t>&lt;span class="w"&gt;&lt;b&gt;【419.on end：①連続して, ②（横になっているものが）直立して, 垂直に】&lt;/b&gt;&lt;/span&gt;
&lt;span class="ml"&gt;&lt;span class="explanation_tag"&gt;語源&lt;/span&gt;
endは、もともとは「反対側」という意味。下のXから見た反対側がendであり、そこから「終わり, 端」という意味になった。
【X　　end】（終わり, 端）
&lt;span class="spacer"&gt;&lt;/span&gt;&lt;span class="explanation_tag"&gt;イメージ&lt;/span&gt;
①［on end］は、終わり（end）に次の開始が接触（on）しているイメージから、「連続して」という意味になる。
&lt;span class="spacer"&gt;&lt;/span&gt;②地面に横になっているもの（全体が地面に接しているもの）を、端だけを地面に接触させるイメージから、「直立して, 垂直に」という意味になる。
&lt;div class="sample_image 2026_419"&gt;&lt;/div&gt;&lt;/span&gt;</t>
    <phoneticPr fontId="1"/>
  </si>
  <si>
    <t>&lt;span class="w"&gt;&lt;b&gt;【420.by way of ~：①〜経由で, ②〜として, 〜のつもりで】&lt;/b&gt;&lt;/span&gt;
&lt;span class="ml"&gt;&lt;span class="explanation_tag"&gt;イメージ&lt;/span&gt;
①の「by way of A」は直訳すると、Aの道（way of A）によって（by）となる。通過するルートを表して「A経由で」という意味になる。
&lt;span class="spacer"&gt;&lt;/span&gt;②の［by way of A］は、Aの道・方法（way of A）のすぐそば（by）と考える。Aの道・方法は本道が一本あるが、それに沿ったすぐそばの別の道を行くイメージから、「Aとして, Aのつもりで」という意味になる。
&lt;span class="spacer"&gt;&lt;/span&gt;&lt;span class="explanation_tag"&gt;例&lt;/span&gt;
I brought a cake by way of apology.
私は謝罪として/ 謝罪のつもりでケーキを買った。
&lt;span class="spacer"&gt;&lt;/span&gt;謝罪の方法としては「ごめんなさい」と言葉で伝えることが本道だとすれば、それに沿ったすぐそばの別の道（ケーキを買う）を進む。そこから「謝罪&lt;strong&gt;として / のつもりで&lt;/strong&gt;ケーキを買った」という意味になる。
&lt;div class="sample_image 2026_420"&gt;&lt;/div&gt;&lt;/span&gt;</t>
    <phoneticPr fontId="1"/>
  </si>
  <si>
    <t>&lt;span class="w"&gt;&lt;b&gt;【422.adapt to ~：（環境・状況に）適応する】&lt;/b&gt;&lt;/span&gt;
&lt;span class="ml"&gt;&lt;span class="explanation_tag"&gt;語源&lt;/span&gt;
adaptは、ラテン語ad（〜へ）と、aptus（適合した）が合わさってできた語。何かへ適合した状態にすることから、「適応する, 適応させる」という意味になる。
&lt;span class="spacer"&gt;&lt;/span&gt;［adapt to A］は、to Aで対象を示して、「Aに適応する」という意味になる。
&lt;div class="sample_image 2026_422"&gt;&lt;/div&gt;&lt;/span&gt;</t>
    <phoneticPr fontId="1"/>
  </si>
  <si>
    <t>&lt;span class="w"&gt;&lt;b&gt;【423.object to ~：〜に反対する】&lt;/b&gt;&lt;/span&gt;
&lt;span class="ml"&gt;&lt;span class="explanation_tag"&gt;語源&lt;/span&gt;
objectは、ラテン語ob（～に対して）と、icere（投げる）が合わさってできた語。行為・提案・決定・状況などを受け入れるのではなく、それに対して投げつけるというイメージから、「反対する」という意味になる。
&lt;span class="spacer"&gt;&lt;/span&gt;［object to A］は、to Aで投げつける対象を示して、「Aに反対する」という意味になる。
&lt;div class="sample_image 2026_423"&gt;&lt;/div&gt;&lt;/span&gt;</t>
    <phoneticPr fontId="1"/>
  </si>
  <si>
    <t>&lt;span class="w"&gt;&lt;b&gt;【424.admit to ~：〜を認める, 〜を白状する】&lt;/b&gt;&lt;/span&gt;
&lt;span class="ml"&gt;&lt;span class="explanation_tag"&gt;語源&lt;/span&gt;
admitは、ラテン語ad（～へ）と、mittere（送る, 放つ）が合わさってできた語。これは、外から来たものをそのまま内側へ送るイメージ。そこから、議論において主張や真実を内側に送る＝「認める」という意味になる。
&lt;span class="spacer"&gt;&lt;/span&gt;［admit to A］は、to Aで認める対象を示して、「Aを認める, Aを白状する」という意味になる。
&lt;div class="sample_image 2026_424"&gt;&lt;/div&gt;&lt;/span&gt;</t>
    <phoneticPr fontId="1"/>
  </si>
  <si>
    <t>&lt;span class="w"&gt;&lt;b&gt;【425.conform to / with ~：〜に合わせる, 〜に一致する, 〜に従う】&lt;/b&gt;&lt;/span&gt;
&lt;span class="ml"&gt;&lt;span class="explanation_tag"&gt;語源&lt;/span&gt;
conformは、ラテン語com（共に）と、formare（形作る）が合わさってできた語。何かと何かを同じ形にすることから、「一致する, 合わせる」といった意味になる。
&lt;span class="spacer"&gt;&lt;/span&gt;&lt;span class="explanation_tag"&gt;イメージ&lt;/span&gt;
［S conform to A］は語源から考えると、SはAと（to / with A）同じ形にする（conform）となる。つまり、Sは「Aに合わせる, 一致する」という意味になる。
&lt;span class="spacer"&gt;&lt;/span&gt;規則や基準に一致させるなら、「Aに従う」という訳になる。
&lt;div class="sample_image 2026_425"&gt;&lt;/div&gt;&lt;/span&gt;</t>
    <phoneticPr fontId="1"/>
  </si>
  <si>
    <t>&lt;span class="w"&gt;&lt;b&gt;【426.resort to ~：（手段）に訴える, に頼る】&lt;/b&gt;&lt;/span&gt;
&lt;span class="ml"&gt;&lt;span class="explanation_tag"&gt;語源&lt;/span&gt;
resortは、フランス語re（再び）と、sortir（外出する）が合わさってできた語。もともとは、特定の場所へ繰り返し行くことを表した。特に、困ったときに頼りになる場所へ何度も足を運び、助けを求めるという意味で使われたことから、他の方法がなくて何らかの「手段に訴える」という意味になった。
&lt;span class="spacer"&gt;&lt;/span&gt;&lt;span class="explanation_tag"&gt;イメージ&lt;/span&gt;
［resort to A］は、to Aで頼る手段を表して、「Aという手段に訴える, 頼る」という意味になる。
&lt;div class="sample_image 2026_426"&gt;&lt;/div&gt;&lt;/span&gt;</t>
    <phoneticPr fontId="1"/>
  </si>
  <si>
    <t>&lt;span class="w"&gt;&lt;b&gt;【427.keep to ~：〜に沿って進む, 〜から離れない, 〜に従う】&lt;/b&gt;&lt;/span&gt;
&lt;span class="ml"&gt;&lt;span class="explanation_tag"&gt;イメージ&lt;/span&gt;
［keep to A］は、Aの方に寄る状態をキープするイメージ。そこから、「Aに沿って進む」「Aから離れない」「Aに従う」という意味になる。
&lt;div class="sample_image 2026_427"&gt;&lt;/div&gt;&lt;/span&gt;</t>
    <phoneticPr fontId="1"/>
  </si>
  <si>
    <t>&lt;span class="w"&gt;&lt;b&gt;【428.get to ~：①〜に着く, ②（get to do）〜できる, 〜するようになる】&lt;/b&gt;&lt;/span&gt;
&lt;span class="ml"&gt;&lt;span class="explanation_tag"&gt;イメージ&lt;/span&gt;
①［get to A］は、場所Aに向かって（to A）そこにいる状態をゲットすることから、「Aに着く」という意味になる。
&lt;span class="spacer"&gt;&lt;/span&gt;②［get to do］は、何かをする状況をゲットするイメージから、「〜できる, 〜するようになる」という意味になる。
&lt;div class="sample_image 2026_428"&gt;&lt;/div&gt;&lt;/span&gt;</t>
    <phoneticPr fontId="1"/>
  </si>
  <si>
    <t>&lt;span class="w"&gt;&lt;b&gt;【429.adhere to ~：（主義・規則など）に忠実に従う, 〜にくっつく】&lt;/b&gt;&lt;/span&gt;
&lt;span class="ml"&gt;&lt;span class="explanation_tag"&gt;語源&lt;/span&gt;
adhereは、ラテン語ad（〜へ）と、herere（くっつく）が合わさってできた語。そこから「〜にくっつく」という意味になる。
&lt;span class="spacer"&gt;&lt;/span&gt;さらに、主義や規則にぴったりくっつくことから、「（主義・規則）に従う」という意味になる。
&lt;div class="sample_image 2026_429"&gt;&lt;/div&gt;&lt;/span&gt;</t>
    <phoneticPr fontId="1"/>
  </si>
  <si>
    <t>&lt;span class="w"&gt;&lt;b&gt;【430.reflect on ~：〜熟考する, 〜を反省する】&lt;/b&gt;&lt;/span&gt;
&lt;span class="ml"&gt;&lt;span class="explanation_tag"&gt;イメージ&lt;/span&gt;
［reflect on A］は、自分の心や意識を対象Aに向け、そこから自分に返ってきたものを、さらに対象Aに向けることを繰り返すイメージから、「Aを熟考する, Aを反省する」という意味になる。
&lt;div class="sample_image 2026_430"&gt;&lt;/div&gt;&lt;/span&gt;</t>
    <phoneticPr fontId="1"/>
  </si>
  <si>
    <t>&lt;span class="w"&gt;&lt;b&gt;【431.dicide on ~：（複数の選択肢から）〜に決める】&lt;/b&gt;&lt;/span&gt;
&lt;span class="ml"&gt;&lt;span class="explanation_tag"&gt;イメージ&lt;/span&gt;
［decide］は、ただ「決断する, 決定する」だけ。
&lt;span class="spacer"&gt;&lt;/span&gt;［decide on A］は、選択肢や候補がある中で、「Aに決める」というニュアンス。
&lt;div class="sample_image 2026_431"&gt;&lt;/div&gt;&lt;/span&gt;</t>
    <phoneticPr fontId="1"/>
  </si>
  <si>
    <t>&lt;span class="w"&gt;&lt;b&gt;【432.fall on ~：①（責任・仕事などが）〜に降りかかる, （出来事・休日などが）〜に当たる】&lt;/b&gt;&lt;/span&gt;
&lt;span class="ml"&gt;&lt;span class="explanation_tag"&gt;イメージ&lt;/span&gt;
［fall on A］は、Aの上に（on A）落ちてくる（fall）イメージ。
&lt;span class="spacer"&gt;&lt;/span&gt;①［S fall on 人］で、S（責任・仕事など）が〈人〉の上に落ちてくることから、「人に降りかかる」という意味になる。
&lt;span class="spacer"&gt;&lt;/span&gt;②［S fall on 日］で、S（出来事・休日など）が〈ある日〉の上に落ちてくることから、「Aに当たる」という意味になる。
例えば、今年はクリスマスは日曜日に当たる、会議が私の誕生日に当たる、など。
&lt;div class="sample_image 2026_432"&gt;&lt;/div&gt;&lt;/span&gt;</t>
    <phoneticPr fontId="1"/>
  </si>
  <si>
    <t>&lt;span class="w"&gt;&lt;b&gt;【434.run into ~：①〜にぶつかる, ②〜を偶然見つける, 〜に偶然出会う】&lt;/b&gt;&lt;/span&gt;
&lt;span class="ml"&gt;&lt;span class="explanation_tag"&gt;イメージ&lt;/span&gt;
［run into A］は直訳すると、Aの中に（into A）走り込む（run）となる。走っていてAの中に入り込むようになることから、①「Aにぶつかる」という意味になる。
&lt;span class="spacer"&gt;&lt;/span&gt;またぶつかるというのは、意図せず何かと接触するイメージなので、②「Aを偶然見つける, Aに偶然出会う」という意味になる。
&lt;div class="sample_image 2026_434"&gt;&lt;/div&gt;&lt;/span&gt;</t>
    <phoneticPr fontId="1"/>
  </si>
  <si>
    <t>&lt;span class="w"&gt;&lt;b&gt;【435.break into ~ ：①〜に侵入する, ②急に〜しだす】&lt;/b&gt;&lt;/span&gt;
&lt;span class="ml"&gt;&lt;span class="explanation_tag"&gt;イメージ&lt;/span&gt;
［break into A］は、物理的な壁や現在の状況などを壊して（break）Aの中へ入り込む（into）イメージ。
&lt;span class="spacer"&gt;&lt;/span&gt;①物理的な壁を壊すように内部に入り込むことから、「Aに侵入する」という意味になる。
&lt;span class="spacer"&gt;&lt;/span&gt;②現在の状況を壊して、ある行動に入り込むことから、「急にAしだす」という意味になる。
&lt;div class="sample_image 2026_435"&gt;&lt;/div&gt;&lt;/span&gt;</t>
    <phoneticPr fontId="1"/>
  </si>
  <si>
    <t>&lt;span class="w"&gt;&lt;b&gt;【436.enter into ~：①（議論などを）始める, ②（契約など）を取り結ぶ】&lt;/b&gt;&lt;/span&gt;
&lt;span class="ml"&gt;&lt;span class="explanation_tag"&gt;イメージ&lt;/span&gt;
［enter A］は、物理的な場所に入るイメージ。
&lt;span class="spacer"&gt;&lt;/span&gt;［enter into A］は、ある議論・活動・関係に入り込むイメージ。このイメージをもとに文脈に応じて日本語にすればよい。
&lt;span class="spacer"&gt;&lt;/span&gt;①Aが議論や活動であれば、「Aを始める」という意味になる。
&lt;span class="spacer"&gt;&lt;/span&gt;②Aが契約や関係であれば、「Aを取り結ぶ」という意味になる。
&lt;div class="sample_image 2026_436"&gt;&lt;/div&gt;&lt;/span&gt;</t>
    <phoneticPr fontId="1"/>
  </si>
  <si>
    <t>&lt;span class="w"&gt;&lt;b&gt;【437.burst into ~：①急に〜しだす, ②〜に突入する】&lt;/b&gt;&lt;/span&gt;
&lt;span class="ml"&gt;&lt;span class="explanation_tag"&gt;イメージ&lt;/span&gt;
［burst into A］は、パンッと破裂するように、ある状況からAの中に勢いよく入っていくイメージ。
&lt;span class="spacer"&gt;&lt;/span&gt;①内側から破裂するように突然ある行動に入ることを表して、「急に〜しだす」という意味になる。
&lt;span class="spacer"&gt;&lt;/span&gt;②破裂するように勢いよく内部に入ってくることから、「〜に突入する」という意味になる。
&lt;div class="sample_image 2026_437"&gt;&lt;/div&gt;&lt;/span&gt;</t>
    <phoneticPr fontId="1"/>
  </si>
  <si>
    <t>&lt;span class="w"&gt;&lt;b&gt;【438.dispose of ~：〜を処分する】&lt;/b&gt;&lt;/span&gt;
&lt;span class="ml"&gt;&lt;span class="explanation_tag"&gt;語源&lt;/span&gt;
disposeは、ラテン語dis（離れて）と、ponere（置く）が合わさってできた語。離れたところに置くことから、「処分する」という意味になる。
&lt;span class="spacer"&gt;&lt;/span&gt;&lt;span class="explanation_tag"&gt;イメージ&lt;/span&gt;
［dispose of A］は語源的に考えると、Aを分離して（off A）離れたところに置く（dispose）ことから、「Aを処分する」という意味になる。
&lt;div class="sample_image 2026_438"&gt;&lt;/div&gt;&lt;/span&gt;</t>
    <phoneticPr fontId="1"/>
  </si>
  <si>
    <t>&lt;span class="w"&gt;&lt;b&gt;【439.approve of ~：〜に賛成する】&lt;/b&gt;&lt;/span&gt;
&lt;span class="ml"&gt;&lt;span class="explanation_tag"&gt;語源&lt;/span&gt;
approveは、ラテン語ad（〜へ）と、probare（良いか確かめるために試す）が合わさってできた語。何かに対して、それが良いかどうかを確かめて、その結果、良いと認めて「賛成する, 承認する」という意味になる。
&lt;span class="spacer"&gt;&lt;/span&gt;prove（証明する）やproof（証拠）もラテン語probareに由来する。
&lt;span class="spacer"&gt;&lt;/span&gt;&lt;span class="explanation_tag"&gt;イメージ&lt;/span&gt;
［approve of A］は語源から考えると、個々人がAについて（of A）良いと認める（approve）イメージ。そこから「Aに賛成する」という意味になる。
&lt;div class="sample_image 2026_439"&gt;&lt;/div&gt;&lt;/span&gt;</t>
    <phoneticPr fontId="1"/>
  </si>
  <si>
    <t>&lt;span class="w"&gt;&lt;b&gt;【440.boast of / about ~：〜を自慢する】&lt;/b&gt;&lt;/span&gt;
&lt;span class="ml"&gt;&lt;span class="explanation_tag"&gt;語源&lt;/span&gt;
boastは、印欧祖語*bhou-（膨らむ）にさかのぼる。胸を張り、体が膨らむように誇らしげに見せびらかすことから、何かを「自慢する」という意味になった。
&lt;span class="spacer"&gt;&lt;/span&gt;そこから［boast of / about A］は、「Aについて自慢する」という意味になる。
&lt;div class="sample_image 2026_440"&gt;&lt;/div&gt;&lt;/span&gt;</t>
    <phoneticPr fontId="1"/>
  </si>
  <si>
    <t>&lt;span class="w"&gt;&lt;b&gt;【441.become of ~：（主にwhat / whateverが主語になって）〜はどうなるか】&lt;/b&gt;&lt;/span&gt;
&lt;span class="ml"&gt;&lt;span class="explanation_tag"&gt;語源&lt;/span&gt;
becomeは、古英語be＋cumanにさかのぼる。現代英語で考えるとby（そばに）＋come（来る）から成り、もともとは、何かがそばに来ることから、「起こる, 降りかかる」という意味を持っていた。
&lt;span class="spacer"&gt;&lt;/span&gt;現在の、ある状態から別の状態に変化する（〜になる）という意味が生まれたのは、12世紀のこと。
&lt;span class="spacer"&gt;&lt;/span&gt;［(what) become of A］のbecomeは、「起こる」という古い意味を保持している。直訳すると、Aについて（of A）何が起こるのか（what become）となる。
&lt;span class="spacer"&gt;&lt;/span&gt;「Aに何が起こるのか」から「Aはどうなるのか」という意味になる。
&lt;div class="sample_image 2026_441"&gt;&lt;/div&gt;&lt;/span&gt;</t>
    <phoneticPr fontId="1"/>
  </si>
  <si>
    <t>&lt;span class="w"&gt;&lt;b&gt;【442.derive from ~：〜に由来する, 〜から出ている】&lt;/b&gt;&lt;/span&gt;
&lt;span class="ml"&gt;&lt;span class="explanation_tag"&gt;語源&lt;/span&gt;
deriveは、ラテン語de（〜から）と、rivus（川, 水流）が合わさってできた語。川などの水流から水を引いてくることから、ある源から生まれる＝「由来する」という意味になった。
&lt;span class="spacer"&gt;&lt;/span&gt;&lt;span class="explanation_tag"&gt;イメージ&lt;/span&gt;
［derive from A］は語源の通り、Aから何かを引き出すことを表して、「Aに由来する, Aから出ている」という意味になる。
&lt;div class="sample_image 2026_442"&gt;&lt;/div&gt;&lt;/span&gt;</t>
    <phoneticPr fontId="1"/>
  </si>
  <si>
    <t>&lt;span class="w"&gt;&lt;b&gt;【444.interfere with ~：〜の邪魔をする】&lt;/b&gt;&lt;/span&gt;
&lt;span class="ml"&gt;&lt;span class="explanation_tag"&gt;語源&lt;/span&gt;
interfereは、古フランス語entre（〜の間に）と、ferir（打つ）が合わさってできた語。間に入り込んでぶつかる（打つ）イメージから、何かの「邪魔をする」「干渉する」という意味になる。
&lt;span class="spacer"&gt;&lt;/span&gt;&lt;span class="explanation_tag"&gt;イメージ&lt;/span&gt;
［interfere with A］は、何かが行われているときに、間に入り込んでAとぶつかるイメージから、「Aの邪魔をする」という意味になる。
&lt;div class="sample_image 2026_444"&gt;&lt;/div&gt;&lt;/span&gt;</t>
    <phoneticPr fontId="1"/>
  </si>
  <si>
    <t>&lt;span class="w"&gt;&lt;b&gt;【445.part with ~：（しぶしぶ、手放したくない物）を手放す】&lt;/b&gt;&lt;/span&gt;
&lt;span class="ml"&gt;&lt;span class="explanation_tag"&gt;イメージ&lt;/span&gt;
［part with A］は、Aにくっいていた、Aと一緒にあった物（with A）を、部分として分ける（part）イメージ。そこから、まるで自分の一部のような愛着のある「Aを手放す」という意味になる。
&lt;div class="sample_image 2026_445"&gt;&lt;/div&gt;&lt;/span&gt;</t>
    <phoneticPr fontId="1"/>
  </si>
  <si>
    <t>&lt;span class="w"&gt;&lt;b&gt;【448.go about ~：①〜に取り掛かる, ②（いつも通り）〜に淡々とこなす】&lt;/b&gt;&lt;/span&gt;
&lt;span class="ml"&gt;&lt;span class="explanation_tag"&gt;語源&lt;/span&gt;
aboutは、古英語a＋be＋utanが合わさってできた語。現代英語にすると、on（〜に）＋by（そば）＋out（外側）となる。つまりaboutは「外側のそばに, ぐるりと, 周囲に」というニュアンス。
&lt;span class="spacer"&gt;&lt;/span&gt;&lt;span class="explanation_tag"&gt;イメージ&lt;/span&gt;
［go about A］は、Aの周囲を動き回ってあれこれ行動するイメージ。そこから「Aに取り組む」や、いつもやっているようなことを「淡々とこなす」という意味になる。
&lt;div class="sample_image 2026_448"&gt;&lt;/div&gt;&lt;/span&gt;</t>
    <phoneticPr fontId="1"/>
  </si>
  <si>
    <t>&lt;span class="w"&gt;&lt;b&gt;【449.run across ~：①〜を走って横切る, ②〜を偶然見つける, 〜に偶然出会う】&lt;/b&gt;&lt;/span&gt;
&lt;span class="ml"&gt;&lt;span class="explanation_tag"&gt;イメージ&lt;/span&gt;
①直訳通り、「Aを走って横切る」という意味になる。
&lt;span class="spacer"&gt;&lt;/span&gt;②十字の道を走っていたら、真ん中でバッタリ出会うイメージ。そこから「Aに偶然出会う, Aを偶然見つける」という思いがけない、人や物との出会いを意味する。
&lt;div class="sample_image 2026_449"&gt;&lt;/div&gt;&lt;/span&gt;</t>
    <phoneticPr fontId="1"/>
  </si>
  <si>
    <t>&lt;span class="w"&gt;&lt;b&gt;【454.tie up (~)：①（物理的・時間的に）〜を拘束する, ②提携する】&lt;/b&gt;&lt;/span&gt;
&lt;span class="ml"&gt;&lt;span class="explanation_tag"&gt;イメージ&lt;/span&gt;
［tie up (A)］のupは「完全に」という意味。tieは、首に結ぶネクタイ（necktie）と同じで、「結ぶ」という意味。
&lt;span class="spacer"&gt;&lt;/span&gt;Aを完全に（up）縛る（tie）ことから、物理的に「Aを拘束する」、用事などが「人の時間を拘束する」、お互いを結びつけて協力関係を結ぶ＝「提携する」といった意味になる。
&lt;div class="sample_image 2026_454"&gt;&lt;/div&gt;&lt;/span&gt;</t>
    <phoneticPr fontId="1"/>
  </si>
  <si>
    <t>&lt;span class="w"&gt;&lt;b&gt;【456.blow up (~)：①爆発する, 〜を爆破する, ②かっとなる】&lt;/b&gt;&lt;/span&gt;
&lt;span class="ml"&gt;&lt;span class="explanation_tag"&gt;語源&lt;/span&gt;
blowは、印欧祖語*bhle-（吹く）にさかのぼる。flute（楽器のフルート）も同じ語源に関連し、これらの語の核は「空気の流れ」。そこから「風が吹く, 息を吹く, 吹き飛ばす, 爆破する」という意味になった。
&lt;span class="spacer"&gt;&lt;/span&gt;&lt;span class="explanation_tag"&gt;イメージ&lt;/span&gt;
［blow up (A)］は、中から外に空気が流れて（blow）膨れ上がる（up）イメージ。そこから、①膨れ上がって「爆発する」、②何かを「爆破する」、③感情が爆発する＝「かっとなる」といった意味になる。
&lt;span class="spacer"&gt;&lt;/span&gt;&lt;span class="explanation_tag"&gt;補足&lt;/span&gt;
blow ~ upの語順にもなる。
&lt;div class="sample_image 2026_456"&gt;&lt;/div&gt;&lt;/span&gt;</t>
    <phoneticPr fontId="1"/>
  </si>
  <si>
    <t>&lt;span class="w"&gt;&lt;b&gt;【457.call up (~)：①（〜に）電話をかける, ②（記憶・勇気など）を呼び起こす】&lt;/b&gt;&lt;/span&gt;
&lt;span class="ml"&gt;&lt;span class="explanation_tag"&gt;イメージ&lt;/span&gt;
［call up (A)］は、奥にあるものや隠れているものを上に（up）呼び出す（call）イメージ。そこから以下の意味になる。
&lt;span class="spacer"&gt;&lt;/span&gt;①奥にいる相手を電話口まで呼び出すことから「Aに電話をかける」
&lt;span class="spacer"&gt;&lt;/span&gt;②奥底にある記憶や勇気などを表に呼び出すことから「Aを呼び起こす」
&lt;span class="spacer"&gt;&lt;/span&gt;&lt;span class="explanation_tag"&gt;補足&lt;/span&gt;
call ~ upの語順にもなる。
&lt;div class="sample_image 2026_457"&gt;&lt;/div&gt;&lt;/span&gt;</t>
    <phoneticPr fontId="1"/>
  </si>
  <si>
    <t>&lt;span class="w"&gt;&lt;b&gt;【460.cut down / back (on ~)：（〜の量を）減らす, （〜を）切り詰める】&lt;/b&gt;&lt;/span&gt;
&lt;span class="ml"&gt;&lt;span class="explanation_tag"&gt;イメージ&lt;/span&gt;
［cut down / back (on A)］は、積み上がったものを切って（cut）下げる（down）イメージ。また前に出てくるものを切って（cut）奥に引っ込める（back）イメージ。
&lt;span class="spacer"&gt;&lt;/span&gt;on Aは、何に関してcut downするかを示す。
&lt;span class="spacer"&gt;&lt;/span&gt;Aに関して、積み上がっているものを切り下げる、前に出てくるものを切って引っ込めることから、「（Aの量を）減らす, （Aを）切り詰める」という意味になる。
&lt;div class="sample_image 2026_460"&gt;&lt;/div&gt;&lt;/span&gt;</t>
    <phoneticPr fontId="1"/>
  </si>
  <si>
    <t>&lt;span class="w"&gt;&lt;b&gt;【462.break down (~)：①〜を分解する, ～を分類する, ②故障する, 取り乱す, 肉体や精神が壊れる】&lt;/b&gt;&lt;/span&gt;
&lt;span class="ml"&gt;&lt;span class="explanation_tag"&gt;イメージ&lt;/span&gt;
［break down (A)］は、まとまっているものがバラバラに壊れて（break）崩れ落ちる（down）イメージ。
&lt;span class="spacer"&gt;&lt;/span&gt;①全体をバラバラにして細かくすることから、食べ物・化学物質・問題・情報など「Aを分解する, Aを分類する」という意味になる。
&lt;span class="spacer"&gt;&lt;/span&gt;②全体としてまとまって機能しているものが壊れて崩れるイメージから、機械や乗り物が「故障する」、感情が崩れて「取り乱す」、肉体や精神が「壊れる」といった意味になる。
&lt;div class="sample_image 2026_462"&gt;&lt;/div&gt;&lt;/span&gt;</t>
    <phoneticPr fontId="1"/>
  </si>
  <si>
    <t>&lt;span class="w"&gt;&lt;b&gt;【463.hand down ~：〜を（後世に）伝える】&lt;/b&gt;&lt;/span&gt;
&lt;span class="ml"&gt;&lt;span class="explanation_tag"&gt;イメージ&lt;/span&gt;
［hand down A］は、Aを下の世代に（down）手渡す（hand）イメージ。そこから「Aを（後世に）伝える」という意味になる。
&lt;div class="sample_image 2026_463"&gt;&lt;/div&gt;&lt;/span&gt;</t>
    <phoneticPr fontId="1"/>
  </si>
  <si>
    <t>&lt;span class="w"&gt;&lt;b&gt;【464.take down ~：①〜を書き留める, ②〜を取り壊す】&lt;/b&gt;&lt;/span&gt;
&lt;span class="ml"&gt;&lt;span class="explanation_tag"&gt;イメージ&lt;/span&gt;
［take down A］は、上にあるものをつかんで（take）下に移動させる（down）イメージ。
&lt;span class="spacer"&gt;&lt;/span&gt;①頭の中にある言葉を下におろして置いておくイメージから、「Aを書き留める」という意味になる。
&lt;span class="spacer"&gt;&lt;/span&gt;②高くそびえたっているものをつかんで下に倒すイメージから、「Aを取り壊す」という意味になる。
&lt;div class="sample_image 2026_464"&gt;&lt;/div&gt;&lt;/span&gt;</t>
    <phoneticPr fontId="1"/>
  </si>
  <si>
    <t>&lt;span class="w"&gt;&lt;b&gt;【465.burn down ~：〜を全焼させる, （建物が）全焼する】&lt;/b&gt;&lt;/span&gt;
&lt;span class="ml"&gt;&lt;span class="explanation_tag"&gt;イメージ&lt;/span&gt;
［burn down A］は、何かが焼けて（burn）下に崩れる（down）イメージ。そこから「Aを全焼させる, （建物が）全焼する」という意味になる。
&lt;div class="sample_image 2026_465"&gt;&lt;/div&gt;&lt;/span&gt;</t>
    <phoneticPr fontId="1"/>
  </si>
  <si>
    <t>&lt;span class="w"&gt;&lt;b&gt;【467.run out：使い果たす, 尽きる】&lt;/b&gt;&lt;/span&gt;
&lt;span class="ml"&gt;&lt;span class="explanation_tag"&gt;語源&lt;/span&gt;
runは、16世紀後期に「ある状態になる」という第2文型（SVC）の動詞として使われるようになった。同じ時期にgoも同様の意味で使われている。また、comeにもcome trueのような「ある状態になる」という意味がある。
移動系の動詞の後に状態を続けることで、その状態のもとへ移動して「〜の状態になる」という意味になっている。
&lt;span class="spacer"&gt;&lt;/span&gt;1712年までにはrun low（ほとんど尽きかける）、1713年からrun out of（〜が尽きる）という表現が確認されている。
&lt;span class="spacer"&gt;&lt;/span&gt;&lt;span class="explanation_tag"&gt;イメージ&lt;/span&gt;
［run out］は、空っぽ（out）の状態になる（run）というイメージから、「使い果たす, 尽きる」という意味になる。
&lt;span class="spacer"&gt;&lt;/span&gt;何を使い果たすのかを示す場合は、［run out of A］という形にする。
&lt;div class="sample_image 2026_467"&gt;&lt;/div&gt;&lt;/span&gt;</t>
    <phoneticPr fontId="1"/>
  </si>
  <si>
    <t>&lt;span class="w"&gt;&lt;b&gt;【468.speak out / up：はっきり話す, 思い切って話す】&lt;/b&gt;&lt;/span&gt;
&lt;span class="ml"&gt;&lt;span class="explanation_tag"&gt;語源&lt;/span&gt;
［speak out］は、14世紀後期から「はっきり大きな声で話す」という意味で見られ、1690年代までには「自由かつ大胆に発言する」という意味になっていった。
&lt;span class="spacer"&gt;&lt;/span&gt;［speak up］は、1705年までに「誰かのために代弁する」という意味で見られ、1723年までには「大きな声で話す」という意味になった。
&lt;span class="spacer"&gt;&lt;/span&gt;&lt;span class="explanation_tag"&gt;イメージ&lt;/span&gt;
［speak out］は、自分の中にあることを言葉にして（speak）外に出す（out）イメージから、「はっきり話す, 思い切って話す」という意味になる。
&lt;span class="spacer"&gt;&lt;/span&gt;［speak up］は、音量や存在感を上げて（up）話す（speak）イメージから、大きい声で「はっきり話す」や、意見が求められる場でためらわず「思い切って話す」という意味になる。
&lt;div class="sample_image 2026_468"&gt;&lt;/div&gt;&lt;/span&gt;</t>
    <phoneticPr fontId="1"/>
  </si>
  <si>
    <t>&lt;span class="w"&gt;&lt;b&gt;【471.wear out (~)：〜をすり減らす, すり減る, 〜を疲れ果てさせる】&lt;/b&gt;&lt;/span&gt;
&lt;span class="ml"&gt;&lt;span class="explanation_tag"&gt;語源&lt;/span&gt;
wearは、古英語werianにさかのぼり、何かを着る・身につけることを意味した。衣服は繰り返し着ていると、擦れたり破れたりして消耗していく。そこから13世紀後期に「すり減らす」という意味へと発展し、14世紀後期までに、wear outで「使い果たしてボロボロにする」という意味で使われるようになった。
&lt;span class="spacer"&gt;&lt;/span&gt;&lt;span class="explanation_tag"&gt;イメージ&lt;/span&gt;
［wear out (A)］は、衣服を使い込んでボロボロにするように、「Aをすり減らす」、何かが「すり減る」という意味になる。
&lt;span class="spacer"&gt;&lt;/span&gt;また、物理的なすり減りが精神的なすり減りへと発展して、「Aを疲れ果てさせる」という意味にもなる。
&lt;span class="spacer"&gt;&lt;/span&gt;&lt;span class="explanation_tag"&gt;補足&lt;/span&gt;
wear ~ outの語順にもなる。
&lt;div class="sample_image 2026_471"&gt;&lt;/div&gt;&lt;/span&gt;</t>
    <phoneticPr fontId="1"/>
  </si>
  <si>
    <t>&lt;span class="w"&gt;&lt;b&gt;【472.roll out (~)：転がり出る, 〜を転がして出す, 新製品を製造（発表）する】&lt;/b&gt;&lt;/span&gt;
&lt;span class="ml"&gt;&lt;span class="explanation_tag"&gt;イメージ&lt;/span&gt;
［roll out (A)］は、巻かれているものを外側へ展開するイメージから、「転がり出る, 転がり出す」という意味になる。
&lt;span class="spacer"&gt;&lt;/span&gt;また、まだ表に出ていない新しいものを外の世界へ向けて転がり出すことから、「新製品を製造する, 発表する」という意味にもなる。
&lt;span class="spacer"&gt;&lt;/span&gt;&lt;span class="explanation_tag"&gt;補足&lt;/span&gt;
roll ~ outの語順にもなる。
&lt;div class="sample_image 2026_472"&gt;&lt;/div&gt;&lt;/span&gt;</t>
    <phoneticPr fontId="1"/>
  </si>
  <si>
    <t>&lt;span class="w"&gt;&lt;b&gt;【473.iron out ~：（問題など）を解決する, 調整する】&lt;/b&gt;&lt;/span&gt;
&lt;span class="ml"&gt;&lt;span class="explanation_tag"&gt;イメージ&lt;/span&gt;
［iron out A］は、アイロンをかけてしわを伸ばし、綺麗な状態へ整えるイメージで覚えればよい。そこから、問題・不一致・物事の詳細などに関して「Aを調整する, Aを解決する」という意味になる。
&lt;span class="spacer"&gt;&lt;/span&gt;&lt;span class="explanation_tag"&gt;補足&lt;/span&gt;
iron ~ outの語順にもなる。
&lt;div class="sample_image 2026_473"&gt;&lt;/div&gt;&lt;/span&gt;</t>
    <phoneticPr fontId="1"/>
  </si>
  <si>
    <t>&lt;span class="w"&gt;&lt;b&gt;【474.set off (~)：①出発する, ②〜を引き起こす】&lt;/b&gt;&lt;/span&gt;
&lt;span class="ml"&gt;&lt;span class="explanation_tag"&gt;イメージ&lt;/span&gt;
［set off (A)］は、セットされて止まっていた状態（set）から切り離されて（off）何かが始まるイメージ。そこから「出発する」「Aを引き起こす」といった意味になる。
&lt;span class="spacer"&gt;&lt;/span&gt;&lt;span class="explanation_tag"&gt;補足&lt;/span&gt;
set ~ offの語順にもなる。
&lt;div class="sample_image 2026_474"&gt;&lt;/div&gt;&lt;/span&gt;</t>
    <phoneticPr fontId="1"/>
  </si>
  <si>
    <t>&lt;span class="w"&gt;&lt;b&gt;【475.show off (~)：（〜を）見せびらかす】&lt;/b&gt;&lt;/span&gt;
&lt;span class="ml"&gt;&lt;span class="explanation_tag"&gt;イメージ&lt;/span&gt;
［show off (A)］は、他のものと一緒になっている状態から切り離して（off）それを際立たせて見せる（show）イメージから、「（Aを）見せびらかす」という意味になる。
&lt;span class="spacer"&gt;&lt;/span&gt;&lt;span class="explanation_tag"&gt;補足&lt;/span&gt;
show ~ offの語順にもなる。
&lt;div class="sample_image 2026_475"&gt;&lt;/div&gt;&lt;/span&gt;</t>
    <phoneticPr fontId="1"/>
  </si>
  <si>
    <t>&lt;span class="w"&gt;&lt;b&gt;【476.keep off ~：〜を近づけない, 〜に近づかない, 〜を慎む】&lt;/b&gt;&lt;/span&gt;
&lt;span class="ml"&gt;&lt;span class="explanation_tag"&gt;イメージ&lt;/span&gt;
［keep off A］は、Aを引き離した状態（off）を維持する（keep）イメージから、「Aに近づかない, Aを近づけない, Aを慎む」といった意味になる。このイメージをもとに、文脈に応じて日本語訳を考えればよい。
&lt;span class="spacer"&gt;&lt;/span&gt;&lt;span class="explanation_tag"&gt;補足&lt;/span&gt;
keep ~ offの語順にもなる。
&lt;div class="sample_image 2026_476"&gt;&lt;/div&gt;&lt;/span&gt;</t>
    <phoneticPr fontId="1"/>
  </si>
  <si>
    <t>&lt;span class="w"&gt;&lt;b&gt;【477.give off ~：（光・匂い・音など）を発する】&lt;/b&gt;&lt;/span&gt;
&lt;span class="ml"&gt;&lt;span class="explanation_tag"&gt;イメージ&lt;/span&gt;
［give off A］は、何かからAを切り離して（off）放つ（give）イメージから、光・匂い・音といった「Aを発する」という意味になる。
&lt;span class="spacer"&gt;&lt;/span&gt;&lt;span class="explanation_tag"&gt;補足&lt;/span&gt;
give ~ offの語順にもなる。
&lt;div class="sample_image 2026_477"&gt;&lt;/div&gt;&lt;/span&gt;</t>
    <phoneticPr fontId="1"/>
  </si>
  <si>
    <t>&lt;span class="w"&gt;&lt;b&gt;【478.break off (~)：（〜を）急にやめる, 〜を切り離す】&lt;/b&gt;&lt;/span&gt;
&lt;span class="ml"&gt;&lt;span class="explanation_tag"&gt;イメージ&lt;/span&gt;
［break off (A)］は、繋がっているものを壊して（break）引き離す（off）イメージから、物理的に「Aを切り離す」や、続いていた会話・行動・関係・交渉などを「急にやめる」という意味になる。
&lt;span class="spacer"&gt;&lt;/span&gt;&lt;span class="explanation_tag"&gt;補足&lt;/span&gt;
break ~ offの語順にもなる。
&lt;div class="sample_image 2026_478"&gt;&lt;/div&gt;&lt;/span&gt;</t>
    <phoneticPr fontId="1"/>
  </si>
  <si>
    <t>&lt;span class="w"&gt;&lt;b&gt;【479.take over (~)：①（〜を）引き継ぐ, ②〜を支配する】&lt;/b&gt;&lt;/span&gt;
&lt;span class="ml"&gt;&lt;span class="explanation_tag"&gt;イメージ&lt;/span&gt;
［take over (A)］のoverは、①「越えて」と②「全体を覆う」という意味。
&lt;span class="spacer"&gt;&lt;/span&gt;①向こう側のものを自分側に持ってきて（over）取る（take）イメージから、「（Aを）引き継ぐ」という意味になる。
&lt;span class="spacer"&gt;&lt;/span&gt;②ある対象Aの全体（over）をつかむ（take）イメージから、「Aを支配する」という意味になる。
&lt;span class="spacer"&gt;&lt;/span&gt;&lt;span class="explanation_tag"&gt;補足&lt;/span&gt;
take ~ overの語順にもなる。
&lt;div class="sample_image 2026_479"&gt;&lt;/div&gt;&lt;/span&gt;</t>
    <phoneticPr fontId="1"/>
  </si>
  <si>
    <t>&lt;span class="w"&gt;&lt;b&gt;【481.drop in：ふらっと立ち寄る】&lt;/b&gt;&lt;/span&gt;
&lt;span class="ml"&gt;&lt;span class="explanation_tag"&gt;イメージ&lt;/span&gt;
［drop in］は、ある空間の中に（in）自然と落ちていく（drop）イメージから、「ふらっと立ち寄る」という意味になる。
&lt;span class="spacer"&gt;&lt;/span&gt;立ち寄る対象は［drop in on 人］や［drop in at 場所］で示す。
&lt;div class="sample_image 2026_481"&gt;&lt;/div&gt;&lt;/span&gt;</t>
    <phoneticPr fontId="1"/>
  </si>
  <si>
    <t>&lt;span class="w"&gt;&lt;b&gt;【483.pass on ~：（物・情報など）〜を次に回す, 伝える】&lt;/b&gt;&lt;/span&gt;
&lt;span class="ml"&gt;&lt;span class="explanation_tag"&gt;イメージ&lt;/span&gt;
［pass on A］のonは、何かが次々に接触するような「継続・連続」を表す。Aを次に次に（on）渡していく（pass）イメージから、物や情報など「Aを次に回す, 伝える」という意味になる。
&lt;div class="sample_image 2026_483"&gt;&lt;/div&gt;&lt;/span&gt;</t>
    <phoneticPr fontId="1"/>
  </si>
  <si>
    <t>&lt;span class="w"&gt;&lt;b&gt;【484.give away ~：（秘密など）〜をばらす, 無料で〜をあげる, 〜を配る】&lt;/b&gt;&lt;/span&gt;
&lt;span class="ml"&gt;&lt;span class="explanation_tag"&gt;イメージ&lt;/span&gt;
［give away A］は、Aを自分の手元から遠くへ（away）手放す（give）イメージから、秘密など「Aをばらす」「無料でAをあげる」「Aを配る」といった意味になる。
&lt;div class="sample_image 2026_484"&gt;&lt;/div&gt;&lt;/span&gt;</t>
    <phoneticPr fontId="1"/>
  </si>
  <si>
    <t>&lt;span class="w"&gt;&lt;b&gt;【487.expose A to B：AをBにさらす】&lt;/b&gt;&lt;/span&gt;
&lt;span class="ml"&gt;&lt;span class="explanation_tag"&gt;語源&lt;/span&gt;
exposeは、ラテン語ex（外に）と、ponere（置く）が合わさってできた語。何かを外に置くことから、「さらす」という意味になる。
&lt;span class="spacer"&gt;&lt;/span&gt;そこから［expose A to B］は、「AをBにさらす」という意味になる。
&lt;div class="sample_image 2026_487"&gt;&lt;/div&gt;&lt;/span&gt;</t>
    <phoneticPr fontId="1"/>
  </si>
  <si>
    <t>&lt;span class="w"&gt;&lt;b&gt;【489.attach A to B：AをBに取り付ける】&lt;/b&gt;&lt;/span&gt;
&lt;span class="ml"&gt;&lt;span class="explanation_tag"&gt;語源&lt;/span&gt;
attachは、古フランス語a（〜へ）と、-tach（おそらく杭）が合わさってできた語。何かを杭で刺して動かなくすることから、「固定する, 取り付ける」という意味になった。
&lt;span class="spacer"&gt;&lt;/span&gt;そこから［attach A to B］は、「AをBに取り付ける, 固定する」という意味になる。
&lt;div class="sample_image 2026_489"&gt;&lt;/div&gt;&lt;/span&gt;</t>
    <phoneticPr fontId="1"/>
  </si>
  <si>
    <t>&lt;span class="w"&gt;&lt;b&gt;【490.attribute A to B：AをBの結果と考える, AをBに帰属させる】&lt;/b&gt;&lt;/span&gt;
&lt;span class="ml"&gt;&lt;span class="explanation_tag"&gt;語源&lt;/span&gt;
attributeは、ラテン語ad（〜へ）と、tribes（部族）から生まれたtibuere（割り当てる, 与える）が合わさってできた語。部族Aには①を、部族Bには②を、部族Cには③を…というように、「AをBに割り当てて与える」ことがattributeの核。
&lt;span class="spacer"&gt;&lt;/span&gt;そこから［attribute A to B］は、AをBに割り当てる＝「AをBの結果と考える, AをBに帰属させる」という意味になる。
&lt;span class="spacer"&gt;&lt;/span&gt;&lt;span class="explanation_tag"&gt;例&lt;/span&gt;
He attributed &lt;strong&gt;his success&lt;/strong&gt; to &lt;strong&gt;hard work&lt;/strong&gt;.
彼は&lt;strong&gt;成功&lt;/strong&gt;を&lt;strong&gt;努力&lt;strong&gt;の結果だと考えた。
&lt;span class="spacer"&gt;&lt;/span&gt;これは、successをhis workに割り当てることを表す。つまり「成功」を「彼の努力」のものとして考え、「彼の努力によって成功が生まれた」という意味になる。
&lt;div class="sample_image 2026_490"&gt;&lt;/div&gt;&lt;/span&gt;</t>
    <phoneticPr fontId="1"/>
  </si>
  <si>
    <t>&lt;span class="w"&gt;&lt;b&gt;【492.confine A to B：AをBに限定する, AをBに閉じ込める】&lt;/b&gt;&lt;/span&gt;
&lt;span class="ml"&gt;&lt;span class="explanation_tag"&gt;語源&lt;/span&gt;
confineは、ラテン語com（共に）と、finis（終わり, 境界）が合わさってできた語。
もともとは【X ｜ Y】のように、領土や土地の境界を共有していることを表したが、そこから境界の中から出ないように「閉じ込める」という意味になった。
&lt;span class="spacer"&gt;&lt;/span&gt;［confine A to B］は、境界線を引いて「AをBの中に閉じ込める」「AをBに限定する」という意味になる。
&lt;div class="sample_image 2026_492"&gt;&lt;/div&gt;&lt;/span&gt;</t>
    <phoneticPr fontId="1"/>
  </si>
  <si>
    <t>&lt;span class="w"&gt;&lt;b&gt;【496.forbid A from doing：Aに〜するのを禁止する】&lt;/b&gt;&lt;/span&gt;
&lt;span class="ml"&gt;&lt;span class="explanation_tag"&gt;語源&lt;/span&gt;
forbidは古英語にさかのぼり、for（反対に）とbeodan（命令する）が合わさってできた語。何かをしないように命令することから、「禁止する」という意味になる。
&lt;span class="spacer"&gt;&lt;/span&gt;［forbid A from doing］は、Aに禁止を言い渡してdoingから遠ざける＝「Aに〜するのを禁止する」という意味になる。
&lt;div class="sample_image 2026_496"&gt;&lt;/div&gt;&lt;/span&gt;</t>
    <phoneticPr fontId="1"/>
  </si>
  <si>
    <t>&lt;span class="w"&gt;&lt;b&gt;【497.prohibit A from doing：Aに〜するのを禁止する】&lt;/b&gt;&lt;/span&gt;
&lt;span class="ml"&gt;&lt;span class="explanation_tag"&gt;語源&lt;/span&gt;
prohibitは、ラテン語pro（前に）と、habere（持つ）が合わさってできた語。何かから遠ざけるために対象を前方に持っていくことから、何かを「禁止する」という意味になる。
&lt;span class="spacer"&gt;&lt;/span&gt;［prohibit A from doing］は、doingから距離を取って、離れた方へAを持っていくイメージから、Aに禁止を言い渡してdoingから遠ざける＝「Aに〜するのを禁止する」という意味になる。
&lt;div class="sample_image 2026_497"&gt;&lt;/div&gt;&lt;/span&gt;</t>
    <phoneticPr fontId="1"/>
  </si>
  <si>
    <t>&lt;span class="w"&gt;&lt;b&gt;【507.accuse A of B：AをBのことで非難する, 告訴する】&lt;/b&gt;&lt;/span&gt;
&lt;span class="ml"&gt;&lt;span class="explanation_tag"&gt;語源&lt;/span&gt;
accuseは、ラテン語ad（〜へ）と、causa（原因, 訴訟）が合わさってできた語。誰かに対して原因や訴訟を向けることから、相手を「非難する, 告訴する」という意味になった。
&lt;span class="spacer"&gt;&lt;/span&gt;ラテン語causaは、英語cause（原因）の語源でもある。
&lt;span class="spacer"&gt;&lt;/span&gt;&lt;span class="explanation_tag"&gt;イメージ&lt;/span&gt;
［accuse A of B］は語源から考えると、Bのことで（of B）Aに対して（ac）原因（cuse）を向けるというイメージ。そこから「BのことでAを非難する. 告訴する」という意味になる。
&lt;span class="spacer"&gt;&lt;/span&gt;&lt;span class="explanation_tag"&gt;関連語&lt;/span&gt;
excuse（許す, 言い訳をする）は、ラテン語ex（外に）と、causa（原因, 訴訟）が合わさってできた語。対象を原因や訴訟から外すイメージ。そこから、相手に原因を向けない＝「許す」や、原因を自分に向けない＝「言い訳をする」といった意味になった。
&lt;div class="sample_image 2026_507"&gt;&lt;/div&gt;&lt;/span&gt;</t>
    <phoneticPr fontId="1"/>
  </si>
  <si>
    <t>&lt;span class="w"&gt;&lt;b&gt;【508.suspect A of B：BについてAを疑う】&lt;/b&gt;&lt;/span&gt;
&lt;span class="ml"&gt;&lt;span class="explanation_tag"&gt;語源&lt;/span&gt;
suspectは、ラテン語sub（下から）と、specere（見る）が合わさってできた語。下からこっそり見上げて疑いの目を向けるイメージから「疑う」という意味になる。
&lt;span class="spacer"&gt;&lt;/span&gt;そこから［suspect A of B］は、「BについてAを疑う」という意味になる。
&lt;div class="sample_image 2026_508"&gt;&lt;/div&gt;&lt;/span&gt;</t>
    <phoneticPr fontId="1"/>
  </si>
  <si>
    <t>&lt;span class="w"&gt;&lt;b&gt;【509.assure A of B：A（人）にBを保証する】&lt;/b&gt;&lt;/span&gt;
&lt;span class="ml"&gt;&lt;span class="explanation_tag"&gt;語源&lt;/span&gt;
assureは、ラテン語ad（〜へ）と、se（離れて）cura（注意）が合わさってできた語。対象を注意から離れた状態にする、相手を心配がない状態にすることから、何かを「保証する, 自信を持って言う」という意味になる。
&lt;span class="spacer"&gt;&lt;/span&gt;&lt;span class="explanation_tag"&gt;イメージ&lt;/span&gt;
［assure A of B］は、Bについて、A（人）を心配から離れた状態にすることから、「AにBを保証する」という意味になる。
&lt;span class="spacer"&gt;&lt;/span&gt;&lt;span class="explanation_tag"&gt;関連語&lt;/span&gt;
ラテン語se（離れて）＋cura（注意）からは、英語のsure（確信して）やsecure（安全な）も生まれている。
&lt;span class="spacer"&gt;&lt;/span&gt;どちらも核は、注意から離れている状態。注意（や心配）から解放されているということが、一切の不安のない確信（sure）や安全（secure）へとつながった。
&lt;div class="sample_image 2026_509"&gt;&lt;/div&gt;&lt;/span&gt;</t>
    <phoneticPr fontId="1"/>
  </si>
  <si>
    <t>&lt;span class="w"&gt;&lt;b&gt;【511.talk A into B：Aを説得してBをさせる】&lt;/b&gt;&lt;/span&gt;
&lt;span class="ml"&gt;&lt;span class="explanation_tag"&gt;イメージ&lt;/span&gt;
［talk A into B］は、話すことで（talk）AをBの中に入れ込む（A into B）イメージ。そこから「Aを説得してBさせる」という意味になる。
&lt;span class="spacer"&gt;&lt;/span&gt;Aには〈人〉が、Bには〈名詞・動名詞〉が来る。
&lt;span class="spacer"&gt;&lt;/span&gt;&lt;span class="explanation_tag"&gt;補足&lt;/span&gt;
intoの反対のout ofにして「talk A out of B」は、「Aを説得してBをやめさせる」という意味になる。
&lt;div class="sample_image 2026_511"&gt;&lt;/div&gt;&lt;/span&gt;</t>
    <phoneticPr fontId="1"/>
  </si>
  <si>
    <t>&lt;span class="w"&gt;&lt;b&gt;【513.diagnose A as / with B：AをBと診断する】&lt;/b&gt;&lt;/span&gt;
&lt;span class="ml"&gt;&lt;span class="explanation_tag"&gt;語源&lt;/span&gt;
diagnoseは、ギリシャ語dia（間に）と、gignōskein（学ぶ, 知るようになる）が合わさってできた語。様々な物事の間にある差異を知り、それぞれを区別する・識別することから、医学において、症状を見分けて病名を特定する＝「診断する」という意味になった。
&lt;span class="spacer"&gt;&lt;/span&gt;&lt;span class="explanation_tag"&gt;イメージ&lt;/span&gt;
［diagnose A as B］は、A：&lt;strong&gt;症状・人&lt;/strong&gt;を、B：&lt;strong&gt;病名&lt;/strong&gt;だと「診断する」という意味になる。
&lt;span class="spacer"&gt;&lt;/span&gt;［diagnose A with B］は、A：&lt;strong&gt;人&lt;/strong&gt;を、B：&lt;strong&gt;病名&lt;/strong&gt;だと「診断する」という意味になる。
&lt;div class="sample_image 2026_513"&gt;&lt;/div&gt;&lt;/span&gt;</t>
    <phoneticPr fontId="1"/>
  </si>
  <si>
    <t>&lt;span class="w"&gt;&lt;b&gt;【514.strike A as B：AにBの印象を与える】&lt;/b&gt;&lt;/span&gt;
&lt;span class="ml"&gt;&lt;span class="explanation_tag"&gt;語源&lt;/span&gt;
asは、古英語eal（all）と、swa（so）が縮まってできた語。直訳すると「全くその通り」となる。asの核は「同じ, イコール」というイメージ。
&lt;span class="spacer"&gt;&lt;/span&gt;&lt;span class="explanation_tag"&gt;イメージ&lt;/span&gt;
strikeは、物理的に打つことから比喩的に、心に印象を打ち込むことを表す。
&lt;span class="spacer"&gt;&lt;/span&gt;［S strike A as B］は、SがAに対して、S＝B（S as B）という印象を打ち込むイメージ。そこから、「AにBという印象を与える」という意味になる。
&lt;div class="sample_image 2026_514"&gt;&lt;/div&gt;&lt;/span&gt;</t>
    <phoneticPr fontId="1"/>
  </si>
  <si>
    <t>&lt;span class="w"&gt;&lt;b&gt;【521.take one's place：①いつもの席につく, ②〜に取って代わる】&lt;/b&gt;&lt;/span&gt;
&lt;span class="ml"&gt;&lt;span class="explanation_tag"&gt;イメージ&lt;/span&gt;
［S take one's place］は、Sとoneの関係で考える。
&lt;span class="spacer"&gt;&lt;/span&gt;【S＝oneの場合】
直訳すると「Sは自分自身の場所を取る」となるので、「いつもの席につく」という意味になる。
&lt;span class="spacer"&gt;&lt;/span&gt;【S≠oneの場合】
直訳すると「Sは誰か・何かの場所を取る」となるので、「〜に取って代わる」という意味になる。
&lt;div class="sample_image 2026_521"&gt;&lt;/div&gt;&lt;/span&gt;</t>
    <phoneticPr fontId="1"/>
  </si>
  <si>
    <t>&lt;span class="w"&gt;&lt;b&gt;【551.be subject to ~：〜を受けやすい, 〜に服従している】&lt;/b&gt;&lt;/span&gt;
&lt;span class="ml"&gt;&lt;span class="explanation_tag"&gt;語源&lt;/span&gt;
subjectは、ラテン語sub（下に）と、icere（投げる）が合わさってできた語。上から下に投げられるというイメージから、「上下関係の下に置かれている」ことを表す。
&lt;span class="spacer"&gt;&lt;/span&gt;&lt;span class="explanation_tag"&gt;イメージ&lt;/span&gt;
［be subject to A］は、Aに対して下に置かれているというイメージから、「Aを受けやすい」「Aに服従している」など、文脈に応じて様々な意味になる。
&lt;span class="spacer"&gt;&lt;/span&gt;この表現は、Aの支配下にある、Aの影響下にあるというイメージで覚えればよい。
&lt;div class="sample_image 2026_551"&gt;&lt;/div&gt;&lt;/span&gt;</t>
    <phoneticPr fontId="1"/>
  </si>
  <si>
    <t>&lt;span class="w"&gt;&lt;b&gt;【559.be peculiar to ~：〜に特有である】&lt;/b&gt;&lt;/span&gt;
&lt;span class="ml"&gt;&lt;span class="explanation_tag"&gt;語源&lt;/span&gt;
peculiarは、ラテン語pecu（家畜）と、ulium（小さいことを表す）が合わさってできた語peculium（家畜の小さな群れ）に由来する。
&lt;span class="spacer"&gt;&lt;/span&gt;古代ローマの時代、移動して連れて行ける家畜は最も重要な財産であった。「家畜の小さな群れ」は、家長から自分の子供や奴隷に与えられた一部の家畜を表し、その人だけの財産を意味した。
&lt;span class="spacer"&gt;&lt;/span&gt;その後、財産に限定されず、特定の人や場所のみに属している状態を表すようになって、「特有の」という意味になった。
&lt;span class="spacer"&gt;&lt;/span&gt;&lt;span class="explanation_tag"&gt;イメージ&lt;/span&gt;
［be peculiar to A］は、Aにのみ属していることを表して、「Aに特有である」という意味になる。
&lt;div class="sample_image 2026_559"&gt;&lt;/div&gt;&lt;/span&gt;</t>
    <phoneticPr fontId="1"/>
  </si>
  <si>
    <t>&lt;span class="w"&gt;&lt;b&gt;【560.be prone to ~：〜になりやすい】&lt;/b&gt;&lt;/span&gt;
&lt;span class="ml"&gt;&lt;span class="explanation_tag"&gt;語源&lt;/span&gt;
proneは、ラテン語pro（前へ）が形容詞になった語。前かがみになっている、前のめりになっていることから、「〜になりやすい」「〜しがちである」といった傾向を意味するようになった。
&lt;span class="spacer"&gt;&lt;/span&gt;&lt;span class="explanation_tag"&gt;イメージ&lt;/span&gt;
［be prone to A］は語源から考えると、Aの方に（to A）前のめりになっている（be prone）イメージから、「Aになりやすい」という意味になる。
&lt;span class="spacer"&gt;&lt;/span&gt;［be prone to do］なら「〜しがちである」という意味になる。
&lt;div class="sample_image 2026_560"&gt;&lt;/div&gt;&lt;/span&gt;</t>
    <phoneticPr fontId="1"/>
  </si>
  <si>
    <t>&lt;span class="w"&gt;&lt;b&gt;【562.be involved in ~：①〜に携わっている, ②〜に熱中している】&lt;/b&gt;&lt;/span&gt;
&lt;span class="ml"&gt;&lt;span class="explanation_tag"&gt;語源&lt;/span&gt;
involveは、ラテン語in（中に）と、volvere（巻く, 回す, 転がす）が合わさってできた語。ある事柄の中に巻き込んでいくイメージから「関与させる」という意味になる。
&lt;span class="spacer"&gt;&lt;/span&gt;&lt;span class="explanation_tag"&gt;イメージ&lt;/span&gt;
［S be involved in A］は語源から考えると、SがAの中に巻き込まれているイメージになる。そこから「SはAに携わっている」という意味になる。
&lt;span class="spacer"&gt;&lt;/span&gt;またSがAの中に深く入り込んでくイメージから、「SはAに熱中している」という意味にもなる。
&lt;div class="sample_image 2026_562"&gt;&lt;/div&gt;&lt;/span&gt;</t>
    <phoneticPr fontId="1"/>
  </si>
  <si>
    <t>&lt;span class="w"&gt;&lt;b&gt;【563.be absorbed in ~：〜に熱中している】&lt;/b&gt;&lt;/span&gt;
&lt;span class="ml"&gt;&lt;span class="explanation_tag"&gt;語源&lt;/span&gt;
absorbは、ラテン語ab（離れて）と、sorbere（吸い込む）が合わさってできた語。対象を吸い込んで自分の一部にすることから「吸収する」という意味になる。また比喩的に、何かが人の注意を吸い込むことから、人を「夢中にさせる」という意味にもなる。
&lt;span class="spacer"&gt;&lt;/span&gt;&lt;span class="explanation_tag"&gt;イメージ&lt;/span&gt;
［S be absorbed in A］は、SがAの中に吸い込まれていくイメージから、「SはAに熱中している」という意味になる。
&lt;div class="sample_image 2026_563"&gt;&lt;/div&gt;&lt;/span&gt;</t>
    <phoneticPr fontId="1"/>
  </si>
  <si>
    <t>&lt;span class="w"&gt;&lt;b&gt;【565.be versed in ~：〜に詳しい, 〜に精通している】&lt;/b&gt;&lt;/span&gt;
&lt;span class="ml"&gt;&lt;span class="explanation_tag"&gt;語源&lt;/span&gt;
versedは、ラテン語vertere（回す, 向ける）の反復形versare（繰り返し回す）に由来する。ある物事を何度も繰り返すことから「詳しい, 精通している」という意味になる。
&lt;span class="spacer"&gt;&lt;/span&gt;&lt;span class="explanation_tag"&gt;イメージ&lt;/span&gt;
［be versed in A］は、Aという範囲において何度も繰り返しているので、「Aに詳しい, Aに精通している」という意味になる。
&lt;span class="spacer"&gt;&lt;/span&gt;&lt;span class="explanation_tag"&gt;関連語&lt;/span&gt;
ラテン語vertere（回す）からは、以下の語も生まれている。
&lt;span class="spacer"&gt;&lt;/span&gt;universe：uni（一つ）vertere（回す）：全てが一つにまとまったもの, 宇宙
&lt;span class="spacer"&gt;&lt;/span&gt;anniversary：anni（1年）vertere（回す）：1年が回ってきた日, 年一の記念日, 周年
&lt;div class="sample_image 2026_565"&gt;&lt;/div&gt;&lt;/span&gt;</t>
    <phoneticPr fontId="1"/>
  </si>
  <si>
    <t>&lt;span class="w"&gt;&lt;b&gt;【569.be equipped with ~：〜を備えている】&lt;/b&gt;&lt;/span&gt;
&lt;span class="ml"&gt;&lt;span class="explanation_tag"&gt;語源&lt;/span&gt;
古ノルド語skip（船）から派生したskipa（船を装備する, 整える, 秩序立てて配置する）に由来する。
&lt;span class="spacer"&gt;&lt;/span&gt;もともとは船に関する用語で、出港に必要な物を船に装備することを表した。そこから船に限定されず、一般的に使われるようになって、特定の目的に必要なモノ・知識・スキルなどを「備えつける」という意味になった。
&lt;span class="spacer"&gt;&lt;/span&gt;equipは、［equip A with B］という形で「AにBを備えつける」という意味になる。
&lt;span class="spacer"&gt;&lt;/span&gt;&lt;span class="explanation_tag"&gt;イメージ&lt;/span&gt;
「A be equipped with B」は、［equip A with B：AにBを備えつける］が、Aを主語とする受動態になったもの。そこから、「AはBを備えている」という意味になる。
&lt;div class="sample_image 2026_569"&gt;&lt;/div&gt;&lt;/span&gt;</t>
    <phoneticPr fontId="1"/>
  </si>
  <si>
    <t>&lt;span class="w"&gt;&lt;b&gt;【577.be considerate of / to ~：〜に思いやりのある】&lt;/b&gt;&lt;/span&gt;
&lt;span class="ml"&gt;&lt;span class="explanation_tag"&gt;イメージ&lt;/span&gt;
considerateは、consider（よく考える）の形容詞と考えればよい。何かに対してじっくりとよく考えることから、周囲の事情・他人や動物・他人の気持ちなどをよく考え、配慮する様子を表す。
&lt;span class="spacer"&gt;&lt;/span&gt;［be considerate of / to A］は、「Aに関して（of A）・Aに対して（to A）思いやりのある」という意味になる。
&lt;div class="sample_image 2026_577"&gt;&lt;/div&gt;&lt;/span&gt;</t>
    <phoneticPr fontId="1"/>
  </si>
  <si>
    <t>&lt;span class="w"&gt;&lt;b&gt;【579.be convinced of ~：〜を確信している】&lt;/b&gt;&lt;/span&gt;
&lt;span class="ml"&gt;&lt;span class="explanation_tag"&gt;convinceの語源&lt;/span&gt;
convinceは、ラテン語com（強意）と、vincere（征服する）が合わさってできた語。
&lt;span class="spacer"&gt;&lt;/span&gt;論争において相手を完全に打ち負かすことから、相手に自分の主張を「納得させる, 確信させる」という意味になる。
&lt;span class="spacer"&gt;&lt;/span&gt;convinceは、［convince A of B］という形で「AにBを納得させる, 確信させる」という意味になる。
&lt;span class="spacer"&gt;&lt;/span&gt;&lt;span class="explanation_tag"&gt;イメージ&lt;/span&gt;
［A be convinced of B］は、［convince A of B］が、Aを主語とする受動態になったもの。そこから、「AはBを確信している」という意味になる。
&lt;span class="spacer"&gt;&lt;/span&gt;&lt;span class="explanation_tag"&gt;関連語&lt;/span&gt;
ラテン語vincere（征服する）からは、以下の語も生まれている。
&lt;span class="spacer"&gt;&lt;/span&gt;victory（勝利）
&lt;div class="sample_image 2026_579"&gt;&lt;/div&gt;&lt;/span&gt;</t>
    <phoneticPr fontId="1"/>
  </si>
  <si>
    <t>&lt;span class="w"&gt;&lt;b&gt;【584.be particular about / over ~：〜について口うるさい, 〜にこだわる】&lt;/b&gt;&lt;/span&gt;
&lt;span class="ml"&gt;&lt;span class="explanation_tag"&gt;語源&lt;/span&gt;
particularは、ラテン語pars（部分）と、cula（小さいことを表す）が合わさってできた形容詞。
&lt;span class="spacer"&gt;&lt;/span&gt;全体ではなく、特定の小さな部分を表すことから、「特定の」という意味になる。また全体ではなく、細かい部分に目がいくということから「こだわる, 口うるさい」という意味になる。
&lt;span class="spacer"&gt;&lt;/span&gt;［be particular about / over A］は、Aに関して細かい部分に目がいくことを表して、「Aについて口うるさい」や「Aにこだわる」という意味になる。
&lt;div class="sample_image 2026_584"&gt;&lt;/div&gt;&lt;/span&gt;</t>
    <phoneticPr fontId="1"/>
  </si>
  <si>
    <t>&lt;span class="w"&gt;&lt;b&gt;【588.do ~ good：～のためになる, ～に役立つ】&lt;/b&gt;&lt;/span&gt;
&lt;span class="ml"&gt;&lt;span class="explanation_tag"&gt;語源&lt;/span&gt;
doは、古英語donにさかのぼり、現代英語で言えばmake, act, perform, causeなど、様々な意味で使われていた。［do A good］のdoは、cause（引き起こす）に近い意味を持っている。
&lt;span class="spacer"&gt;&lt;/span&gt;&lt;span class="explanation_tag"&gt;イメージ&lt;/span&gt;
［do A good］のdoは「引き起こす」、goodは名詞で「良いこと, 利益」を意味する。Aに良いことを引き起こすことから、「Aのためになる, Aに役立つ」という意味になる。
&lt;div class="sample_image 2026_588"&gt;&lt;/div&gt;&lt;/span&gt;</t>
    <phoneticPr fontId="1"/>
  </si>
  <si>
    <t>&lt;span class="w"&gt;&lt;b&gt;【596.sign up for ~：（受講など）の届け出をする, ～に加わる】&lt;/b&gt;&lt;/span&gt;
&lt;span class="ml"&gt;&lt;span class="explanation_tag"&gt;イメージ&lt;/span&gt;
［sign up for A］は、Aのための（for A）登録者名簿に署名して（sign）載せる（up）イメージ。そこから「（受講など）の届け出をする, ～に加わる」といった意味になる。
&lt;span class="spacer"&gt;&lt;/span&gt;&lt;span class="explanation_tag"&gt;補足&lt;/span&gt;
サイトやアプリなどで自分のアカウントに入ることを「サインイン」という。これは、IDやパスワードなどを書き込む＝署名して中に入るイメージ。
&lt;span class="spacer"&gt;&lt;/span&gt;「サインアップ」は登録して加わるときに使われるワード。
&lt;div class="sample_image 2026_596"&gt;&lt;/div&gt;&lt;/span&gt;</t>
    <phoneticPr fontId="1"/>
  </si>
  <si>
    <t>&lt;span class="w"&gt;&lt;b&gt;【598.in terms of ~：～の観点から, ～に換算して】&lt;/b&gt;&lt;/span&gt;
&lt;span class="ml"&gt;&lt;span class="explanation_tag"&gt;語源&lt;/span&gt;
termは、ラテン語terminus（終わり, 境界線）に由来する。境界線は範囲の終わりを示すものなので、termの核は「範囲の限定」となる。
&lt;span class="spacer"&gt;&lt;/span&gt;①言葉に関して
言葉はさまざまな使い方ができるが、使い方の範囲が定められている言葉は「用語」となる。
&lt;span class="spacer"&gt;&lt;/span&gt;②時間に関して
時間は無限だが、範囲が定められている時間＝は「期間, 学期」となる。
&lt;span class="spacer"&gt;&lt;/span&gt;③関係性に関して
関係性は多様だが、範囲が定められている関係性はterms「間柄」となる。
&lt;span class="spacer"&gt;&lt;/span&gt;④無条件ではなく、範囲が定められている状態はterms「条件」となる。
&lt;span class="spacer"&gt;&lt;/span&gt;&lt;span class="explanation_tag"&gt;イメージ&lt;/span&gt;
［in terms of A］は、語源で見たtermの核（範囲の限定）から考えると、話題や考え方をAという範囲に限定するイメージになる。そこから「Aの観点から, Aに換算して」といった意味になる。
&lt;div class="sample_image 2026_598"&gt;&lt;/div&gt;&lt;/span&gt;</t>
    <phoneticPr fontId="1"/>
  </si>
  <si>
    <t>&lt;span class="w"&gt;&lt;b&gt;【605.in charge of ~：〜を管理して, 〜を担当して】&lt;/b&gt;&lt;/span&gt;
&lt;span class="ml"&gt;&lt;span class="explanation_tag"&gt;語源&lt;/span&gt;
chargeは、ラテン語carrus（二輪の荷車）に由来する。&lt;span class="obsolete"&gt;このラテン語からはcar（車）やcarry（運ぶ）も生まれている。&lt;/span&gt;
&lt;span class="spacer"&gt;&lt;/span&gt;二輪の荷車に荷物を積むという対象に負担をかけるイメージから、次のような意味の広がりが見られる。
&lt;span class="spacer"&gt;&lt;/span&gt;①荷物を預かる側：「管理, 世話」
&lt;span class="spacer"&gt;&lt;/span&gt;②精神的負担：「責任」
&lt;span class="spacer"&gt;&lt;/span&gt;③金銭的な負担：支払うべき「料金」
&lt;span class="spacer"&gt;&lt;/span&gt;④法的な負担：罪状を課す＝「告発」
&lt;span class="spacer"&gt;&lt;/span&gt;&lt;span class="explanation_tag"&gt;イメージ&lt;/span&gt;
［in charge of A］は、Aを預かって管理する状態にいることを表して、「Aを管理して, Aを担当して」といった意味になる。
&lt;div class="sample_image 2026_605"&gt;&lt;/div&gt;&lt;/span&gt;</t>
    <phoneticPr fontId="1"/>
  </si>
  <si>
    <t>&lt;span class="w"&gt;&lt;b&gt;【616.at the expense of ~：〜を犠牲にして】&lt;/b&gt;&lt;/span&gt;
&lt;span class="ml"&gt;&lt;span class="explanation_tag"&gt;語源&lt;/span&gt;
expenseは、ラテン語ex（外に）と、pendere（吊るす）が合さってできた語。当時はお金を天秤に吊るし、重さを量ることで支払いが行われたことから、外に吊るすものは支払われるものを表す。そこから「費用, 経費」という意味になった。
&lt;span class="spacer"&gt;&lt;/span&gt;また、お金を支払うことから意味が広がり、時間や労力、健康などの目に見えない価値あるものを支払うことから、「犠牲」という意味にもなった。
&lt;span class="spacer"&gt;&lt;/span&gt;&lt;span class="explanation_tag"&gt;イメージ&lt;/span&gt;
［at the expense of A］は、Aという価値あるもの・望ましいものを外に差し出すことを表して、「Aを犠牲にして」という意味になる。
&lt;div class="sample_image 2026_616"&gt;&lt;/div&gt;&lt;/span&gt;</t>
    <phoneticPr fontId="1"/>
  </si>
  <si>
    <t>&lt;span class="w"&gt;&lt;b&gt;【618.at the mercy of ~：〜のなすがままになって】&lt;/b&gt;&lt;/span&gt;
&lt;span class="ml"&gt;&lt;span class="explanation_tag"&gt;語源&lt;/span&gt;
mercyは、ラテン語&lt;span class="arrow"&gt;→&lt;/span&gt;古フランス語&lt;span class="arrow"&gt;→&lt;/span&gt;中英語という流れで伝わり、12世紀後期に「慈悲（情け・神が罪を赦すこと）」という意味で使われた。
&lt;span class="spacer"&gt;&lt;/span&gt;&lt;span class="explanation_tag"&gt;イメージ&lt;/span&gt;
［at the mercy of A］は、罪が赦されるかどうかが神の慈悲次第であるように、今後どうなるかがAに支配されていることを表して、「Aのなすがままになって」という意味になる。
&lt;div class="sample_image 2026_618"&gt;&lt;/div&gt;&lt;/span&gt;</t>
    <phoneticPr fontId="1"/>
  </si>
  <si>
    <t>&lt;span class="w"&gt;&lt;b&gt;【622.on / in behalf of ~：①〜に代わって, 〜を代表して, ②〜のために】&lt;/b&gt;&lt;/span&gt;
&lt;span class="ml"&gt;&lt;span class="explanation_tag"&gt;語源&lt;/span&gt;
behalfは、古英語be （byの語源）と、healfe（左右の側面：halfの語源）が合さってできた語。もともとは、現代英語で言えばby halfという2語であり、「何かのそばに」という位置関係を表した。
&lt;span class="spacer"&gt;&lt;/span&gt;そこから比喩的に、誰かのそばに立つ、その人のために行動する、その人を擁護するというニュアンスへと発展し、「味方」や「利益」という意味になった。
&lt;span class="spacer"&gt;&lt;/span&gt;&lt;span class="explanation_tag"&gt;イメージ&lt;/span&gt;
［on behalf of A］
［in behalf of A］
［on A's behalf］
&lt;span class="spacer"&gt;&lt;/span&gt;これらは、Aのそばに立って行動するイメージから、「Aの代わりに, Aを代表して」や「Aのために」という意味になる。
&lt;div class="sample_image 2026_622"&gt;&lt;/div&gt;&lt;/span&gt;</t>
    <phoneticPr fontId="1"/>
  </si>
  <si>
    <t>&lt;span class="w"&gt;&lt;b&gt;【623.on a / the charge of ~：〜の容疑 / 罪で】&lt;/b&gt;&lt;/span&gt;
&lt;span class="ml"&gt;&lt;span class="explanation_tag"&gt;語源&lt;/span&gt;
chargeは、ラテン語carrus（二輪の荷車）に由来する。&lt;span class="obsolete"&gt;このラテン語からはcar（車）やcarry（運ぶ）も生まれている。&lt;/span&gt;
&lt;span class="spacer"&gt;&lt;/span&gt;二輪の荷車に荷物を積むという対象に負担をかけるイメージから、次のような意味の広がりが見られる。
&lt;span class="spacer"&gt;&lt;/span&gt;①荷物を預かる側：「管理, 世話」
&lt;span class="spacer"&gt;&lt;/span&gt;②精神的負担：「責任」
&lt;span class="spacer"&gt;&lt;/span&gt;③金銭的な負担：支払うべき「料金」
&lt;span class="spacer"&gt;&lt;/span&gt;④法的な負担：罪状を課す＝「告発」
&lt;span class="spacer"&gt;&lt;/span&gt;&lt;span class="explanation_tag"&gt;イメージ&lt;/span&gt;
［on a / the charge of A］のchargeは、語源の④法的な責任・罪を意味して、Aの罪（a / the charge of A）に基づいて（on）というイメージ。そこから「Aの罪で, Aの容疑で」という意味になる。
&lt;div class="sample_image 2026_623"&gt;&lt;/div&gt;&lt;/span&gt;</t>
    <phoneticPr fontId="1"/>
  </si>
  <si>
    <t>&lt;span class="w"&gt;&lt;b&gt;【627.in place：①あるべき場所に, 正しい位置に, ②整っている, 準備できている】&lt;/b&gt;&lt;/span&gt;
&lt;span class="ml"&gt;&lt;span class="explanation_tag"&gt;イメージ&lt;/span&gt;
［in place］は、ある物が本来置かれているべき場所に存在するというイメージ。そこから、①「あるべき場所に, 正しい位置に」という意味になる。
&lt;span class="spacer"&gt;&lt;/span&gt;さらに物理的な位置から発展して、物事があるべき場所にあるということから、仕組み・制度などが「整っている, 準備できている」といった意味になる。
&lt;div class="sample_image 2026_627"&gt;&lt;/div&gt;&lt;/span&gt;</t>
    <phoneticPr fontId="1"/>
  </si>
  <si>
    <t>&lt;span class="w"&gt;&lt;b&gt;【724.hardly ~ when / before …：〜するかしないうちに…】&lt;/b&gt;&lt;/span&gt;
&lt;span class="ml"&gt;hardly以外にも、scarcely / barelyも使われる。
&lt;span class="spacer"&gt;&lt;/span&gt;&lt;span class="explanation_tag"&gt;hardlyの語源&lt;/span&gt;
hardlyは、hard（困難な, 厳しい）にlyが付いて副詞になった語。困難で苦労して何かを行うことから、簡単にはできないという意味を経て、そして「ほとんど〜ない」という意味になった。
ハードなことはやり遂げることが簡単ではないので、&lt;strong&gt;ほとんど&lt;/strong&gt;でき&lt;strong&gt;ない&lt;/strong&gt;、というイメージ。
&lt;span class="spacer"&gt;&lt;/span&gt;&lt;span class="explanation_tag"&gt;scarcelyの語源&lt;/span&gt;
scarcelyは、scarce（乏しい）にlyが付いて副詞になった語。
scarceは、ラテン語ex（外に）と、cerpere（取る）が合わさってできた語で、何かを摘み取ることから、摘み取った後の乏しい状態を表すようになった。
scarcelyは、摘み取られてほとんど残っていないから、「ほとんど〜ない」というイメージ。
&lt;span class="spacer"&gt;&lt;/span&gt;&lt;span class="explanation_tag"&gt;barelyの語源&lt;/span&gt;
barelyは、bare（むき出しの）にlyが付いて副詞になった語。むき出しという意味から、ほとんど何もない状態へと発展して、「ほとんど〜ない」という意味になった。
&lt;span class="spacer"&gt;&lt;/span&gt;&lt;span class="explanation_tag"&gt;イメージ&lt;/span&gt;
［hardly ~ when / before …］は、「…のとき / …の前」に、「ほとんど〜していないか、してるかの状態」という、2つの出来事が時系列において重なり合うくらい近いことを表す表現。そこから「〜するかしないうちに…」という訳になる。
&lt;div class="sample_image 2026_724"&gt;&lt;/div&gt;&lt;/span&gt;</t>
    <phoneticPr fontId="1"/>
  </si>
  <si>
    <t>&lt;span class="w"&gt;&lt;b&gt;【742.be supposed to do：〜することになっている】&lt;/b&gt;&lt;/span&gt;
&lt;span class="ml"&gt;&lt;span class="explanation_tag"&gt;語源&lt;/span&gt;
supposeは、ラテン語sub（下に）と、ponere（置く）が合わさってできた語。思考において、何かを既にあるものとして土台に置くイメージから、何かを前提として置く＝「仮定する」という意味になる。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&lt;span class="spacer"&gt;&lt;/span&gt;supposeを「前提に置く」というイメージで覚えておけば、［be supposed to do］は、「〜する」が当然の前提として置かれているので、「〜することになっている」という意味だと理解できる。
&lt;div class="sample_image 2026_742"&gt;&lt;/div&gt;&lt;/span&gt;</t>
    <phoneticPr fontId="1"/>
  </si>
  <si>
    <t>&lt;span class="w"&gt;&lt;b&gt;【744.be entitled to ~：〜の権利・資格がある】&lt;/b&gt;&lt;/span&gt;
&lt;span class="ml"&gt;&lt;span class="explanation_tag"&gt;語源&lt;/span&gt;
entitleは、ラテン語in（中に）と、titlus（題名, タイトル, 称号）が合わさってできた語。書物に対してタイトルをつけることから発展して、人に対して「地位・役職を与える」、人に「権利・資格を与える」という意味になった。
&lt;span class="spacer"&gt;&lt;/span&gt;&lt;span class="explanation_tag"&gt;イメージ&lt;/span&gt;
語源で見た通り、entitleは、［entitle A to B］で「AにBを受ける権利・資格を与える」という意味になる。
&lt;span class="spacer"&gt;&lt;/span&gt;受動態の［A be entitled to B］は、Aは「Bの権利・資格がある」という意味になる。
&lt;div class="sample_image 2026_744"&gt;&lt;/div&gt;&lt;/span&gt;</t>
    <phoneticPr fontId="1"/>
  </si>
  <si>
    <t>&lt;span class="w"&gt;&lt;b&gt;【747.manage to do：なんとか〜する, なんとか〜をやり遂げる】&lt;/b&gt;&lt;/span&gt;
&lt;span class="ml"&gt;&lt;span class="explanation_tag"&gt;語源&lt;/span&gt;
manageは、ラテン語manus（手）に由来する。何かを手で扱うことから、コントロールする＝「管理する」という意味になる。
&lt;span class="spacer"&gt;&lt;/span&gt;また、なんとか管理して事を運ぶことから「なんとかやっていく」、その結果「なんとか成し遂げる」という意味になる。
&lt;span class="spacer"&gt;&lt;/span&gt;&lt;span class="explanation_tag"&gt;イメージ&lt;/span&gt;
管理する（manage）というのは、ふつうは簡単にできることではなく、困難があってスムーズに進まないことに対して使う。なので［manage to do］は、困難な状況や障害がある状況をmanageしてdoへ至る（to）ことから、「なんとか〜する, なんとか〜をやり遂げる」という意味になる。
&lt;div class="sample_image 2026_747"&gt;&lt;/div&gt;&lt;/span&gt;</t>
    <phoneticPr fontId="1"/>
  </si>
  <si>
    <t>&lt;span class="w"&gt;&lt;b&gt;【748.can afford to do：（経済的・時間的に）〜する余裕がある】&lt;/b&gt;&lt;/span&gt;
&lt;span class="ml"&gt;&lt;span class="explanation_tag"&gt;語源&lt;/span&gt;
affordは、古英語ge（完了）と、forð（前へ）から派生した動詞forðian（前進させる）が合わさってできた語にさかのぼる。
&lt;span class="spacer"&gt;&lt;/span&gt;これは、物事を前へ進めて完了させることから、何かを実現するための費用や労力をもっていることを表し、「〜する余裕がある」という意味になった。
&lt;span class="spacer"&gt;&lt;/span&gt;&lt;span class="explanation_tag"&gt;イメージ&lt;/span&gt;
［can afford to do］は語源的に考えれば、費用や労力があってto doを前進させて完了できる（can afford）というイメージになる。そこから「〜する余裕がある」という意味になる。
&lt;div class="sample_image 2026_748"&gt;&lt;/div&gt;&lt;/span&gt;</t>
    <phoneticPr fontId="1"/>
  </si>
  <si>
    <t>&lt;span class="w"&gt;&lt;b&gt;【751.go so far as to do：〜しさえする】&lt;/b&gt;&lt;/span&gt;
&lt;span class="ml"&gt;&lt;span class="explanation_tag"&gt;語源&lt;/span&gt;
asは、古英語eal（all）と、swa（so）が合わさってできた語にさかのぼる。もともとは「まったくそのように, 完全に同様に」という意味だった。&lt;span class="obsolete"&gt;だからas ~ asは「同じくらい」という意味になる。&lt;/span&gt;
&lt;span class="spacer"&gt;&lt;/span&gt;つまり、asの核には「一致」というイメージがある。
&lt;span class="spacer"&gt;&lt;/span&gt;&lt;span class="explanation_tag"&gt;イメージ&lt;/span&gt;
［go so far as to do］は直訳すると、to doに一致（as）するほど遠くまで（so far）行く（go）となる。
&lt;span class="spacer"&gt;&lt;/span&gt;この表現のポイントは、farという距離的な遠さが、to doという行動の極端さや意外性を表しているということ。
&lt;span class="spacer"&gt;&lt;/span&gt;つまり、「to doという遠くにある行為にまで行くの（そんなことするの）⁉︎」という表現になっている。そこから、「〜し&lt;strong&gt;さえ&lt;/strong&gt;する」という驚きや非難のニュアンスを含む訳になる。
&lt;div class="sample_image 2026_751"&gt;&lt;/div&gt;&lt;/span&gt;</t>
    <phoneticPr fontId="1"/>
  </si>
  <si>
    <t>&lt;span class="w"&gt;&lt;b&gt;【779.hold on：①持ちこたえる, 頑張る, ②（そのまま）待つ, ③しっかりつかまる】&lt;/b&gt;&lt;/span&gt;
&lt;span class="ml"&gt;&lt;span class="explanation_tag"&gt;イメージ&lt;/span&gt;
［hold on］は、onの「接触」と「継続」というニュアンスをもとに覚えればよい。
&lt;span class="spacer"&gt;&lt;/span&gt;①困難な状況の中で自分の状態を保ち（hold）続ける（on）イメージから、「持ちこたえる, 頑張る」という意味になる。
&lt;span class="spacer"&gt;&lt;/span&gt;②ある状態や状況を保ち（hold）続ける（on）ことから、そのまま「待つ」という意味になる。
&lt;span class="spacer"&gt;&lt;/span&gt;③対象に触れて（on）保持する（hold）ことから、「しっかりつかむ」という意味になる。つかむ対象を示すときはhold on to Aとなる。
&lt;div class="sample_image 2026_779"&gt;&lt;/div&gt;&lt;/span&gt;</t>
    <phoneticPr fontId="1"/>
  </si>
  <si>
    <t>&lt;span class="w"&gt;&lt;b&gt;【780.hang up：①電話を切る, ②服をかける, ③何かを中断する】&lt;/b&gt;&lt;/span&gt;
&lt;span class="ml"&gt;&lt;span class="explanation_tag"&gt;イメージ&lt;/span&gt;
［hang up］のhangは、服をハンガーにかける動作をイメージして覚える。hangは「吊るす」、upは「上に」という意味。
&lt;span class="spacer"&gt;&lt;/span&gt;①昔の電話は壁掛けで、電話が終わると受話器を壁のフックにかけたことから、「電話を切る」という意味になった。
&lt;span class="spacer"&gt;&lt;/span&gt;②ハンガー（hanger）をかけるように、上方向に持ち上げて吊るすことから、「服をかける, 吊るす」という意味になる。
&lt;span class="spacer"&gt;&lt;/span&gt;③物事を上に引っ掛かった状態にしておくことから、「何かを中断する」という意味になる。
&lt;div class="sample_image 2026_780"&gt;&lt;/div&gt;&lt;/span&gt;</t>
    <phoneticPr fontId="1"/>
  </si>
  <si>
    <t>&lt;span class="w"&gt;&lt;b&gt;【784.from scratch：最初から】&lt;/b&gt;&lt;/span&gt;
&lt;span class="ml"&gt;&lt;span class="explanation_tag"&gt;イメージ&lt;/span&gt;
［from scratch］は、徒競走するときに地面に足で線を引いて（scratch）、その線から（from）スタートするイメージ。そこから、「最初から」という意味になる。
&lt;div class="sample_image 2026_784"&gt;&lt;/div&gt;&lt;/span&gt;</t>
    <phoneticPr fontId="1"/>
  </si>
  <si>
    <t>&lt;span class="w"&gt;&lt;b&gt;【785.see〈人〉off：〈人〉を見送る】&lt;/b&gt;&lt;/span&gt;
&lt;span class="ml"&gt;&lt;span class="explanation_tag"&gt;イメージ&lt;/span&gt;
［see〈人〉off］は、人がその場所から離れていく（off）のを見る（see）ことから、「〈人〉を見送る」という意味になる。
&lt;div class="sample_image 2026_785"&gt;&lt;/div&gt;&lt;/span&gt;</t>
    <phoneticPr fontId="1"/>
  </si>
  <si>
    <t>&lt;span class="w"&gt;&lt;b&gt;【787.at / behind the wheel：（車や船などを）運転して】&lt;/b&gt;&lt;/span&gt;
&lt;span class="ml"&gt;&lt;span class="explanation_tag"&gt;イメージ&lt;/span&gt;
wheelは、日本語では車のホイール＝タイヤのイメージがあるが、この語の核は「円」や「輪」。そのため、車や船を操縦するハンドルもwheelと言う。
&lt;span class="spacer"&gt;&lt;/span&gt;［at / behind the wheel］は直訳通り、運転ハンドルの場所にいることを表すので、「運転して」という意味になる。
&lt;span class="spacer"&gt;&lt;/span&gt;&lt;span class="explanation_tag"&gt;補足&lt;/span&gt;
「運転して」という意味から発展して、何かの舵を取る＝主導権を握ってコントロールするという意味でも使われる。
&lt;div class="sample_image 2026_787"&gt;&lt;/div&gt;&lt;/span&gt;</t>
    <phoneticPr fontId="1"/>
  </si>
  <si>
    <t>&lt;span class="w"&gt;&lt;b&gt;【789.on the dot：時間ちょうどに】&lt;/b&gt;&lt;/span&gt;
&lt;span class="ml"&gt;&lt;span class="explanation_tag"&gt;語源&lt;/span&gt;
［on the dot］は、1909年に登場した表現。dotは時計の文字盤の点を指し、その点のちょうど上にいることから、「時間ちょうどに」という意味になった。
&lt;div class="sample_image 2026_789"&gt;&lt;/div&gt;&lt;/span&gt;</t>
    <phoneticPr fontId="1"/>
  </si>
  <si>
    <t>&lt;span class="w"&gt;&lt;b&gt;【794.stick around / about：（帰らずに）その場にとどまる】&lt;/b&gt;&lt;/span&gt;
&lt;span class="ml"&gt;&lt;span class="explanation_tag"&gt;語源&lt;/span&gt;
stickは、古英語stician（突き刺す）にさかのぼる。尖った物で突き刺すことから、さらに突き刺して「固定する」という意味も生まれた。
&lt;span class="spacer"&gt;&lt;/span&gt;&lt;span class="explanation_tag"&gt;イメージ&lt;/span&gt;
［stick around / about］は、ある場所の周囲にくっついて離れないことから、「（帰らずに）その場にとどまる」という意味になる。
&lt;div class="sample_image 2026_794"&gt;&lt;/div&gt;&lt;/span&gt;</t>
    <phoneticPr fontId="1"/>
  </si>
  <si>
    <t>&lt;span class="w"&gt;&lt;b&gt;【797.keep one's fingers crossed：（幸運・成功を）祈る】&lt;/b&gt;&lt;/span&gt;
&lt;span class="ml"&gt;&lt;span class="explanation_tag"&gt;イメージ&lt;/span&gt;
［keep one's fingers crossed］は、片手の人差し指と中指をクロスさせて十字架を作り、その状態をキープすることを表している。クロスはキリスト教の祈り対象であり、そこから「（幸運・成功を）祈る」という意味になる。
&lt;div class="sample_image 2026_797"&gt;&lt;/div&gt;&lt;/span&gt;</t>
    <phoneticPr fontId="1"/>
  </si>
  <si>
    <t>&lt;span class="w"&gt;&lt;b&gt;【800.go to the polls：投票に行く】&lt;/b&gt;&lt;/span&gt;
&lt;span class="ml"&gt;&lt;span class="explanation_tag"&gt;語源&lt;/span&gt;
pollは、中低地ドイツ語・中世オランダ語のpol（頭, 頂部）に由来する。動物や人の頭を数えて全体の状況を把握する行為から発展して、何かを集計したり調査したりすることを表すようになった。「世論調査」「アンケート調査」「投票結果, 投票総数, 投票所」といった集計する仕組みや集計結果を意味する。
&lt;span class="spacer"&gt;&lt;/span&gt;&lt;span class="explanation_tag"&gt;イメージ&lt;/span&gt;
［go to the polls］は直訳の通り、投票箱が複数ある（polls）投票所に行くことを意味する。
&lt;div class="sample_image 2026_800"&gt;&lt;/div&gt;&lt;/span&gt;</t>
    <phoneticPr fontId="1"/>
  </si>
  <si>
    <t>&lt;span class="w"&gt;&lt;b&gt;【803.last but not least：最後にはなったが（価値が少ないということではない）】&lt;/b&gt;&lt;/span&gt;
&lt;span class="ml"&gt;&lt;span class="explanation_tag"&gt;イメージ&lt;/span&gt;
［last but not least］は、順番では最後（last）だが（but）、重要性や価値が最も少ない（least）わけではない（not）ということを表して、「最後にはなったが」という訳になる。
&lt;span class="spacer"&gt;&lt;/span&gt;大事なことから順番に話し、些細なことを後に持ってくるという話題提示の仕方だと、最後は価値がないように思われてしまうので、last but not leastという表現が生まれた。
&lt;div class="sample_image 2026_803"&gt;&lt;/div&gt;&lt;/span&gt;</t>
    <phoneticPr fontId="1"/>
  </si>
  <si>
    <t>&lt;span class="w"&gt;&lt;b&gt;【806.the bottom line：要点, （決算書の）最終行の数字, 最終結果】&lt;/b&gt;&lt;/span&gt;
&lt;span class="ml"&gt;&lt;span class="explanation_tag"&gt;イメージ&lt;/span&gt;
［the bottom line］は直訳すると、「一番下の行, 底の行」となる。決算書では、上から売上高・原価・売上利益…といった各項目の計算が行われ、最終的な利益が一番下の行に書かれる。そこから「最終行の数字」「最終結果」「要点」といった意味になった。
&lt;span class="spacer"&gt;&lt;/span&gt;決算書でなくても、学校の成績表をイメージすればよい。上から各科目の点数が書かれ、一番最後に合計点数・最終順位などが書かれている。これが「最終行の数字」「最終結果」「要点」である。
&lt;div class="sample_image 2026_806"&gt;&lt;/div&gt;&lt;/span&gt;</t>
    <phoneticPr fontId="1"/>
  </si>
  <si>
    <t>&lt;span class="w"&gt;&lt;b&gt;【817.see much of ~：〜によく会う】&lt;/b&gt;&lt;/span&gt;
&lt;span class="ml"&gt;&lt;span class="explanation_tag"&gt;イメージ&lt;/span&gt;
［think much of A］は直訳すると、「Aの多くを見る」となる。Aという対象の多くの時間を目にすることから、「〜によく会う」という意味になる。
&lt;span class="spacer"&gt;&lt;/span&gt;muchは否定文・疑問文で主に使われ、肯定文ではa lot / a great dealなどが使われる。
&lt;span class="spacer"&gt;&lt;/span&gt;またsee little of（ほとんど会わない）, see nothing of（全く会わない）といったバリエーションもある。
&lt;div class="sample_image 2026_817"&gt;&lt;/div&gt;&lt;/span&gt;</t>
    <phoneticPr fontId="1"/>
  </si>
  <si>
    <t>&lt;span class="w"&gt;&lt;b&gt;【819.help oneself to ~：〜を自由に取る】&lt;/b&gt;&lt;/span&gt;
&lt;span class="ml"&gt;&lt;span class="explanation_tag"&gt;語源&lt;/span&gt;
helpには、1680年代から「食卓で人に食べ物を取り分ける」という意味がある。
&lt;span class="spacer"&gt;&lt;/span&gt;&lt;span class="explanation_tag"&gt;イメージ&lt;/span&gt;
［S help oneself to A］は、Sが自分自身にAを取り分けるイメージから、食べ物を「自由に取る」という意味になった。
&lt;span class="spacer"&gt;&lt;/span&gt;またそこから、食べ物に限らず、何かの物を「自由に取る」という意味にもなった。
&lt;div class="sample_image 2026_819"&gt;&lt;/div&gt;&lt;/span&gt;</t>
    <phoneticPr fontId="1"/>
  </si>
  <si>
    <t>&lt;span class="w"&gt;&lt;b&gt;【822.be fed up with ~：〜にうんざりしている】&lt;/b&gt;&lt;/span&gt;
&lt;span class="ml"&gt;&lt;span class="explanation_tag"&gt;イメージ&lt;/span&gt;
fedは、feed（食べ物を与える）の過去分詞。&lt;span class="obsolete"&gt;feedは、語源的にfoodと関連している。&lt;/span&gt;
&lt;span class="spacer"&gt;&lt;/span&gt;［be fed up］は、お腹いっぱいの上限まで（up）食べ物が与えられている（be fed）ことを表す。そして、もう食べられないという満腹状態から、「うんざり」という心理的な不快感へと発展した。
&lt;span class="spacer"&gt;&lt;/span&gt;［be fed up with A］は、with Aでうんざりしている対象を表して、「Aにうんざりしている」という意味になる。
&lt;div class="sample_image 2026_822"&gt;&lt;/div&gt;&lt;/span&gt;</t>
    <phoneticPr fontId="1"/>
  </si>
  <si>
    <t>&lt;span class="w"&gt;&lt;b&gt;【824.think much / highly of ~：〜を高く評価する, 〜を重んじる, 〜を尊敬する】&lt;/b&gt;&lt;/span&gt;
&lt;span class="ml"&gt;&lt;span class="explanation_tag"&gt;イメージ&lt;/span&gt;
［think much / highly of A］は、think of Aに、価値や重要性の強調表現much / highlyが挿入された表現。そこから、「Aを高く評価する」「Aを重んじる, 尊敬する」といった意味になる。
&lt;div class="sample_image 2026_824"&gt;&lt;/div&gt;&lt;/span&gt;</t>
    <phoneticPr fontId="1"/>
  </si>
  <si>
    <t>&lt;span class="w"&gt;&lt;b&gt;【827.hit it off (with ~)：〈人〉と仲良くなる, 意気投合する】&lt;/b&gt;&lt;/span&gt;
&lt;span class="ml"&gt;&lt;span class="explanation_tag"&gt;イメージ&lt;/span&gt;
［hit it off (with 人)］は、誰かと誰かの雰囲気や状況など（it）をバチっとはめて（hit）、そのまま関係性が進んでいく（off）イメージ。
&lt;span class="spacer"&gt;&lt;/span&gt;そこから、「〈人〉と仲良くなる, 意気投合する」という意味になる。
&lt;div class="sample_image 2026_827"&gt;&lt;/div&gt;&lt;/span&gt;</t>
    <phoneticPr fontId="1"/>
  </si>
  <si>
    <t>&lt;span class="w"&gt;&lt;b&gt;【831.be susceptible to ~：〜の影響を受けやすい, 〜に感染しやすい】&lt;/b&gt;&lt;/span&gt;
&lt;span class="ml"&gt;&lt;span class="explanation_tag"&gt;語源&lt;/span&gt;
susceptibleは、ラテン語sub（下から）と、capere（取る）、bilis（〜できる）が合わさってできた語。何かを下からパッと取って受け入れることができることから、影響や病気などを、自分の中へ無防備に取り込んでしまう性質を表して、「影響を受けやすい, 感染しやすい」という意味になった。
&lt;span class="spacer"&gt;&lt;/span&gt;&lt;span class="explanation_tag"&gt;イメージ&lt;/span&gt;
［be susceptible to A］は語源から考えると、Aへと下から手を伸ばしてすんなり受け入れてしまうイメージで、「Aの影響を受けやすい, Aに感染しやすい」という意味になる。
&lt;div class="sample_image 2026_831"&gt;&lt;/div&gt;&lt;/span&gt;</t>
    <phoneticPr fontId="1"/>
  </si>
  <si>
    <t>&lt;span class="w"&gt;&lt;b&gt;【832.be at odds (with ~)：（〜と）食い違っている】&lt;/b&gt;&lt;/span&gt;
&lt;span class="ml"&gt;&lt;span class="explanation_tag"&gt;語源&lt;/span&gt;
oddは、古ノルド語oddi（陸地の先端, 角, 三角形, 3番目, ペアにならない余分な数）に由来する。
&lt;span class="spacer"&gt;&lt;/span&gt;もともとは、陸地の突き出た先端部分や三角形のように、3つ目の角がポツンとはみ出した部分を表した。そこから、ペアにしたときに1つ余る「奇数の」という意味になる。そして、ペアにならずに浮いていることから「奇妙な」という意味になる。
&lt;span class="spacer"&gt;&lt;/span&gt;&lt;span class="explanation_tag"&gt;イメージ&lt;/span&gt;
［S be at odds (with A)］は語源から考えると、Sが（Aと）ペアにならない＝噛み合わない（odds）状態であることを表す。そこから「（Aと）食い違っている」という意味になる。
&lt;div class="sample_image 2026_832"&gt;&lt;/div&gt;&lt;/span&gt;</t>
    <phoneticPr fontId="1"/>
  </si>
  <si>
    <t>&lt;span class="w"&gt;&lt;b&gt;【834.be here to stay：定着している】&lt;/b&gt;&lt;/span&gt;
&lt;span class="ml"&gt;&lt;span class="explanation_tag"&gt;イメージ&lt;/span&gt;
［S be here to stay］は、Sがまさにここにあり（be here）、そしてこれからもステイし続ける（to stay）というイメージ。今後なくなるような存在ではない、一時的な存在ではないことを表して、「定着している」という意味になる。
&lt;div class="sample_image 2026_834"&gt;&lt;/div&gt;&lt;/span&gt;</t>
    <phoneticPr fontId="1"/>
  </si>
  <si>
    <t>&lt;span class="w"&gt;&lt;b&gt;【836.be intent on ~：〜に熱心である】&lt;/b&gt;&lt;/span&gt;
&lt;span class="ml"&gt;intentは、動詞intendの過去分詞と考えればよい。
&lt;span class="spacer"&gt;&lt;/span&gt;&lt;span class="explanation_tag"&gt;intendの語源&lt;/span&gt;
intendは、ラテン語in（中に）と、tendere（伸ばす）が合わさってできた語。対象の中に自分の心や注意を伸ばして向けることから、「注意を向ける, 意図する」という意味になる。
&lt;span class="spacer"&gt;&lt;/span&gt;そしてintentは、対象に注意をグッと伸ばして向けている状態を表して、「熱心である」という意味になる。
&lt;span class="spacer"&gt;&lt;/span&gt;&lt;span class="explanation_tag"&gt;イメージ&lt;/span&gt;
［be intent on A］は、Aの上に注意を伸ばして向けるイメージから、「Aに熱心である」という意味になる。
&lt;div class="sample_image 2026_836"&gt;&lt;/div&gt;&lt;/span&gt;</t>
    <phoneticPr fontId="1"/>
  </si>
  <si>
    <t>&lt;span class="w"&gt;&lt;b&gt;【837.be no match for ~：〜に敵わない】&lt;/b&gt;&lt;/span&gt;
&lt;span class="ml"&gt;&lt;span class="explanation_tag"&gt;語源&lt;/span&gt;
名詞や動詞matchは、日本語でもマッチとして使われる。試合のことをマッチと言い、ピッタリ合うことをマッチすると言う。
&lt;span class="spacer"&gt;&lt;/span&gt;matchは、古英語mæcca（仲間, 妻, 夫, 対等なもの）にさかのぼる。そこから中英語では、「匹敵する相手」「他者と競い合える存在」という意味になった。スポーツの「競技, 試合」はそこから来ている。
&lt;span class="spacer"&gt;&lt;/span&gt;&lt;span class="explanation_tag"&gt;イメージ&lt;/span&gt;
［S be no match for A］のmatchは「匹敵する相手」という意味。Sは、Aにとって匹敵する相手（match）では全くない（no）ということから、「Aに敵わない」という意味になる。
&lt;div class="sample_image 2026_837"&gt;&lt;/div&gt;&lt;/span&gt;</t>
    <phoneticPr fontId="1"/>
  </si>
  <si>
    <t>&lt;span class="w"&gt;&lt;b&gt;【838.be vulnerable to ~：（病気・誘惑など）〜に弱い, （非難・攻撃など）を受けやすい】&lt;/b&gt;&lt;/span&gt;
&lt;span class="ml"&gt;&lt;span class="explanation_tag"&gt;語源&lt;/span&gt;
vulnerableは、ラテン語vulnus（傷）と、bilis（可能, 可能性）が合わさってできた語。この語の核は「傷」と「可能性」。物理的、精神的、そして抽象的に傷がつくということを表し、「弱い, もろい, 傷つきやすい」という意味になった。
&lt;span class="spacer"&gt;&lt;/span&gt;抽象的とは、たとえば国やシステムなどが傷つきやすい、つまり脆いということを意味する。
&lt;span class="spacer"&gt;&lt;/span&gt;&lt;span class="explanation_tag"&gt;イメージ&lt;/span&gt;
［be vulnerable to A］は、Aに対して傷つく可能性があるということを表して、「（病気・誘惑など）〜に弱い, （非難・攻撃など）を受けやすい」という意味になる。
&lt;div class="sample_image 2026_838"&gt;&lt;/div&gt;&lt;/span&gt;</t>
    <phoneticPr fontId="1"/>
  </si>
  <si>
    <t>&lt;span class="w"&gt;&lt;b&gt;【839.be eligible for ~：〜の資格がある】&lt;/b&gt;&lt;/span&gt;
&lt;span class="ml"&gt;&lt;span class="explanation_tag"&gt;語源&lt;/span&gt;
eligibleは、ラテン語eligere（選ぶ）と、bilis（できる）が合わさってできた語。何かに対して「選ばれ得る」ということから、「選ばれるのにふさわしい」「選ばれる資格がある」という意味になった。
&lt;span class="spacer"&gt;&lt;/span&gt;ラテン語eligereからは、elect（選ぶ）も生まれているので、eligibleはelect＋able＝「選ばれ得る」と考えればよい。
&lt;span class="spacer"&gt;&lt;/span&gt;&lt;span class="explanation_tag"&gt;イメージ&lt;/span&gt;
［be eligible for A］は語源から考えると、Aへ選ばれるのにふさわしいということから、「Aの資格がある」という意味になる。
&lt;div class="sample_image 2026_839"&gt;&lt;/div&gt;&lt;/span&gt;</t>
    <phoneticPr fontId="1"/>
  </si>
  <si>
    <t>&lt;span class="w"&gt;&lt;b&gt;【841.be out to do：〜しようと狙っている】&lt;/b&gt;&lt;/span&gt;
&lt;span class="ml"&gt;&lt;span class="explanation_tag"&gt;イメージ&lt;/span&gt;
［be out to do］は直訳すると、「何かをするために外に出ている」となる。ある目的のために外に出て行動しているイメージから、「〜しようと狙っている」という意味になる。
&lt;div class="sample_image 2026_841"&gt;&lt;/div&gt;&lt;/span&gt;</t>
    <phoneticPr fontId="1"/>
  </si>
  <si>
    <t>&lt;span class="w"&gt;&lt;b&gt;【843.be beside oneself (with ~)：（〜で）我を忘れる】&lt;/b&gt;&lt;/span&gt;
&lt;span class="ml"&gt;&lt;span class="explanation_tag"&gt;イメージ&lt;/span&gt;
［S be beside oneself (with A)］は直訳すると、Sが（Aで）自分自身の横にいる（beside）となる。感情が強すぎて自分の意識が肉体を離れてしまい、自分をコントロールできない状態を表すことから、「（Aで）我を忘れる」という意味になる。
&lt;div class="sample_image 2026_843"&gt;&lt;/div&gt;&lt;/span&gt;</t>
    <phoneticPr fontId="1"/>
  </si>
  <si>
    <t>&lt;span class="w"&gt;&lt;b&gt;【844.be cut out to be ~：〜に向いている】&lt;/b&gt;&lt;/span&gt;
&lt;span class="ml"&gt;&lt;span class="explanation_tag"&gt;イメージ&lt;/span&gt;
［S be cut out to be A］は直訳すると、SはAになるように（to be）切り出されている（be cut out）となる。これは、SがAにピッタリ合わせて切り取られたみたいに、性格や能力などがAに適していることを表して、「Aに向いている」という意味になる。
&lt;div class="sample_image 2026_844"&gt;&lt;/div&gt;&lt;/span&gt;</t>
    <phoneticPr fontId="1"/>
  </si>
  <si>
    <t>&lt;span class="w"&gt;&lt;b&gt;【846.account for ~：①（割合など）〜を占める, ②〜の説明となる】&lt;/b&gt;&lt;/span&gt;
&lt;span class="ml"&gt;&lt;span class="explanation_tag"&gt;語源&lt;/span&gt;
accountは、古フランス語a（～へ）と、cont（計算）が合わさってできた語。contは、英語のcountや日本語のカウントと同じで計算を意味する。
&lt;span class="spacer"&gt;&lt;/span&gt;このまま日本語にすると「〜への計算」となるが、これは特にお金の計算や、それに関する意味へと発展していく。
&lt;span class="spacer"&gt;&lt;/span&gt;お金のやり取りの計算やそれを記したものから「勘定, 口座」という意味になる。
&lt;span class="spacer"&gt;&lt;/span&gt;また、預かっているお金がどうなっているかを詳細に説明することから、一般的な行動の「説明」という意味になる。
&lt;span class="spacer"&gt;&lt;/span&gt;&lt;span class="explanation_tag"&gt;イメージ&lt;/span&gt;
［account for A］は、語源でみたように、計算系の意味と、説明系の意味になる。
&lt;span class="spacer"&gt;&lt;/span&gt;計算系の意味は、①「（割合など）Aを占める」という意味になり、説明系の意味は②「Aの説明となる」という意味になる。
&lt;div class="sample_image 2026_846"&gt;&lt;/div&gt;&lt;/span&gt;</t>
    <phoneticPr fontId="1"/>
  </si>
  <si>
    <t>&lt;span class="w"&gt;&lt;b&gt;【847.allow for ~：〜の余地を与える, 〜を考慮に入れる, 〜を可能にする】&lt;/b&gt;&lt;/span&gt;
&lt;span class="ml"&gt;&lt;span class="explanation_tag"&gt;イメージ&lt;/span&gt;
allowは、まずallow 人 to do（人に〜することを許す）を覚えるが、ここからallow＝何かを与えるというイメージをつかむ。
&lt;span class="spacer"&gt;&lt;/span&gt;［allow 人 to do］は、許可を与える。
&lt;span class="spacer"&gt;&lt;/span&gt;［allow for A］は、Aのために余地を与える。思考の中の余地なら「考慮に入れる」となり、可能性の余地であれば「可能にする」という意味になる。
&lt;div class="sample_image 2026_847"&gt;&lt;/div&gt;&lt;/span&gt;</t>
    <phoneticPr fontId="1"/>
  </si>
  <si>
    <t>&lt;span class="w"&gt;&lt;b&gt;【848.settle for ~：（不十分ながら）〜で我慢する】&lt;/b&gt;&lt;/span&gt;
&lt;span class="ml"&gt;&lt;span class="explanation_tag"&gt;語源&lt;/span&gt;
settleは、古英語setl（座席）から派生した動詞setlan（座席に座らせる, 固定位置に置く）にさかのぼる。
&lt;span class="spacer"&gt;&lt;/span&gt;この語は、何かをある場所に置いて動かないようにするイメージ。そこから、人の気持ちを「落ち着かせる」、ある場所に落ち着く＝「定住する」、物事を落ち着かせる＝「解決する」という意味になる。
&lt;span class="spacer"&gt;&lt;/span&gt;&lt;span class="explanation_tag"&gt;イメージ&lt;/span&gt;
［settle for A］は、他に望ましいことがあるがAで落ち着くことから、「Aで我慢する」という意味になる。
&lt;div class="sample_image 2026_848"&gt;&lt;/div&gt;&lt;/span&gt;</t>
    <phoneticPr fontId="1"/>
  </si>
  <si>
    <t>&lt;span class="w"&gt;&lt;b&gt;【852.coincide with ~：〜と一致する, 〜と同時に起こる】&lt;/b&gt;&lt;/span&gt;
&lt;span class="ml"&gt;&lt;span class="explanation_tag"&gt;語源&lt;/span&gt;
coincideは、ラテン語com（共に）と、in（〜の中に）、cadere（落ちる）が合わさってできた語。何かの中に一緒に落ちていくことから、「一致する」という意味になる。
&lt;span class="spacer"&gt;&lt;/span&gt;また、現実の中に何かが一緒に降りかかってくることから、「同時に起こる」という意味になる。
&lt;span class="spacer"&gt;&lt;/span&gt;［S coincide with A］は、SがAと一緒に降りかかるイメージから、「Aと一致する, Aと同時に起こる」となる。
&lt;span class="spacer"&gt;&lt;/span&gt;&lt;span class="explanation_tag"&gt;補足&lt;/span&gt;
co&lt;strong&gt;incide&lt;/strong&gt;のincide部分は、incident（出来事）と同じだと考えてよい。
&lt;div class="sample_image 2026_852"&gt;&lt;/div&gt;&lt;/span&gt;</t>
    <phoneticPr fontId="1"/>
  </si>
  <si>
    <t>&lt;span class="w"&gt;&lt;b&gt;【853.comply with ~：（規則・命令）に従う】&lt;/b&gt;&lt;/span&gt;
&lt;span class="ml"&gt;&lt;span class="explanation_tag"&gt;語源&lt;/span&gt;
complyは、ラテン語com（完全に）と、plere（満たす）が合わさってできた語。このラテン語からは、complete（完成させる）も生まれている。
&lt;span class="spacer"&gt;&lt;/span&gt;相手の要求・意思・命令などを完全に満たす行動をすることから、［comply with A］は、「Aに従う」という意味になる。
&lt;div class="sample_image 2026_853"&gt;&lt;/div&gt;&lt;/span&gt;</t>
    <phoneticPr fontId="1"/>
  </si>
  <si>
    <t>&lt;span class="w"&gt;&lt;b&gt;【854.dispense with ~：〜をなしで済ます】&lt;/b&gt;&lt;/span&gt;
&lt;span class="ml"&gt;&lt;span class="explanation_tag"&gt;語源&lt;/span&gt;
dispenseは、ラテン語dis（外へ）と、pendere（ぶら下げる）が合わさってできた語。昔はお金を支払う際に、出したお金を天秤に吊るして重さを量り、必要な分を分けて与えていたため、ラテン語dispensareは、お金を支払うこと・何かを管理して分け与えることを表した。それが、英語dispenseには「配る」という意味で残っている。
&lt;span class="spacer"&gt;&lt;/span&gt;また、管理して何かを分け与えるという意味が、当時の教会や法律の文脈において、対象に義務や罰からの免除の権利を分け与えるという意味で使われるようになった。そこから、英語dispenseは「なしで済ませる」という意味になった。
&lt;span class="spacer"&gt;&lt;/span&gt;そのため［dispense with A］は、「Aをなしで済ませる」という意味になる。
&lt;span class="spacer"&gt;&lt;/span&gt;&lt;span class="explanation_tag"&gt;イメージ&lt;/span&gt;
［dispense with A］は語源から考えれば、Aを外へ吊り下げて手元から遠ざけるイメージから、「Aをなしで済ませる」という意味になる。
&lt;div class="sample_image 2026_854"&gt;&lt;/div&gt;&lt;/span&gt;</t>
    <phoneticPr fontId="1"/>
  </si>
  <si>
    <t>&lt;span class="w"&gt;&lt;b&gt;【855.attend to ~：〜を処理する, 〜に注意を払う, 〜の世話をする】&lt;/b&gt;&lt;/span&gt;
&lt;span class="ml"&gt;&lt;span class="explanation_tag"&gt;語源&lt;/span&gt;
attendは、ラテン語ad（～へ）と、tendere（伸ばす）が合わさってできた語。
&lt;span class="spacer"&gt;&lt;/span&gt;心や労力を相手へ伸ばすことから、「注意を払う」「世話をする」という意味になる。
&lt;span class="spacer"&gt;&lt;/span&gt;また、労力を問題へ伸ばすことから「処理する」という意味になる。
&lt;span class="spacer"&gt;&lt;/span&gt;［attend to A］は、心や労力を伸ばす対象をto で示して、「Aを処理する, Aに注意を払う, Aの世話をする」という意味になる。
&lt;span class="spacer"&gt;&lt;/span&gt;&lt;span class="explanation_tag"&gt;補足&lt;/span&gt;
attendには、世話をするために付き添う＝一緒にどこかへ行くということから発展して、「出席する」という意味もある。この意味では［to］は使わないで、［attend A］という形になる。
&lt;div class="sample_image 2026_855"&gt;&lt;/div&gt;&lt;/span&gt;</t>
    <phoneticPr fontId="1"/>
  </si>
  <si>
    <t>&lt;span class="w"&gt;&lt;b&gt;【856.aspire to ~ ：〜を熱望する】&lt;/b&gt;&lt;/span&gt;
&lt;span class="ml"&gt;&lt;span class="explanation_tag"&gt;語源&lt;/span&gt;
aspireは、ラテン語ad（〜へ）と、spirare（息をする）が合わさってできた語。犬が獲物を追ってハァハァと息を切らす様子や、人が高みにある目標に向かって息を弾ませるような、目標に向かって息を荒らげるイメージから、対象を「熱望する」という意味になる。
&lt;span class="spacer"&gt;&lt;/span&gt;&lt;span class="explanation_tag"&gt;イメージ&lt;/span&gt;
［aspire to A］は、Aに向かって息を荒くしながら進むイメージから、「Aを熱望する」という意味になる。
&lt;div class="sample_image 2026_856"&gt;&lt;/div&gt;&lt;/span&gt;</t>
    <phoneticPr fontId="1"/>
  </si>
  <si>
    <t>&lt;span class="w"&gt;&lt;b&gt;【857.submit to ~：〜に屈する】&lt;/b&gt;&lt;/span&gt;
&lt;span class="ml"&gt;&lt;span class="explanation_tag"&gt;語源&lt;/span&gt;
submitは、ラテン語sub（〜の下に）と、mittere（送る, 放つ）が合わさってできた語。下へ送るという物理的な下方向への動きから、自分自身を相手の下に置き、相手に「従う」という意味になる。
&lt;span class="spacer"&gt;&lt;/span&gt;［S submit to A］は語源から考えると、Aに対してSが身を下に置くイメージ。そこから「Aに従う」という意味になる。
&lt;span class="spacer"&gt;&lt;/span&gt;&lt;span class="explanation_tag"&gt;補足&lt;/span&gt;
submitは、自分で判断するのではなく他者の判断に「従う」ために、自分の意見や考えなどを差し出すことから、何かを「提出する」という意味もある。
&lt;div class="sample_image 2026_857"&gt;&lt;/div&gt;&lt;/span&gt;</t>
    <phoneticPr fontId="1"/>
  </si>
  <si>
    <t>&lt;span class="w"&gt;&lt;b&gt;【858.consent to ~：〜に同意する】&lt;/b&gt;&lt;/span&gt;
&lt;span class="ml"&gt;&lt;span class="explanation_tag"&gt;語源&lt;/span&gt;
consentは、ラテン語con（共に）と、sentire（感じる）が合わさってできた語。共に感じる＝感情や判断が一致することから「同意, 承諾」という意味になる。
&lt;span class="spacer"&gt;&lt;/span&gt;このラテン語からは、consensus（意見の総意）も生まれている。
&lt;span class="spacer"&gt;&lt;/span&gt;［consent to A］は、Aに対して感情や判断が一致することから、「Aに同意する」という意味になる。
&lt;div class="sample_image 2026_858"&gt;&lt;/div&gt;&lt;/span&gt;</t>
    <phoneticPr fontId="1"/>
  </si>
  <si>
    <t>&lt;span class="w"&gt;&lt;b&gt;【860.persist in ~：〜に固執する】&lt;/b&gt;&lt;/span&gt;
&lt;span class="ml"&gt;&lt;span class="explanation_tag"&gt;語源&lt;/span&gt;
persistは、ラテン語per（完全に）と、sistere（立つ）が合わさってできた語。何があっても立ち続け、その場から動かないイメージから、その状態や行動が「続く」、何かに「固執する」という意味になる。
&lt;span class="spacer"&gt;&lt;/span&gt;［persist in A］は語源から考えると、Aの中に立ち続けて動かないイメージから、「Aに固執する」という意味になる。
&lt;div class="sample_image 2026_860"&gt;&lt;/div&gt;&lt;/span&gt;</t>
    <phoneticPr fontId="1"/>
  </si>
  <si>
    <t>&lt;span class="w"&gt;&lt;b&gt;【862.embark on ~：（事業・計画など）に乗り出す, 〜を始める】&lt;/b&gt;&lt;/span&gt;
&lt;span class="ml"&gt;&lt;span class="explanation_tag"&gt;語源&lt;/span&gt;
embarkは、フランス語en（中に）と、barque（小舟）が合わさってできた語。船に乗って航海へ出ることから比喩的に、事業や計画など「に乗り出す」や、何かを「始める」という意味になる。
&lt;span class="spacer"&gt;&lt;/span&gt;&lt;span class="explanation_tag"&gt;イメージ&lt;/span&gt;
［embark on A］は、まるで船に乗って大海原へと漕ぎ出すように、Aに乗って前へと進んでいくイメージから、「Aに乗り出す, Aを始める」となる。
&lt;div class="sample_image 2026_862"&gt;&lt;/div&gt;&lt;/span&gt;</t>
    <phoneticPr fontId="1"/>
  </si>
  <si>
    <t>&lt;span class="w"&gt;&lt;b&gt;【863.dwell on ~：①〜を詳細に述べる, ②〜をくよくよ考える, 〜にこだわる】&lt;/b&gt;&lt;/span&gt;
&lt;span class="ml"&gt;&lt;span class="explanation_tag"&gt;語源&lt;/span&gt;
dwellは、印欧祖語*dhwel-（煙, 蒸気, 塵）といった視界をさえぎるものにさかのぼる。物理的に前が見えにくいということから、&lt;strong&gt;知覚や判断力が鈍っている&lt;/strong&gt;ことへとつながり、古英語dwellan（だます, 惑わせる）となった。
&lt;span class="spacer"&gt;&lt;/span&gt;12世紀後期の中英語では、知覚や判断力だけではなく、&lt;strong&gt;行動が鈍ること&lt;/strong&gt;へと発展し、先延ばしにする・遅れるということを表した。
&lt;span class="spacer"&gt;&lt;/span&gt;そしてそこから、行動せずぐずぐずする・ある場所に留まるという&lt;strong&gt;動かないこと&lt;/strong&gt;を表すようになり、14世紀半ばには、ある場所にどっしり構える＝「住む」という意味になった。
&lt;span class="spacer"&gt;&lt;/span&gt;また、&lt;strong&gt;動かないこと&lt;/strong&gt;から、14世紀後期には、ある状態のままとどまるという意味でも用いられており、これが［dwell on A］につながった。
&lt;span class="spacer"&gt;&lt;/span&gt;&lt;span class="explanation_tag"&gt;イメージ&lt;/span&gt;
［dwell on A］は語源で見た「動かない」というイメージが核にあり、Aの上に意識や言葉を向け続けて動かない感じ。そこから、Aに関して言葉にし続ける＝「Aを詳細に述べる」や、Aに意識を向け続ける＝「Aをくよくよ考える, Aにこだわる」という意味になる。
&lt;div class="sample_image 2026_863"&gt;&lt;/div&gt;&lt;/span&gt;</t>
    <phoneticPr fontId="1"/>
  </si>
  <si>
    <t>&lt;span class="w"&gt;&lt;b&gt;【865.refrain from ~：〜を慎む】&lt;/b&gt;&lt;/span&gt;
&lt;span class="ml"&gt;&lt;span class="explanation_tag"&gt;語源&lt;/span&gt;
refrainは、ラテン語re（後ろに）と、frenare（手綱をつける, 抑制する）が合わさってできた語。前へ進もうとする犬のリードを引っ張って抑制するように、手綱を握って後ろに抑えることから、何かを「慎む」という意味になった。
&lt;span class="spacer"&gt;&lt;/span&gt;&lt;span class="explanation_tag"&gt;イメージ&lt;/span&gt;
［refrain from A］は、後ろに手綱を引っ張ってAから遠ざけるイメージから、「Aを慎む」という意味になる。
&lt;div class="sample_image 2026_865"&gt;&lt;/div&gt;&lt;/span&gt;</t>
    <phoneticPr fontId="1"/>
  </si>
  <si>
    <t>&lt;span class="w"&gt;&lt;b&gt;【866.discriminate against ~：〜を差別する】&lt;/b&gt;&lt;/span&gt;
&lt;span class="ml"&gt;&lt;span class="explanation_tag"&gt;語源&lt;/span&gt;
discriminateは、ラテン語dis（離れて）と、cernere（ふるい分ける）が合わさってできた語。もともとはふるいにかけて何かを分離するように、あるものを「区別する」ことを意味したが、1866年にアメリカ英語において「差別する」という意味でも使われるようになった。
&lt;span class="spacer"&gt;&lt;/span&gt;&lt;span class="explanation_tag"&gt;イメージ&lt;/span&gt;
［discriminate against A］は、Aを自分と対立する側に置いて（against A）区別する（discriminate）ことから、「Aを差別する」という意味になる。
&lt;div class="sample_image 2026_866"&gt;&lt;/div&gt;&lt;/span&gt;</t>
    <phoneticPr fontId="1"/>
  </si>
  <si>
    <t>&lt;span class="w"&gt;&lt;b&gt;【867.abide by ~：（法など）に従う, （約束など）を守る】&lt;/b&gt;&lt;/span&gt;
&lt;span class="ml"&gt;&lt;span class="explanation_tag"&gt;語源&lt;/span&gt;
abideは、古英語ge-（完了）と、biden（とどまる, 住む）が合わさってできた語。これは、ある場所にじっと動かずにいるイメージ。そこから「とどまる」という古い意味や、じっと動かずに何かに「耐える」、規則や約束の中にずっといて「従う, 守る」という意味になった。
&lt;span class="spacer"&gt;&lt;/span&gt;&lt;span class="explanation_tag"&gt;イメージ&lt;/span&gt;
［abide by A］は、Aのそばにじっと留まって離れないイメージから、「Aに従う, Aを守る」という意味になる。
&lt;div class="sample_image 2026_867"&gt;&lt;/div&gt;&lt;/span&gt;</t>
    <phoneticPr fontId="1"/>
  </si>
  <si>
    <t>&lt;span class="w"&gt;&lt;b&gt;【871.pass out：①気絶する, 酔いつぶれる, ②～を配る】&lt;/b&gt;&lt;/span&gt;
&lt;span class="ml"&gt;&lt;span class="explanation_tag"&gt;語源&lt;/span&gt;
［pass out］は、1915年から①「気絶する」という意味が確認されるが、これはおそらく、pass awayのような死ぬという意味が弱まったものだと考えられる。
&lt;span class="spacer"&gt;&lt;/span&gt;つまり、ある人やその人の魂が（もう戻れない）あの世へpassすることから程度が弱まり、意識が身体の外へ出る（また戻れる）ことを表すようになって、「気絶する, 酔いつぶれる」となった。
&lt;span class="spacer"&gt;&lt;/span&gt;1926年からは、②「～を配る」という意味が確認される。これは、何かを外に（out）パスするという言葉通りの意味。
&lt;div class="sample_image 2026_871"&gt;&lt;/div&gt;&lt;/span&gt;</t>
    <phoneticPr fontId="1"/>
  </si>
  <si>
    <t>&lt;span class="w"&gt;&lt;b&gt;【873.wind up (~)：〜を終わりにする, 終わる】&lt;/b&gt;&lt;/span&gt;
&lt;span class="ml"&gt;windは、発音をカタカナ表記すると「ワインド」であり、風を意味するウィンドではないので注意。
&lt;span class="spacer"&gt;&lt;/span&gt;&lt;span class="explanation_tag"&gt;語源&lt;/span&gt;windの意味は「巻く, ねじる」。1300年頃から「何かをぐるぐる巻き付ける」という意味が見られ、1600年頃からは「時計や機械仕掛けのゼンマイやバネをねじって動く状態にする」という意味が見られる。
&lt;span class="spacer"&gt;&lt;/span&gt;&lt;span class="explanation_tag"&gt;イメージ&lt;/span&gt;
［wind up (~)］は、時計や機械のゼンマイを完全に（up）最後まで巻き切る（wind）ことから、何かを「終わらせる」、何かが「終わる」というイメージで覚えればよい。
&lt;span class="spacer"&gt;&lt;/span&gt;&lt;span class="explanation_tag"&gt;補足&lt;/span&gt;
wind ~ upの語順にもなる。
&lt;div class="sample_image 2026_873"&gt;&lt;/div&gt;&lt;/span&gt;</t>
    <phoneticPr fontId="1"/>
  </si>
  <si>
    <t>&lt;span class="w"&gt;&lt;b&gt;【874.pull up (~)：①〜を引き抜く, （椅子など）を引き寄せる, ②（車などが）止まる, （車など）を止める】&lt;/b&gt;&lt;/span&gt;
&lt;span class="ml"&gt;&lt;span class="explanation_tag"&gt;語源&lt;/span&gt;
［pull up］は、14世紀初頭に「何かを持ち上げる」という意味で使われ、1800年代には、馬に乗っている人が手綱を引き上げて馬を止めることから、馬や車などについて「止まる, 止める」という意味で使われるようになった。
&lt;span class="spacer"&gt;&lt;/span&gt;&lt;span class="explanation_tag"&gt;イメージ&lt;/span&gt;
［pull up (~)］は、何かを上方向や手前方向に（up）引く（pull）ことから、①「〜を引き抜く, （椅子など）を引き寄せる」といった意味になる。
&lt;span class="spacer"&gt;&lt;/span&gt;また手綱を引き上げて馬を止めることから、②「（車などが）止まる, （車など）を止める」という意味になる。
&lt;span class="spacer"&gt;&lt;/span&gt;&lt;span class="explanation_tag"&gt;補足&lt;/span&gt;
pull ~ upの語順にもなる。
&lt;div class="sample_image 2026_874"&gt;&lt;/div&gt;&lt;/span&gt;</t>
    <phoneticPr fontId="1"/>
  </si>
  <si>
    <t>&lt;span class="w"&gt;&lt;b&gt;【876.round up ~：〜を寄せ集める, 〜を検挙（逮捕）する】&lt;/b&gt;&lt;/span&gt;
&lt;span class="ml"&gt;&lt;span class="explanation_tag"&gt;語源&lt;/span&gt;
［round up］は、上部（up）が丸くなるように（round）まとめて積み上げておくことから、散らばっているものを「寄せ集める」という意味になった。
&lt;span class="spacer"&gt;&lt;/span&gt;また何かを寄せ集めることから、カウボーイや牧羊犬が放牧地で牛や羊を1カ所に集めることへとつながった。
&lt;span class="spacer"&gt;&lt;/span&gt;そして1カ所に集めて自由に動けなくする様子から、何かを一網打尽にする＝「〜を検挙する, 逮捕する」という意味にもなった。
&lt;span class="spacer"&gt;&lt;/span&gt;&lt;span class="explanation_tag"&gt;補足&lt;/span&gt;
［round up］には、数字を丸めて（round）上にあげる（up）ことから「数字を切り上げる」という意味もある。
&lt;div class="sample_image 2026_876"&gt;&lt;/div&gt;&lt;/span&gt;</t>
    <phoneticPr fontId="1"/>
  </si>
  <si>
    <t>&lt;span class="w"&gt;&lt;b&gt;【877.catch on：①人気が出る, ②理解する】&lt;/b&gt;&lt;/span&gt;
&lt;span class="ml"&gt;&lt;span class="explanation_tag"&gt;イメージ&lt;/span&gt;
［catch on］は、何かを掴んで（catch）それにくっつく（on）イメージ。
&lt;span class="spacer"&gt;&lt;/span&gt;①アイデア・商品・サービスなどが人々の心を掴み、ピタッとくっついて離れないイメージから、「人気が出る」という意味になる。
&lt;span class="spacer"&gt;&lt;/span&gt;②自分の意識が、状況や相手の意図にピタッとくっついて捉えるイメージから、「理解する」という意味になる。これは、言葉の裏にある意図や、すぐには分からない状況に対して、「あ、なるほど！」と頭が状況を掴むイメージ。
&lt;span class="spacer"&gt;&lt;/span&gt;理解する対象を示したい場合は、［catch on &lt;strong&gt;to&lt;/strong&gt; ~］を使う。
&lt;div class="sample_image 2026_877"&gt;&lt;/div&gt;&lt;/span&gt;</t>
    <phoneticPr fontId="1"/>
  </si>
  <si>
    <t>&lt;span class="w"&gt;&lt;b&gt;【880.hang around / about / round：ぶらつく】&lt;/b&gt;&lt;/span&gt;
&lt;span class="ml"&gt;&lt;span class="explanation_tag"&gt;イメージ&lt;/span&gt;
around / about / roundは、いずれも「周囲」を表す。
&lt;span class="spacer"&gt;&lt;/span&gt;［hang around / about / round］は、ある場所に固定されてぶら下がっているものがフラフラ揺れるように、ある場所の周囲を「ぶらつく」という意味になる。
&lt;div class="sample_image 2026_880"&gt;&lt;/div&gt;&lt;/span&gt;</t>
    <phoneticPr fontId="1"/>
  </si>
  <si>
    <t>&lt;span class="w"&gt;&lt;b&gt;【883.pull off ~：（困難なこと）をやってのける】&lt;/b&gt;&lt;/span&gt;
&lt;span class="ml"&gt;&lt;span class="explanation_tag"&gt;語源&lt;/span&gt;
［pull off A］は、根本的には、くっついているものを引き（pull）離す（off）ことを表す。
&lt;span class="spacer"&gt;&lt;/span&gt;1870年に、スポーツにおいて賞金を持っていく＝勝ち取ることを表したことから、困難なことを「やってのける」という意味になった。
&lt;div class="sample_image 2026_883"&gt;&lt;/div&gt;&lt;/span&gt;</t>
    <phoneticPr fontId="1"/>
  </si>
  <si>
    <t>&lt;span class="w"&gt;&lt;b&gt;【884.follow through (on / with ~)：（〜を）やり遂げる】&lt;/b&gt;&lt;/span&gt;
&lt;span class="ml"&gt;このthroughは、「何かを通過して最後まで」という意味。
&lt;span class="spacer"&gt;&lt;/span&gt;&lt;span class="explanation_tag"&gt;語源&lt;/span&gt;
［follow through］は、もともとゴルフにおいて、一度始めたスウィングの動作を途中で止めることをなく、最後まで振り抜くことを意味した。
&lt;span class="spacer"&gt;&lt;/span&gt;そこからゴルフに限らず、何かを徹底的に行うことを表すようになり、「やり遂げる」という意味になった。
&lt;span class="spacer"&gt;&lt;/span&gt;やり遂げる対象は、［on / with A］で表す。
&lt;div class="sample_image 2026_884"&gt;&lt;/div&gt;&lt;/span&gt;</t>
    <phoneticPr fontId="1"/>
  </si>
  <si>
    <t>&lt;span class="w"&gt;&lt;b&gt;【888.make (both) ends meet：収入内でやりくりする】&lt;/b&gt;&lt;/span&gt;
&lt;span class="ml"&gt;&lt;span class="explanation_tag"&gt;イメージ&lt;/span&gt;
［make (both) ends meet］は直訳すると、両方の端（both ends）を合う（meet）ようにする（make）となる。これは、収入側の端（合計）と支出側の端（合計）を合うようにすることから、「収入内でやりくりする」という意味になる。
&lt;span class="spacer"&gt;&lt;/span&gt;収入ーーー0ーーー支出
支出側がオーバーしてしまうと両端が合わなくなる。
&lt;div class="sample_image 2026_888"&gt;&lt;/div&gt;&lt;/span&gt;</t>
    <phoneticPr fontId="1"/>
  </si>
  <si>
    <t>&lt;span class="w"&gt;&lt;b&gt;【900.live up to ~：（期待など）に沿う, （約束など）を果たす】&lt;/b&gt;&lt;/span&gt;
&lt;span class="ml"&gt;&lt;span class="explanation_tag"&gt;語源&lt;/span&gt;
1680年代に、live up（道徳的・精神的に高い水準で生きる）という表現があり、1690年代に、live up to（〜の基準を下回って生きない, 〜に従って行動する）という表現が見られる。
&lt;span class="spacer"&gt;&lt;/span&gt;&lt;span class="explanation_tag"&gt;イメージ&lt;/span&gt;
［live up to A］は直訳すると、「Aという水準に対して、それよりも上の水準で生きる」となる。たとえば、Aに「誰かの期待」が入れば、その人の期待よりも上で生きる（＝期待以下にならない）ことから、「（期待）に沿う」という意味になる。
&lt;span class="spacer"&gt;&lt;/span&gt;また、Aに「約束」が入れば、その約束よりも上で生きる（＝約束を破らない）ことから、「（約束）を果たす」という意味になる。
&lt;div class="sample_image 2026_900"&gt;&lt;/div&gt;&lt;/span&gt;</t>
    <phoneticPr fontId="1"/>
  </si>
  <si>
    <t>&lt;span class="w"&gt;&lt;b&gt;【907.fall short of ~：（目標・基準など）〜に達しない】&lt;/b&gt;&lt;/span&gt;
&lt;span class="ml"&gt;&lt;span class="explanation_tag"&gt;語源&lt;/span&gt;
ofは、古英語æf（離れて）にさかのぼる。もともとofの主要な意味は「離れて」だったが、1200年頃までにoffが生まれて、その「離れて」という意味を引き継いだ。
&lt;span class="spacer"&gt;&lt;/span&gt;&lt;span class="explanation_tag"&gt;イメージ&lt;/span&gt;
［fall short of A］は直訳すると、物理的にAから離れた（of A）距離の足りないところ（short）に落ちる（fall）となる。そこから、「（目標・基準など）Aに達しない」という意味になる。
&lt;div class="sample_image 2026_907"&gt;&lt;/div&gt;&lt;/span&gt;</t>
    <phoneticPr fontId="1"/>
  </si>
  <si>
    <t>&lt;span class="w"&gt;&lt;b&gt;【908.go a long way to do：〜するのに大いに役立つ】&lt;/b&gt;&lt;/span&gt;
&lt;span class="ml"&gt;&lt;span class="explanation_tag"&gt;イメージ&lt;/span&gt;
［S go a long way to do］は、Sがdoに到達するまでの（to do）長い道（a long way）を行く（go）というイメージ。
&lt;span class="spacer"&gt;&lt;/span&gt;つまり、doというゴールにたどり着くまでの長い道をSによって進むことができるので、「Sは〜するのに大いに役立つ」という意味になる。
&lt;div class="sample_image 2026_908"&gt;&lt;/div&gt;&lt;/span&gt;</t>
    <phoneticPr fontId="1"/>
  </si>
  <si>
    <t>&lt;span class="w"&gt;&lt;b&gt;【909.pave the way for / to ~：〜への準備をする（道を開く）】&lt;/b&gt;&lt;/span&gt;
&lt;span class="ml"&gt;&lt;span class="explanation_tag"&gt;イメージ&lt;/span&gt;
paveは、石のブロックやタイルなどを敷いて、道や床など「を舗装する」という意味。
&lt;span class="spacer"&gt;&lt;/span&gt;［pave the way for / to A］は直訳すると、「Aのための / Aへの道を舗装する」となる。
&lt;span class="spacer"&gt;&lt;/span&gt;実際に道を舗装することから比喩的に、Aという目的へ進んでいく道を整える＝「Aへの準備をする」という意味になる。
&lt;div class="sample_image 2026_909"&gt;&lt;/div&gt;&lt;/span&gt;</t>
    <phoneticPr fontId="1"/>
  </si>
  <si>
    <t>&lt;span class="w"&gt;&lt;b&gt;【914.follow suit：先例に従う, 人のまねをする】&lt;/b&gt;&lt;/span&gt;
&lt;span class="ml"&gt;&lt;span class="explanation_tag"&gt;語源&lt;/span&gt;
名詞suitは、ラテン語sequi（付き従う, 追う）に由来し、1300年頃の中英語では、ある人に付き従う人たちの一団や、そのような人々が着るお揃いの衣服を意味した&lt;span class="obsolete"&gt;（これが現在の「スーツ」の由来）&lt;/span&gt;。
&lt;span class="spacer"&gt;&lt;/span&gt;お揃いの服という概念から発展して、14世紀後期には「同じ素材, 布地」、1520年代からは「トランプの組・スート」（スペード・ダイヤ・クラブ・ハート）という意味になった。
&lt;span class="spacer"&gt;&lt;/span&gt;［follow suit］は、1670年代に見られ、トランプカードの遊びにおいて、最初に出されたカードと同じスートのカードを出す、ということを表した。そこから比喩的に、前の人と同じ行動をする＝「先例に従う, 人のまねをする」という意味になった。
&lt;div class="sample_image 2026_914"&gt;&lt;/div&gt;&lt;/span&gt;</t>
    <phoneticPr fontId="1"/>
  </si>
  <si>
    <t>&lt;span class="w"&gt;&lt;b&gt;【917.get / have the better of ~：〜に勝つ, 〜を出し抜く】&lt;/b&gt;&lt;/span&gt;
&lt;span class="ml"&gt;&lt;span class="explanation_tag"&gt;語源&lt;/span&gt;
名詞betterは、12世紀後期から「より良いもの」という意味で使われている。そして、ここで使われているthe betterは、1650年代から見られ、優劣においてより良い方＝「優位, 優勢」を意味する。
&lt;span class="spacer"&gt;&lt;/span&gt;［S get / have the better of A］は直訳すると、Sが、Aの（of A）優位なポジション（the better）を手に入れる・持つ（get / have）となる。
&lt;span class="spacer"&gt;&lt;/span&gt;つまり、Sが優位に立ち、Aが劣勢になることから、「Aに勝つ, Aを出し抜く」という意味になる。
&lt;div class="sample_image 2026_917"&gt;&lt;/div&gt;&lt;/span&gt;</t>
    <phoneticPr fontId="1"/>
  </si>
  <si>
    <t>&lt;span class="w"&gt;&lt;b&gt;【918.get / be even with ~：（人）に仕返しをする / 〜とおあいこである】&lt;/b&gt;&lt;/span&gt;
&lt;span class="ml"&gt;&lt;span class="explanation_tag"&gt;イメージ&lt;/span&gt;
このevenは、「対等, 等しい状態」を意味する。even numberが「偶数」となるのは、2で割切れて均等な状態になるから。
&lt;span class="spacer"&gt;&lt;/span&gt;［get even with A］は直訳すると、「Aと対等な状態にする」。自分が損害を受けているときに、相手と対等な状態にすることから、「Aに仕返しをする」という意味になる。
&lt;span class="spacer"&gt;&lt;/span&gt;［be even with A］は、be動詞が状態を表すので、相手との差がない状態＝「Aとおあいこである」という意味になる。
&lt;div class="sample_image 2026_918"&gt;&lt;/div&gt;&lt;/span&gt;</t>
    <phoneticPr fontId="1"/>
  </si>
  <si>
    <t>&lt;span class="w"&gt;&lt;b&gt;【929.a host of ~：多数の〜】&lt;/b&gt;&lt;/span&gt;
&lt;span class="ml"&gt;&lt;span class="explanation_tag"&gt;語源&lt;/span&gt;
ここで出てくるhostと、ホストファミリーのhost（もてなす側）は、語源的に関連はするが、少し違いがある。
&lt;span class="spacer"&gt;&lt;/span&gt;どちらも印欧祖語*ghos-ti-（よそ者, 客, 主人）にさかのぼる。この印欧祖語は、①もてなす側の主人、②外部からくる客（主人にとって友好的）、③外部からくる敵（友好的ではない）という3つの意味を持つ。
&lt;span class="spacer"&gt;&lt;/span&gt;ホストファミリーのhostは、印欧祖語*ghos-ti-に、*poti-（力がある, 主人）が付き、ラテン語hospes（客, 客をもてなす主人）へと派生し、英語ではもてなす側に限定されて「主人」という意味になった。
&lt;span class="obsolete"&gt;このhostは、hospitalと同じラテン語や印欧祖語にさかのぼる。&lt;/span&gt;
&lt;span class="spacer"&gt;&lt;/span&gt;一方で、［a host of］のhostは、印欧祖語*ghos-ti-からそのままラテン語hostis（よそ者, 敵）&lt;span class="arrow"&gt;→&lt;/span&gt;古フランス語host（敵を倒すために集まった軍隊）という意味へ派生していった。
&lt;span class="spacer"&gt;&lt;/span&gt;そして英語では、軍事的ではなく「人々の集まり」という意味になり、さらに人がたくさん集まることから、「多数, 大群」という意味になった。
&lt;span class="obsolete"&gt;「多数」を意味するhostは、hostile（敵意のある）と同じラテン語や印欧祖語にさかのぼる。&lt;/span&gt;
&lt;span class="spacer"&gt;&lt;/span&gt;&lt;span class="explanation_tag"&gt;イメージ&lt;/span&gt;
hostは、語源的は①主人、②客、③敵の3つの意味があった。このhostは、敵を倒すために集まった大勢から「多数」という意味になった。
&lt;span class="spacer"&gt;&lt;/span&gt;そこから［a host of A］は、「多数のA」という意味になる。
&lt;span class="spacer"&gt;&lt;/span&gt;&lt;span class="explanation_tag"&gt;補足&lt;/span&gt;
語源的に、（数えられる）人が集まった全体を意味していたので、Aには可算名詞の複数形が入る。
&lt;div class="sample_image 2026_929"&gt;&lt;/div&gt;&lt;/span&gt;</t>
    <phoneticPr fontId="1"/>
  </si>
  <si>
    <t>&lt;span class="w"&gt;&lt;b&gt;【931.many a / an 単数名詞：たくさんの〜】&lt;/b&gt;&lt;/span&gt;
&lt;span class="ml"&gt;&lt;span class="explanation_tag"&gt;イメージ&lt;/span&gt;
［many a / an A（単数名詞）］は、1つ・1人のAに視点を向けて、それがたくさん集まっていることを表して、「たくさんの〜」という意味になる。
&lt;span class="spacer"&gt;&lt;/span&gt;【A】【A】【A】… というように、【A】がいくつも集まって、「たくさんのA」というイメージ。
&lt;span class="spacer"&gt;&lt;/span&gt;［many 複数名詞］は、複数の物や人をまとめて見ている感じ。
&lt;span class="spacer"&gt;&lt;/span&gt;【A A A …】というように、複数のAを見て、「たくさんのA」というイメージ。
&lt;span class="spacer"&gt;&lt;/span&gt;&lt;span class="explanation_tag"&gt;補足&lt;/span&gt;
［many a / an 単数名詞］と［many 複数名詞］の違いは、everyとallの違いと似ている。everyは一つひとつに目を向けて「全ての」となるが、allは全体をまとめて「全ての」となる。
&lt;div class="sample_image 2026_931"&gt;&lt;/div&gt;&lt;/span&gt;</t>
    <phoneticPr fontId="1"/>
  </si>
  <si>
    <t>&lt;span class="w"&gt;&lt;b&gt;【938.(enough) 名詞 to go around：全員に行き渡るだけの〈名詞〉】&lt;/b&gt;&lt;/span&gt;
&lt;span class="ml"&gt;&lt;span class="explanation_tag"&gt;イメージ&lt;/span&gt;
［go around］は、一周ぐるっとまわることを表す。これがto不定詞の形容詞的用法で［enough 名詞］を説明するので、「一周ぐるっとまわるくらい十分な〈名詞〉」となる。
&lt;span class="spacer"&gt;&lt;/span&gt;これは、丸いテーブルの周りに数人が座っていて、その全員にぐるっと〈名詞〉が行くイメージをすればよい。そこから、「全員に行き渡るだけの〈名詞〉」という意味になる。
&lt;div class="sample_image 2026_938"&gt;&lt;/div&gt;&lt;/span&gt;</t>
    <phoneticPr fontId="1"/>
  </si>
  <si>
    <t>&lt;span class="w"&gt;&lt;b&gt;【939.every other 名詞単数形：①ひとつおきの〜, ②（ある一つを除いた）残りすべての〜】&lt;/b&gt;&lt;/span&gt;
&lt;span class="ml"&gt;&lt;span class="explanation_tag"&gt;語源&lt;/span&gt;
otherは、印欧祖語*al-（向こう側に）と、比較級を作る*tero-が合わさってできた語にさかのぼる。印欧祖語*al-tero-は「2つのうちもう一方」ということを表す。
&lt;span class="spacer"&gt;&lt;/span&gt;この印欧祖語は、やがて古英語oþer（現other）となり、「2つのうち一方」という意味から「第2の, 2つのうち2番目の」という意味になった。つまり、&lt;strong&gt;otherはもともと「2番目の」という意味だった&lt;/strong&gt;。
&lt;span class="spacer"&gt;&lt;/span&gt;しかしその後、この意味はsecondが使われるようになり、otherは「他の」という意味で使われるようになった。
&lt;span class="spacer"&gt;&lt;/span&gt;「他の」という意味も、印欧祖語*al-（向こう側に）と、*tero-（比較級）にもとづいている。こちら側ではなく向こう側ということから、こちらではなく「他の」という意味になる。
&lt;span class="spacer"&gt;&lt;/span&gt;&lt;span class="explanation_tag"&gt;イメージ&lt;/span&gt;
［every other A］は、古英語oþerの意味を保った①の意味と、現代英語other通りの②の意味がある。
&lt;span class="spacer"&gt;&lt;/span&gt;①は、いまのsecondと同じ「2番目」という古い意味をもとに直訳すると、「2番目ごとのA」となる。
［⚪️⚫️⚪️⚫️⚪️⚫️⚪️⚫️…］という連続において、2番目ごとに出てくる⚫️を指すことから、「ひとつおきのA」という意味になる。
&lt;span class="spacer"&gt;&lt;/span&gt;②は直訳すると、「（何かの）他のすべてのA」となる。つまり、何かを除いて残ったものすべてを指すので、「残りすべてのA」という意味になる。
&lt;div class="sample_image 2026_939"&gt;&lt;/div&gt;&lt;/span&gt;</t>
    <phoneticPr fontId="1"/>
  </si>
  <si>
    <t>&lt;span class="w"&gt;&lt;b&gt;【944.in the works：準備中で, 計画中で, 進行中で】&lt;/b&gt;&lt;/span&gt;
&lt;span class="ml"&gt;&lt;span class="explanation_tag"&gt;語源&lt;/span&gt;
worksは、中英語期に「ある人の行為, 業績」といった意味で使われ始め、14世紀後期には「大規模な施設の維持に関わる業務」、15世紀後期には「工場, 作業場」という意味で使われるようになった。
&lt;span class="spacer"&gt;&lt;/span&gt;［be in the works］は、1973年までに「制作中で, 進行中で」という意味で使われるようになった。
&lt;span class="spacer"&gt;&lt;/span&gt;&lt;span class="explanation_tag"&gt;イメージ&lt;/span&gt;
［in the works］のworksは、「工場, 作業場」という意味。工場の中で機械が作動し、人々が働いて何かが作られている真っ最中であるように、プロジェクトや計画、新しいアイデアなどが「準備中で, 計画中で, 進行中で」という意味になる。
&lt;div class="sample_image 2026_944"&gt;&lt;/div&gt;&lt;/span&gt;</t>
    <phoneticPr fontId="1"/>
  </si>
  <si>
    <t>&lt;span class="w"&gt;&lt;b&gt;【945.nothing short of ~：まさしく～】&lt;/b&gt;&lt;/span&gt;
&lt;span class="ml"&gt;&lt;span class="explanation_tag"&gt;語源&lt;/span&gt;
ofは、古英語æf（離れて）にさかのぼる。もともとofの主要な意味は「離れて」だったが、1200年頃までにoffが生まれて、その「離れて」という意味を引き継いだ。
&lt;span class="spacer"&gt;&lt;/span&gt;&lt;span class="explanation_tag"&gt;イメージ&lt;/span&gt;
［nothing short of A］は直訳すると、物理的にAから距離が離れて（of A）足りない部分（short）が何もない（nothing）となる。
&lt;span class="spacer"&gt;&lt;/span&gt;つまり、Aからまったく離れておらず、Aにピッタリくっついている状態を表して、「まさしくA」という意味になる。
&lt;span class="spacer"&gt;&lt;/span&gt;&lt;span class="explanation_tag"&gt;関連語&lt;/span&gt;
［907.fall short of ~：（目標・基準など）〜に達しない］
&lt;div class="sample_image 2026_945"&gt;&lt;/div&gt;&lt;/span&gt;</t>
    <phoneticPr fontId="1"/>
  </si>
  <si>
    <t>&lt;span class="w"&gt;&lt;b&gt;【960.in the wake of ~：〜の通過後に, 〜の結果として】&lt;/b&gt;&lt;/span&gt;
&lt;span class="ml"&gt;&lt;span class="explanation_tag"&gt;語源&lt;/span&gt;
wakeは、1540年代に「船が通った後に残る白く泡だった波の跡」を意味する語として使われ始めた。
&lt;span class="spacer"&gt;&lt;/span&gt;［in the wake of A］は、1822年までに確認され、船が通った後に残る波の跡から比喩的に、Aが通った後やAが起きた後に残るものを表して、「Aの通過後に」や「Aの結果として」という意味になる。
&lt;div class="sample_image 2026_960"&gt;&lt;/div&gt;&lt;/span&gt;</t>
    <phoneticPr fontId="1"/>
  </si>
  <si>
    <t>&lt;span class="w"&gt;&lt;b&gt;【973.all too：①とても, 非常に, ②残念ながら】&lt;/b&gt;&lt;/span&gt;
&lt;span class="ml"&gt;&lt;span class="explanation_tag"&gt;イメージ&lt;/span&gt;
［all too］は、too（〜すぎる, とても〜）という程度表現に対して強調のallが付け足されて、①「とても, 非常に」という意味になる。
&lt;span class="spacer"&gt;&lt;/span&gt;また強調というのは、話者の気持ちが強く入ることで生まれる表現なので、話者が持つ「あまりにも〜すぎる」という&lt;strong&gt;残念感・望んでいない感&lt;/strong&gt;が含まれて、②「残念ながら」という意味になる。
&lt;span class="spacer"&gt;&lt;/span&gt;&lt;span class="explanation_tag"&gt;関連語&lt;/span&gt;
［996.only too］はポジティブな「とても, 非常に」とネガティブな「残念ながら」どちらも使う。
all tooはネガティブなニュアンスが強い。
&lt;div class="sample_image 2026_973"&gt;&lt;/div&gt;&lt;/span&gt;</t>
    <phoneticPr fontId="1"/>
  </si>
  <si>
    <t>&lt;span class="w"&gt;&lt;b&gt;【979.by and large：概して, 全体的に見て】&lt;/b&gt;&lt;/span&gt;
&lt;span class="ml"&gt;&lt;span class="explanation_tag"&gt;語源&lt;/span&gt;
［by and large］はもともと航海用語だった。
&lt;span class="spacer"&gt;&lt;/span&gt;byは、船頭に吹きつける風が、帆にあたって帆の横側を流れていくことから、逆風に向かって進むことを表した。
&lt;span class="spacer"&gt;&lt;/span&gt;largeは、large windが「追い風」を表し、追い風が帆を膨らませて大きくすることから、追い風に乗って進むことを表した。
&lt;span class="spacer"&gt;&lt;/span&gt;［by and large］は、船で風の吹く方向へ進んだり（by）、追い風に乗って進んだり（large）して、海のあちこちを進むことから、全体やあらゆる面を表すようになり、「概して, 全体的に見て」という意味になった。
&lt;div class="sample_image 2026_979"&gt;&lt;/div&gt;&lt;/span&gt;</t>
    <phoneticPr fontId="1"/>
  </si>
  <si>
    <t>&lt;span class="w"&gt;&lt;b&gt;【989.more often than not：普通は, たいてい】&lt;/b&gt;&lt;/span&gt;
&lt;span class="ml"&gt;&lt;span class="explanation_tag"&gt;イメージ&lt;/span&gt;
［more often than not］は、notよりも頻度が多いことを表す。
&lt;span class="spacer"&gt;&lt;/span&gt;これは、じゃんけんを10回したときの勝ちの回数を例にすると、not（負け）よりも勝ちの方が多いことを表すので、「たいてい, 普通」勝つという意味になる。
&lt;span class="spacer"&gt;&lt;/span&gt;つまり、否定よりも肯定の回数の方が多いということを表す。
&lt;span class="spacer"&gt;&lt;/span&gt;&lt;span class="explanation_tag"&gt;例&lt;/span&gt;
More often than not, he drinks coffee in the morning.
not（飲まない）より飲む方が多い
＝「たいてい朝にコーヒーを飲む」
&lt;span class="spacer"&gt;&lt;/span&gt;More often than not, he doesn't drink coffee in the morning.
not（飲む）よりも飲まない方が多い
＝「たいてい朝にコーヒーを飲まない」
&lt;div class="sample_image 2026_989"&gt;&lt;/div&gt;&lt;/span&gt;</t>
    <phoneticPr fontId="1"/>
  </si>
  <si>
    <t>&lt;span class="w"&gt;&lt;b&gt;【992.on the spot：①その場で, ②即座に, ③窮地に立って（困った状況に立って）】&lt;/b&gt;&lt;/span&gt;
&lt;span class="ml"&gt;&lt;span class="explanation_tag"&gt;語源&lt;/span&gt;
［on the spot］は1670年代までに見られ、まずは直訳の通り、そのスポット（場所）の上で＝①「その場で」という意味で使われた。
&lt;span class="spacer"&gt;&lt;/span&gt;またその意味と共に、決断や行動において、一旦持ち帰って考えたり、後回しにしたりせず、その場ですぐに何かを行う・何かが起きることから、②「即座に」という意味でも使われた。
&lt;span class="spacer"&gt;&lt;/span&gt;1928年からは、［put 人 on the spot］で、「人を困った状況に置く」という意味で使われている。これは、誰かを逃げ場のない、その場ですぐに対応しなければならない状況に置くイメージ。
&lt;span class="spacer"&gt;&lt;/span&gt;例えば、記者会見で言い逃れできない状況（the spot）に置くことを想像すれば、相手が困った状況に立たされていることをイメージしやすい。
&lt;span class="spacer"&gt;&lt;/span&gt;そこから、［on the spot］が「窮地に立って」という困った状況にいることを表すようになった。
&lt;div class="sample_image 2026_992"&gt;&lt;/div&gt;&lt;/span&gt;</t>
    <phoneticPr fontId="1"/>
  </si>
  <si>
    <t>&lt;span class="w"&gt;&lt;b&gt;【996.only too：①とても, 非常に, ②残念ながら】&lt;/b&gt;&lt;/span&gt;
&lt;span class="ml"&gt;&lt;span class="explanation_tag"&gt;イメージ&lt;/span&gt;
［only too］は、too（〜すぎる, とても〜）という程度表現に対して強調のonlyが付け足されて、①「とても, 非常に」という意味になる。
&lt;span class="spacer"&gt;&lt;/span&gt;また強調というのは、話者の気持ちが強く入ることで生まれる表現なので、話者が持つ「あまりにも〜すぎる」という&lt;strong&gt;残念感・望んでいない感&lt;/strong&gt;が含まれて、②「残念ながら」という意味になる。
&lt;span class="spacer"&gt;&lt;/span&gt;&lt;span class="explanation_tag"&gt;関連語&lt;/span&gt;
［973.all too］はネガティブなニュアンスが強い。
&lt;div class="sample_image 2026_996"&gt;&lt;/div&gt;&lt;/span&gt;</t>
    <phoneticPr fontId="1"/>
  </si>
  <si>
    <t>&lt;span class="w"&gt;&lt;b&gt;【997.sort / kind of：ちょっと, なんとなく】&lt;/b&gt;&lt;/span&gt;
&lt;span class="ml"&gt;&lt;span class="explanation_tag"&gt;イメージ&lt;/span&gt;
［sort / kind of］は、［a sort / kind of A］と関連させて理解する。
&lt;span class="spacer"&gt;&lt;/span&gt;［S is a sort / kind of A］は「SはAの一種」という意味になる。これは、「Sは〜である」というような、Sが何であるかを断言する表現ではなく、Aというカテゴリの中にある一つの種類（a sort / kind）だ、という&lt;strong&gt;曖昧さ&lt;/strong&gt;のある表現となっている。
&lt;span class="spacer"&gt;&lt;/span&gt;このはっきり断言せず、曖昧な［a sort / kind of A］という名詞句から、不定冠詞のaと名詞Aが消えれば、副詞として機能する［sort / kind of］になる。
&lt;span class="spacer"&gt;&lt;/span&gt;［sort / kind of］は、これが修飾する部分を、「ちょっと, なんとなく」というように曖昧にする働きを持つ。
&lt;div class="sample_image 2026_997"&gt;&lt;/div&gt;&lt;/span&gt;</t>
    <phoneticPr fontId="1"/>
  </si>
  <si>
    <t>&lt;span class="w"&gt;&lt;b&gt;【999.the other way around / round / about：逆に, あべこべに】&lt;/b&gt;&lt;/span&gt;
&lt;span class="ml"&gt;&lt;span class="explanation_tag"&gt;語源&lt;/span&gt;
aboutは、古英語a＋be＋utanが合わさってできた語。現代英語にすると、on（〜に）＋by（そば）＋out（外側）となる。つまりaboutは「外側のそばに, ぐるりと, 周囲に」というニュアンス。
&lt;span class="spacer"&gt;&lt;/span&gt;&lt;span class="explanation_tag"&gt;イメージ&lt;/span&gt;
語源で見た通り、aboutはもともと「周囲」を表し、around / roundも同様に「周囲」を表す。
&lt;span class="spacer"&gt;&lt;/span&gt;［the other way around / round / about］は、グルッとひっくり返って（around / round / about）本来とは違うもう一つの方（the other way）を向いているイメージ。
&lt;span class="spacer"&gt;&lt;/span&gt;そこから、物理的な向き・順序・考えなどが「逆に, あべこべに」なっていることを意味する。
&lt;span class="spacer"&gt;&lt;/span&gt;&lt;span class="explanation_tag"&gt;例&lt;/span&gt;
You put your shirt on &lt;strong&gt;the other way around&lt;/strong&gt;.
シャツを逆に着ている
&lt;span class="spacer"&gt;&lt;/span&gt;You are holding the map &lt;strong&gt;the other way around&lt;/strong&gt;.
地図を逆に持っている
&lt;span class="spacer"&gt;&lt;/span&gt;I thought he was older than her, but it is &lt;strong&gt;the other way around&lt;/strong&gt;.
彼が彼女より年上だと思っていたが、逆だった
&lt;span class="spacer"&gt;&lt;/span&gt;A: Do you hate him?
B: No, it is the other way around.
A：彼を憎んでいるんですか
B：いいえ、逆です
（好きor彼が私を憎んでいる）
&lt;div class="sample_image 2026_999"&gt;&lt;/div&gt;&lt;/span&gt;</t>
    <phoneticPr fontId="1"/>
  </si>
  <si>
    <t>&lt;span class="w"&gt;&lt;b&gt;【984.for nothing：①無料で, ②無駄に】&lt;/b&gt;&lt;/span&gt;
&lt;span class="ml"&gt;&lt;span class="explanation_tag"&gt;イメージ&lt;/span&gt;
［for nothing］のforは「〜のために」と「〜と交換に」という意味で考えればよい。
&lt;span class="spacer"&gt;&lt;/span&gt;①何かのためにするわけではなく、何も求めないことから「無料で」という意味になる。
&lt;span class="spacer"&gt;&lt;/span&gt;②何かを行った結果、nothingと交換になり、何も得られないことから「無駄に」という意味になる。&lt;/span&gt;</t>
    <phoneticPr fontId="1"/>
  </si>
  <si>
    <t>&lt;span class="w"&gt;&lt;b&gt;【1404.conquer：〜を征服する, 〜を克服する】&lt;/b&gt;&lt;/span&gt;
&lt;span class="ml"&gt;ラテン語に由来する語で、以下の2つの要素から成る。
&lt;span class="spacer"&gt;&lt;/span&gt;com（強意）
quaerere（求める）
&lt;span class="spacer"&gt;&lt;/span&gt;このまま日本語にすると「徹底的に探し求める」となる。そこから、苦労して探し求めて自分のものにする、多大な努力をして獲得するという意味合いに変化し、やがて武力で「征服する」や困難を乗り越えて「克服する」という意味になった。
&lt;div class="sample_image conquer"&gt;&lt;/div&gt;&lt;/span&gt;</t>
    <rPh sb="261" eb="263">
      <t>セイフク</t>
    </rPh>
    <phoneticPr fontId="1"/>
  </si>
  <si>
    <t>日本語でも使われるブランク（空白, 空欄）と関連させて覚える。</t>
    <phoneticPr fontId="1"/>
  </si>
  <si>
    <t>&lt;span class="w"&gt;&lt;b&gt;【880.generous：寛大な, 気前のよい】&lt;/b&gt;&lt;/span&gt;
&lt;span class="ml"&gt;ラテン語に由来する語で、以下の2つの要素から成る。
&lt;span class="spacer"&gt;&lt;/span&gt;genus（生まれ, 家系, 血統）
osus（形容詞化：〜に満ちている）
&lt;span class="spacer"&gt;&lt;/span&gt;もともとは、立派な血統に満ちていて高貴な生まれであることを表した。古代や中世には、高貴な人は器が大きく、他者に対して気前よくものを与え、寛大に振る舞うべきであるという価値観があったことから「寛大な, 気前のよい」という意味になった。&lt;/span&gt;</t>
    <phoneticPr fontId="1"/>
  </si>
  <si>
    <t>&lt;span class="w"&gt;&lt;b&gt;【240.succeed：成功する（in）, 継承する（to）】&lt;/b&gt;&lt;/span&gt;
&lt;span class="ml"&gt;ラテン語に由来する語で、以下の2つの要素から成る。
&lt;span class="spacer"&gt;&lt;/span&gt;sub（後に）
cedere（行く, 進む）
&lt;span class="spacer"&gt;&lt;/span&gt;このまま日本語にすると「後に行く」となる。ここから次の2つの意味に発展する。
&lt;span class="spacer"&gt;&lt;/span&gt;①前任者の後を行くというイメージから「何かを継承する」という意味になる。この場合はsucceed &lt;strong&gt;to&lt;/strong&gt; Aで「Aに成功する」となる。
&lt;span class="spacer"&gt;&lt;/span&gt;②行為の後に結果が続くというイメージから「成功する」という意味になる。この場合はsucceed &lt;strong&gt;in&lt;/strong&gt; Aで「Aを継承する」となる。
&lt;div class="sample_image succeed"&gt;&lt;/div&gt;
&lt;span class="spacer"&gt;&lt;/span&gt;&lt;span class="obsolete"&gt;succeedは、もともとは何かに続いて結果が出るという意味で、良い結果（成功）を意味したわけではない。
&lt;span class="spacer"&gt;&lt;/span&gt;16世紀頃にsucceed well（ことがうまくいく）という表現があり、ここからwellが省略されてsucceed（成功する）となった。
&lt;span class="spacer"&gt;&lt;/span&gt;これと同じことがlikeでも起こり、最初はlike ~ wellで「好む」という意味だったが、likeの1語のみになった。
&lt;span class="spacer"&gt;&lt;/span&gt;「～の方が好き / ～が一番好き」という場合、wellの比較級 / 最上級を使ってlike ~ better / the bestとなるが、これはlike〜wellの名残である。&lt;/span&gt;&lt;/span&gt;</t>
    <rPh sb="326" eb="328">
      <t>セイコウ</t>
    </rPh>
    <phoneticPr fontId="1"/>
  </si>
  <si>
    <t>&lt;span class="w"&gt;&lt;b&gt;【1326.strain：〜に負担をかける, 〜を緊張させる】&lt;/b&gt;&lt;/span&gt;
&lt;span class="ml"&gt;ラテン語stringere（きつく引く, 圧縮する）に由来する。
&lt;span class="spacer"&gt;&lt;/span&gt;これは「ひもを限界までギューっと引っ張る」イメージ。きつく引っぱるという物理的な動作から発展して、物だけではなく、精神・能力・金銭状況・人間関係など、さまざまな対象を「緊張させる」、また引っ張りすぎて「負担をかける」という意味になった。&lt;/span&gt;</t>
    <phoneticPr fontId="1"/>
  </si>
  <si>
    <t>&lt;span class="w"&gt;&lt;b&gt;【354.wealth：富】&lt;/b&gt;&lt;/span&gt;
&lt;span class="ml"&gt;中英語にさかのぼり、以下の2つの要素から成る。
&lt;span class="spacer"&gt;&lt;/span&gt;wele（幸せ）
th（名詞化）
&lt;span class="spacer"&gt;&lt;/span&gt;wele部分（weal）は、現代英語well（よい）と関連する語。
th部分は、healthのように名詞を作る。
&lt;span class="spacer"&gt;&lt;/span&gt;このまま日本語にすると「よい状態」となる。つまり物事がうまくいき、価値あるもので満たされている状態。ここからお金・資源・経験などが豊富であること＝「富」という意味になる。&lt;/span&gt;</t>
    <phoneticPr fontId="1"/>
  </si>
  <si>
    <t>&lt;span class="w"&gt;&lt;b&gt;【553.fellow：同僚, 仲間, 同級生, 男】&lt;/b&gt;&lt;/span&gt;
&lt;span class="ml"&gt;古ノルド語に由来する語で、以下の2つの要素から成る。
&lt;span class="spacer"&gt;&lt;/span&gt;fe（お金）
lag（置くこと）
&lt;span class="spacer"&gt;&lt;/span&gt;このまま日本語にすると「お金を置くこと」となる。これはもともと、共同でお金を出して事業を行う人を指したことから「仲間」という意味になった。
&lt;span class="spacer"&gt;&lt;/span&gt;この「仲間」は、文脈に応じて訳が変わる。仕事であれば「同僚」、学生であれば「同級生」となる。
&lt;span class="spacer"&gt;&lt;/span&gt;また日常会話では「男, やつ」といった抽象的な表現にまで広がった。&lt;/span&gt;</t>
    <phoneticPr fontId="1"/>
  </si>
  <si>
    <t>&lt;span class="w"&gt;&lt;b&gt;【555.corporation：（大）企業, 法人】&lt;/b&gt;&lt;/span&gt;
&lt;span class="ml"&gt;ラテン語に由来する語で、以下の2つの要素から成る。
&lt;span class="spacer"&gt;&lt;/span&gt;corpus（身体）から派生した動詞corporare（形あるものにする）
io（名詞化）
&lt;span class="spacer"&gt;&lt;/span&gt;複数の人々が「一つの身体」のようにまとまることから、もともとは人々が集まって作られた単一の団体を指した。
&lt;span class="spacer"&gt;&lt;/span&gt;近代になって大規模な事業組織が登場すると、法律上まるで「身体を持つ一個人」のように扱われる組織、すなわち法的に人格を認められた「法人」や「（大）企業」を意味するようになった。&lt;/span&gt;</t>
    <phoneticPr fontId="1"/>
  </si>
  <si>
    <t>&lt;span class="w"&gt;&lt;b&gt;【746.elite：（the eliteで）エリート（集合名詞）】&lt;/b&gt;&lt;/span&gt;
&lt;span class="ml"&gt;ラテン語に由来する語で、以下の2つの要素から成る。
&lt;span class="spacer"&gt;&lt;/span&gt;ex（外に）
legere（選ぶ）
&lt;span class="spacer"&gt;&lt;/span&gt;この語の核は「外に選び出す」。ここから選び出された人たち、つまり「エリート」という意味になった。&lt;/span&gt;</t>
    <phoneticPr fontId="1"/>
  </si>
  <si>
    <t>&lt;span class="w"&gt;&lt;b&gt;【747.layer：層】&lt;/b&gt;&lt;/span&gt;
&lt;span class="ml"&gt;古英語lecgan（地面に置く, 横たえる：layの語源）にさかのぼる。&lt;span class="obsolete"&gt;er（〜する人, 〜するもの）は中英語段階で付いた。&lt;/span&gt;
&lt;span class="spacer"&gt;&lt;/span&gt;もともとは横たえる人、特にレンガや石を敷く人を表した。そこから敷かれるものを指すようになり、平らに敷き詰められたものから何かの「層」という意味になった。&lt;/span&gt;</t>
    <phoneticPr fontId="1"/>
  </si>
  <si>
    <t>&lt;span class="w"&gt;&lt;b&gt;【749.protein：タンパク質】&lt;/b&gt;&lt;/span&gt;
&lt;span class="ml"&gt;ギリシャ語を元に造られた語で、以下の2つの要素から成る。
&lt;span class="spacer"&gt;&lt;/span&gt;prōtos（第一：プロトタイプのプロト）
ine（化学物質を表す：カフェインなども同じ）
&lt;span class="spacer"&gt;&lt;/span&gt;もともとは「生命を構成する全ての物質に共通する、最も重要で第一の物質」を表すために造られた。これは、あらゆる生命には土台となる一つの基本分子が存在するという仮説に基づいていた。
&lt;span class="spacer"&gt;&lt;/span&gt;しかし実際にはそのような物質は存在しなかった。そのため代わりに、生命活動のあらゆる部分を担う「生命にとって最も重要な物質」である現在の「タンパク質」全体を指して、proteinという言葉が使われるようになった。&lt;/span&gt;</t>
    <phoneticPr fontId="1"/>
  </si>
  <si>
    <t>&lt;span class="w"&gt;&lt;b&gt;【750.profession：職業, 専門職】&lt;/b&gt;&lt;/span&gt;
&lt;span class="ml"&gt;ラテン語に由来する語で、以下の2つの要素から成る。
&lt;span class="spacer"&gt;&lt;/span&gt;pro（前へ）
fateri（話す, 告げる）
io（名詞化）
&lt;span class="spacer"&gt;&lt;/span&gt;この語の核は「人前で話すこと」。自分が熟達しいると公言できる専門知識や技術が必要な「職業, 専門職」という意味になった。&lt;/span&gt;</t>
    <phoneticPr fontId="1"/>
  </si>
  <si>
    <t>&lt;span class="w"&gt;&lt;b&gt;【751.editor：編集者】&lt;/b&gt;&lt;/span&gt;
&lt;span class="ml"&gt;ラテン語に由来する語で、以下の2つの要素から成る。
&lt;span class="spacer"&gt;&lt;/span&gt;ex（外に）
dare（与える）
or（〜する人）
&lt;span class="spacer"&gt;&lt;/span&gt;このまま日本語にすると「外に与える人＝世に出す人」となる。もともとは世の中に本を出す出版者を表していたが、そこから発展して、出版のために準備する人、つまり「編集者」という意味になった。
&lt;span class="spacer"&gt;&lt;/span&gt;ちなみに動詞editは、何かを「編集する」という意味。&lt;/span&gt;</t>
    <phoneticPr fontId="1"/>
  </si>
  <si>
    <t>&lt;span class="w"&gt;&lt;b&gt;【752.agent：仲介者, 代理人】&lt;/b&gt;&lt;/span&gt;
&lt;span class="ml"&gt;ラテン語に由来する語で、以下の2つの要素から成る。
&lt;span class="spacer"&gt;&lt;/span&gt;agere（行う）
ens（現在分詞を作る：〜しているもの）
&lt;span class="spacer"&gt;&lt;/span&gt;このまま日本語にすると「何かを行なっているもの」となる。もともとは行為者を表していたが、そこから誰かに代わって行動する者、すなわち「代理人, 仲介者」という意味になった。また「特定の作用を引き起こす原因となる物質や力」という意味もある。&lt;/span&gt;</t>
  </si>
  <si>
    <t>&lt;span class="w"&gt;&lt;b&gt;【945.sensation：感覚, 大評判, 衝撃】&lt;/b&gt;&lt;/span&gt;
&lt;span class="ml"&gt;ラテン語に由来する語で、以下の2つの要素から成る。
&lt;span class="spacer"&gt;&lt;/span&gt;sentire（知覚する, 感じる, 知る）
io（名詞化）
&lt;span class="spacer"&gt;&lt;/span&gt;このまま日本語にすると「感じること, 知ること」となる。もとになったラテン語では感覚系と知る系の2つの意味があったが、sensationは感覚的な意味へと特化した。感覚器官を通じた外部刺激への「感覚」という個人レベルのものから、社会全体が強い感覚を生じさせる「大評判, 衝撃」という意味になった。
&lt;span class="spacer"&gt;&lt;/span&gt;&lt;span class="obsolete"&gt;感覚系の五感と、知る系の理解の両方の意味へ発展したのがsense（五感, 意味, 理解, 知的な感覚）。&lt;/span&gt;&lt;/span&gt;</t>
    <phoneticPr fontId="1"/>
  </si>
  <si>
    <t>mille部分は、ミリメートル（millimeter）のミリ（1000もしくは1000分の1）と同じ。またケーキのミルフィーユ（&lt;strong&gt;mille&lt;/strong&gt;feuille）は、直訳すると「&lt;strong&gt;千&lt;/strong&gt;枚の葉」という意味。
&lt;span class="spacer"&gt;&lt;/span&gt;nnium部分は、アニバーサリー（anniversary）のアニ（年）と同じ。
&lt;span class="spacer"&gt;&lt;/span&gt;この2つを合わせて1000年となる。</t>
    <rPh sb="96" eb="98">
      <t>チョクヤク</t>
    </rPh>
    <rPh sb="122" eb="123">
      <t>ハ</t>
    </rPh>
    <rPh sb="127" eb="129">
      <t>イミ</t>
    </rPh>
    <phoneticPr fontId="1"/>
  </si>
  <si>
    <t>&lt;span class="w"&gt;&lt;b&gt;【1170.mess：散らかった状態, 混乱状態】&lt;/b&gt;&lt;/span&gt;
&lt;span class="ml"&gt;ラテン語mittere（送る, 放つ, 置く）の過去分詞missus（置かれたもの）に由来する。これはmissionやmessageと同じ語源。
&lt;span class="spacer"&gt;&lt;/span&gt;ラテン語ではもともと、どこかに置かれたものという意味。そこから、食卓に置かれた1人分の食事、同じ食卓で集まって食事をする人々、その人たちが残した食べ物をひとつに集めたもの（ごちゃ混ぜの残飯）へと意味が発展した。
&lt;span class="spacer"&gt;&lt;/span&gt;この残飯のぐちゃぐちゃの状態が、部屋などが「散らかった状態」という意味や、人間関係のトラブルや事態の収拾がつかない「混乱状態」という意味になった。
&lt;div class="sample_image mess"&gt;&lt;/div&gt;&lt;/span&gt;</t>
    <rPh sb="97" eb="101">
      <t>カコブンシ</t>
    </rPh>
    <rPh sb="116" eb="118">
      <t>ユライ</t>
    </rPh>
    <rPh sb="140" eb="141">
      <t>オナ</t>
    </rPh>
    <rPh sb="142" eb="144">
      <t>ゴゲン</t>
    </rPh>
    <rPh sb="177" eb="178">
      <t>ゴ</t>
    </rPh>
    <rPh sb="189" eb="190">
      <t>オ</t>
    </rPh>
    <rPh sb="198" eb="200">
      <t>イミ</t>
    </rPh>
    <rPh sb="206" eb="208">
      <t>ショクタク</t>
    </rPh>
    <rPh sb="209" eb="210">
      <t>オ</t>
    </rPh>
    <rPh sb="225" eb="226">
      <t>アツ</t>
    </rPh>
    <rPh sb="229" eb="231">
      <t>ショクジ</t>
    </rPh>
    <rPh sb="234" eb="236">
      <t>ヒトビト</t>
    </rPh>
    <rPh sb="239" eb="240">
      <t>ヒト</t>
    </rPh>
    <rPh sb="243" eb="244">
      <t>ノコ</t>
    </rPh>
    <rPh sb="246" eb="247">
      <t>タ</t>
    </rPh>
    <rPh sb="248" eb="249">
      <t>モノ</t>
    </rPh>
    <rPh sb="254" eb="255">
      <t>アツ</t>
    </rPh>
    <rPh sb="263" eb="264">
      <t>マ</t>
    </rPh>
    <rPh sb="266" eb="268">
      <t>ザンパン</t>
    </rPh>
    <rPh sb="271" eb="273">
      <t>イミ</t>
    </rPh>
    <rPh sb="274" eb="276">
      <t>ハッテン</t>
    </rPh>
    <rPh sb="310" eb="312">
      <t>ザンパン</t>
    </rPh>
    <rPh sb="324" eb="326">
      <t>ヘヤ</t>
    </rPh>
    <rPh sb="330" eb="331">
      <t>チ</t>
    </rPh>
    <rPh sb="335" eb="337">
      <t>ジョウタイ</t>
    </rPh>
    <rPh sb="341" eb="343">
      <t>イミ</t>
    </rPh>
    <rPh sb="355" eb="357">
      <t>ジタイ</t>
    </rPh>
    <rPh sb="374" eb="376">
      <t>イミ</t>
    </rPh>
    <phoneticPr fontId="1"/>
  </si>
  <si>
    <t>&lt;span class="w"&gt;&lt;b&gt;【1.create：～を創造する, ～を引き起こす】&lt;/b&gt;&lt;/span&gt;
&lt;span class="ml"&gt;ラテン語creare（作る, 育てる, 生産する, 引き起こす）に由来する。
&lt;span class="spacer"&gt;&lt;/span&gt;ラテン語から意味の変化はほとんどなく、createは「何かを作り出す, 何かを引き起こす」という意味になる。&lt;/span&gt;</t>
  </si>
  <si>
    <t>includeは「中に閉じ込める＝含む」というイメージ。clude部分は動詞close（閉じる）と同じ語源にさかのぼる。</t>
    <phoneticPr fontId="1"/>
  </si>
  <si>
    <t>&lt;span class="w"&gt;&lt;b&gt;【6.include：～を含む】&lt;/b&gt;&lt;/span&gt;
&lt;span class="ml"&gt;ラテン語に由来する語で、以下の2つの要素から成る。
&lt;span class="spacer"&gt;&lt;/span&gt;in（中に）
claudare（閉じる）
&lt;span class="spacer"&gt;&lt;/span&gt;このまま日本語にすると「中に閉じ込める」となる。つまりある範囲の中に閉じ込めることから、何かが中にある＝何かを「含む」という意味になる。
&lt;span class="spacer"&gt;&lt;/span&gt;includeの反対は、ex（外に）claudare（閉じる）から成るexclude（外に出して閉じる＝除外する）。
&lt;div class="sample_image include"&gt;&lt;/div&gt;&lt;/span&gt;</t>
    <phoneticPr fontId="1"/>
  </si>
  <si>
    <t>【variety：多様性】</t>
  </si>
  <si>
    <t>&lt;span class="w"&gt;&lt;b&gt;【110.claim：～を主張する, （自分のものとして）要求する】&lt;/b&gt;&lt;/span&gt;
&lt;span class="ml"&gt;ラテン語clamare（叫ぶ）に由来する。
&lt;span class="spacer"&gt;&lt;/span&gt;自分の言いたいことを叫ぶというところから「主張する, 自分のものとして要求する」という意味になる。
&lt;span class="spacer"&gt;&lt;/span&gt;ビックリマーク（！）を英語ではexclamation markと呼ぶが、exclamationの動詞形はexclaim（外に叫ぶ）である。ここからclaimがもともと持っていた「叫ぶ」というイメージがわかる。&lt;/span&gt;</t>
  </si>
  <si>
    <t>&lt;span class="w"&gt;&lt;b&gt;【118.achieve：～を達成する】&lt;/b&gt;&lt;/span&gt;
&lt;span class="ml"&gt;ラテン語に由来する語で、以下の3つの要素から成る。
&lt;span class="spacer"&gt;&lt;/span&gt;ad（～へ）
capt（頭）
venire（来る）
&lt;span class="spacer"&gt;&lt;/span&gt;このまま日本語にすると「頭へ来る」となる。頭は動物の体の端にあることから、端へ来る＝終わりに到達する＝何かを「達成する」という意味になる。
&lt;span class="spacer"&gt;&lt;/span&gt;ラテン語capt（頭）はcaptain（キャプテン）の語源でもある。&lt;/span&gt;</t>
  </si>
  <si>
    <t>&lt;span class="w"&gt;&lt;b&gt;【258.reward：報酬, 報い】&lt;/b&gt;&lt;/span&gt;
&lt;span class="ml"&gt;古北フランス語に由来する語で、以下の2つの要素から成る。
&lt;span class="spacer"&gt;&lt;/span&gt;re（強意）
warder（見る, 注意を払う）
&lt;span class="spacer"&gt;&lt;/span&gt;このまま日本語にすると「しっかり注意して見る」となる。この語の核は、相手の行動を注意して見て、行動や結果の良し悪しで報酬や罰を与えること。現代では通常、良い意味で使用されて「報酬, 報い」という意味になる。
&lt;div class="sample_image reward"&gt;&lt;/div&gt;
&lt;span class="spacer"&gt;&lt;/span&gt;rewardはregardと同じ語源を持つ。どちらも「注意して見る」ことが核になっている。wとgの違いはフランス語の方言差のようなもの。&lt;/span&gt;</t>
  </si>
  <si>
    <t>&lt;span class="w"&gt;&lt;b&gt;【556.stereotype：固定観念】&lt;/b&gt;&lt;/span&gt;
&lt;span class="ml"&gt;フランス語に由来する語で、以下のギリシャ語とフランス語の2つの要素から成る。
ギリシャ語stereos（固体の）
フランス語type（活字）
&lt;span class="spacer"&gt;&lt;/span&gt;この語はもともと活版印刷に関するものだった。当初の活版印刷は、一文字ずつバラバラの活字（金属のハンコ）を1ページ分並べて印刷していた。しかしこれでは、再び同じページを刷りたいときに、再度全ての活字を並べなければならず、非常に手間がかかった。
&lt;span class="spacer"&gt;&lt;/span&gt;そこで、1ページ分並べた活字から型を取り、大きな一枚の鉛版を作る技術が発明された。このひとつに固まった（stereos）活字（type）が、もともとのstereotypeである。
&lt;span class="spacer"&gt;&lt;/span&gt;できあがった活字版は変化することなく、何度も同じページを印刷できる。ここから比喩的に、何かに対していつも同じ見方や考え方をすること、すなわち「固定観念」という意味で使われるようになった。
&lt;div class="sample_image stereotype"&gt;&lt;/div&gt;&lt;/span&gt;</t>
  </si>
  <si>
    <t>&lt;span class="w"&gt;&lt;b&gt;【688.absolute：絶対的な】&lt;/b&gt;&lt;/span&gt;
&lt;span class="ml"&gt;ラテン語に由来する語で、以下の2つの要素から成る。
&lt;span class="spacer"&gt;&lt;/span&gt;ab（離れて）
solvere（緩める, ほどく, 解放する）
&lt;span class="spacer"&gt;&lt;/span&gt;このまま日本語にすると「ほどいて離す」となる。他のものから分離していることから、他のものとの関係がなく（相対ではなく）「絶対的な」という意味になる。
&lt;div class="sample_image absolute"&gt;&lt;/div&gt;&lt;/span&gt;</t>
  </si>
  <si>
    <t>&lt;span class="w"&gt;&lt;b&gt;【748.motor：モーター, 原動力】&lt;/b&gt;&lt;/span&gt;
&lt;span class="ml"&gt;ラテン語に由来する語で、以下の2つの要素から成る。
&lt;span class="spacer"&gt;&lt;/span&gt;movere（動かす）
or（〜するもの）
&lt;span class="spacer"&gt;&lt;/span&gt;このまま日本語にすると「動かすもの」つまり「原動力, モーター」という意味になる。&lt;/span&gt;</t>
  </si>
  <si>
    <t>&lt;span class="w"&gt;&lt;b&gt;【1096.intimate：親密な, 密接な】&lt;/b&gt;&lt;/span&gt;
&lt;span class="ml"&gt;ラテン語に由来する語で、以下の2つの要素から成る。
&lt;span class="spacer"&gt;&lt;/span&gt;in（中に）
imus（最上級を作る）
&lt;span class="spacer"&gt;&lt;/span&gt;このまま日本語にすると「最も内側の」となる。心の最も内側を共有できるほど距離が近いイメージから「親密な, 密接な」という意味なる。
&lt;span class="spacer"&gt;&lt;/span&gt;imate部分は、ultimate（究極の）でも使われている。ultimateは、ラテン語ulter（超える）に最上級imusが付いて、最も超えていることから「究極の」という意味になる。&lt;/span&gt;</t>
  </si>
  <si>
    <t>&lt;span class="w"&gt;&lt;b&gt;【38.demand：～を要求する】&lt;/b&gt;&lt;/span&gt;
&lt;span class="ml"&gt;ラテン語に由来する語で、以下の2つの要素から成る。
&lt;span class="spacer"&gt;&lt;/span&gt;de（完全に）
mandare（命じる, 委ねる）
&lt;span class="spacer"&gt;&lt;/span&gt;このまま日本語にすると「完全に命じる, 委ねる」となる。自分の望みを相手に命じて完全に委ねるイメージから、相手に「要求する」という意味になる。&lt;/span&gt;</t>
    <phoneticPr fontId="1"/>
  </si>
  <si>
    <t>=INDEX($L:$L, MATCH("justice", $B:$B, 0))</t>
  </si>
  <si>
    <t>=INDEX($L:$L, MATCH("jury", $B:$B, 0))</t>
  </si>
  <si>
    <t>&lt;span class="w"&gt;&lt;b&gt;【1017.quote：〜（言葉）を引用する】&lt;/b&gt;&lt;/span&gt;
&lt;span class="ml"&gt;ラテン語quot（いくつ？）に由来する。
&lt;span class="spacer"&gt;&lt;/span&gt;もともとは番号で区別することを表した。そこから、文章を整理して後から参照しやすくするために◯章◯節という形で番号をつけたり、特定の箇所に関する注釈や参照すべき箇所を示したりすることを表すようになった。そうした文章の特定の箇所を指定する行為が、やがて文章の特定の箇所から正確に言葉を抜き出すことを指すようになり、ある言葉を「引用する」という意味になった。&lt;/span&gt;</t>
  </si>
  <si>
    <t>&lt;span class="w"&gt;&lt;b&gt;【123.prefer：～を好む】&lt;/b&gt;&lt;/span&gt;
&lt;span class="ml"&gt;ラテン語に由来する語で、以下の2つの要素から成る。
&lt;span class="spacer"&gt;&lt;/span&gt;prae（前に, 先に）
ferre（運ぶ）
&lt;span class="spacer"&gt;&lt;/span&gt;このまま日本語にすると「前に運ぶ」となる。他のものよりも前に出すことから、他よりも高く評価する、他のよりも何かを「好む」という意味になる。
&lt;div class="sample_image prefer"&gt;&lt;/div&gt;
&lt;span class="spacer"&gt;&lt;/span&gt;prefer A to B（AよりBを好む）では、比較の対象をtoで示す。これは「前へ運ぶ」が、何に対して前なのかを示すため。つまり、Bに対して（to B）Aを前に運ぶ（好む）ことを表している。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t>
  </si>
  <si>
    <t>&lt;span class="w"&gt;&lt;b&gt;【493.superior：より優れた】&lt;/b&gt;&lt;/span&gt;
&lt;span class="ml"&gt;ラテン語に由来する語で、以下の3つの要素から成る。
&lt;span class="spacer"&gt;&lt;/span&gt;super（上に, 越えて）
us（形容詞化）
ior（比較級を作る）
&lt;span class="spacer"&gt;&lt;/span&gt;このまま日本語にすると「より上の」となる。物理的な位置関係において、何かよりも上であるということから、能力・品質・地位などが上であることへと発展し、「より優れた」という意味になった。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t>
  </si>
  <si>
    <t>&lt;span class="w"&gt;&lt;b&gt;【596.alien：異質の, 外国の, 宇宙人の】&lt;/b&gt;&lt;/span&gt;
&lt;span class="ml"&gt;印欧祖語*al-（向こうに, 越えて）から派生したラテン語alius（他の, 別の）に由来する。
&lt;span class="spacer"&gt;&lt;/span&gt;これは、自分たち側ではない、つまり自分たちとは違うということから「異質の」という意味になる。古代の人々の視点で考えれば、住む場所が違えば、言葉や文化、宗教などが異なり、理解の及ばない異質な存在となる。そのため「向こうに」から「他の, 別の」そして「異質な」へと発展したと考えられる。
&lt;span class="spacer"&gt;&lt;/span&gt;これが国単位になれば「外国の」となり、地球単位で考えれば「宇宙人の」という意味になる。
&lt;span class="spacer"&gt;&lt;/span&gt;ちなみにミステリ小説などで使われる「アリバイ」という言葉は、ラテン語aliusが、場所を意味する形になったalibi（他の場所）に由来する。事件当時に他の場所にいたことを示すことから、alibiという語が使われるようになった。&lt;/span&gt;</t>
  </si>
  <si>
    <t>&lt;span class="w"&gt;&lt;b&gt;【687.relevant：関係のある, 適切な】&lt;/b&gt;&lt;/span&gt;
&lt;span class="ml"&gt;ラテン語に由来する語で、以下の2つの要素から成る。
&lt;span class="spacer"&gt;&lt;/span&gt;re（強意）
levare（持ち上げる, 軽くする）
&lt;span class="spacer"&gt;&lt;/span&gt;このまま日本語にすると「しっかり持ち上げる」となる。&lt;span class="obsolete"&gt;この持ち上げるという意味は、同じくラテン語levareに由来する、英語elevator（エレベーター）のleva部分に残っている。&lt;/span&gt;
&lt;span class="spacer"&gt;&lt;/span&gt;何かを持ち上げるということは、負担を軽減する、そして人の苦痛を和らげて助けとなるという意味へと発展していく。
&lt;span class="spacer"&gt;&lt;/span&gt;そこから近代英語期、スコットランドの法律分野で、裁判において自分の主張を助けてくれる証拠や情報をrelevantと呼ぶようになった。
&lt;span class="spacer"&gt;&lt;/span&gt;議論において助けとなる情報は、その事柄に直接関係している情報なので、現代英語の「関係のある,（当面の問題に対して）適切な」という意味になった。&lt;/span&gt;</t>
  </si>
  <si>
    <t>&lt;span class="w"&gt;&lt;b&gt;【791.apparent：明白な, 一見〜らしい】&lt;/b&gt;&lt;/span&gt;
&lt;span class="ml"&gt;ラテン語に由来する語で、以下の2つの要素から成る。
&lt;span class="spacer"&gt;&lt;/span&gt;ad（〜へ）
parere（目にみえる, 出現する）
&lt;span class="spacer"&gt;&lt;/span&gt;このまま日本語にすると「〜へ現れる」となる。これはappear（現れる）の語源でもある。何かが視界に入るイメージから、目に見えて「明白な」という意味になる。
&lt;span class="spacer"&gt;&lt;/span&gt;また感覚や認識で見えたものが、本当に見えた通りであるとは限らない。ここから「一見〜らしい」という意味になる。&lt;/span&gt;</t>
  </si>
  <si>
    <t>&lt;span class="w"&gt;&lt;b&gt;【1092.inferior：より劣った】&lt;/b&gt;&lt;/span&gt;
&lt;span class="ml"&gt;ラテン語に由来する語で、以下の3つの要素から成る。
&lt;span class="spacer"&gt;&lt;/span&gt;infra（下に）
us（形容詞化）
or（比較級を作る）
&lt;span class="spacer"&gt;&lt;/span&gt;このまま日本語にすると「より下の」となる。物理的に基準よりも下に位置することから比喩的に、質・能力・立場などが「より劣った」という意味になる。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t>
  </si>
  <si>
    <t>&lt;span class="w"&gt;&lt;b&gt;【1360.suicide：自殺】&lt;/b&gt;&lt;/span&gt;
&lt;span class="ml"&gt;ラテン語に由来する語で、以下の3つの要素から成る。
&lt;span class="spacer"&gt;&lt;/span&gt;sui（自分自身の）
caedere（殺す, 切る）
ium（名詞化）
&lt;span class="spacer"&gt;&lt;/span&gt;このまま日本語にすると「自分自身を殺すこと」となり、そこから「自殺」という意味になる。
&lt;span class="spacer"&gt;&lt;/span&gt;ラテン語sui（自分自身の）は、印欧祖語*s(w)e-（自分自身）にさかのぼる。この印欧祖語からはselfも生まれている。
&lt;span class="spacer"&gt;&lt;/span&gt;またラテン語caedere（殺す, 切る）からは、decide（決断する）・precise（正確な）・concise（簡潔な）も生まれている。いずれも「切る」が核となっている。
&lt;span class="spacer"&gt;&lt;/span&gt;suicideは、self（自身を）＋cide（切る, 殺す）と考えればよい。&lt;/span&gt;</t>
  </si>
  <si>
    <t>&lt;div class="related_image"&gt;&lt;img src="./related_images/clude.png"&gt;&lt;/img&gt;&lt;/div&gt;</t>
  </si>
  <si>
    <t>&lt;div class="related_image"&gt;&lt;img src="./related_images/ducere.png"&gt;&lt;/img&gt;&lt;/div&gt;</t>
  </si>
  <si>
    <t>&lt;div class="related_image"&gt;&lt;img src="./related_images/cise_cide.png"&gt;&lt;/img&gt;&lt;/div&gt;</t>
  </si>
  <si>
    <t>&lt;div class="related_image"&gt;&lt;img src="./related_images/fer.png"&gt;&lt;/img&gt;&lt;/div&gt;</t>
  </si>
  <si>
    <t>&lt;div class="related_image"&gt;&lt;img src="./related_images/quire_quest.png"&gt;&lt;/img&gt;&lt;/div&gt;</t>
  </si>
  <si>
    <t>&lt;div class="related_image"&gt;&lt;img src="./related_images/tend_tense.png"&gt;&lt;/img&gt;&lt;/div&gt;</t>
  </si>
  <si>
    <t>&lt;div class="related_image"&gt;&lt;img src="./related_images/cernere.png"&gt;&lt;/img&gt;&lt;/div&gt;</t>
  </si>
  <si>
    <t>&lt;div class="related_image"&gt;&lt;img src="./related_images/script_scribe.png"&gt;&lt;/img&gt;&lt;/div&gt;</t>
  </si>
  <si>
    <t>&lt;div class="related_image"&gt;&lt;img src="./related_images/volve.png"&gt;&lt;/img&gt;&lt;/div&gt;</t>
  </si>
  <si>
    <t>&lt;div class="related_image"&gt;&lt;img src="./related_images/sign.png"&gt;&lt;/img&gt;&lt;/div&gt;</t>
  </si>
  <si>
    <t>&lt;div class="related_image"&gt;&lt;img src="./related_images/force.png"&gt;&lt;/img&gt;&lt;/div&gt;</t>
  </si>
  <si>
    <t>&lt;div class="related_image"&gt;&lt;img src="./related_images/fect_ficient.png"&gt;&lt;/img&gt;&lt;/div&gt;</t>
  </si>
  <si>
    <t>&lt;div class="related_image"&gt;&lt;img src="./related_images/late.png"&gt;&lt;/img&gt;&lt;/div&gt;</t>
  </si>
  <si>
    <t>&lt;div class="related_image"&gt;&lt;img src="./related_images/cor.png"&gt;&lt;/img&gt;&lt;/div&gt;</t>
  </si>
  <si>
    <t>&lt;div class="related_image"&gt;&lt;img src="./related_images/sist.png"&gt;&lt;/img&gt;&lt;/div&gt;</t>
  </si>
  <si>
    <t>&lt;div class="related_image"&gt;&lt;img src="./related_images/pend.png"&gt;&lt;/img&gt;&lt;/div&gt;</t>
  </si>
  <si>
    <t>&lt;div class="related_image"&gt;&lt;img src="./related_images/ject.png"&gt;&lt;/img&gt;&lt;/div&gt;</t>
  </si>
  <si>
    <t>&lt;div class="related_image"&gt;&lt;img src="./related_images/fundus.png"&gt;&lt;/img&gt;&lt;/div&gt;</t>
  </si>
  <si>
    <t>&lt;div class="related_image"&gt;&lt;img src="./related_images/ple.png"&gt;&lt;/img&gt;&lt;/div&gt;</t>
  </si>
  <si>
    <t>&lt;div class="related_image"&gt;&lt;img src="./related_images/reri.png"&gt;&lt;/img&gt;&lt;/div&gt;</t>
  </si>
  <si>
    <t>&lt;div class="related_image"&gt;&lt;img src="./related_images/flu.png"&gt;&lt;/img&gt;&lt;/div&gt;</t>
  </si>
  <si>
    <t>&lt;div class="related_image"&gt;&lt;img src="./related_images/videre.png"&gt;&lt;/img&gt;&lt;/div&gt;</t>
  </si>
  <si>
    <t>&lt;div class="related_image"&gt;&lt;img src="./related_images/valere.png"&gt;&lt;/img&gt;&lt;/div&gt;</t>
  </si>
  <si>
    <t>&lt;div class="related_image"&gt;&lt;img src="./related_images/specere.png"&gt;&lt;/img&gt;&lt;/div&gt;</t>
  </si>
  <si>
    <t>&lt;div class="related_image"&gt;&lt;img src="./related_images/gno.png"&gt;&lt;/img&gt;&lt;/div&gt;</t>
  </si>
  <si>
    <t>&lt;div class="related_image"&gt;&lt;img src="./related_images/ire.png"&gt;&lt;/img&gt;&lt;/div&gt;</t>
  </si>
  <si>
    <t>&lt;div class="related_image"&gt;&lt;img src="./related_images/cle.png"&gt;&lt;/img&gt;&lt;/div&gt;</t>
  </si>
  <si>
    <t>&lt;div class="related_image"&gt;&lt;img src="./related_images/terminus.png"&gt;&lt;/img&gt;&lt;/div&gt;</t>
  </si>
  <si>
    <t>&lt;div class="related_image"&gt;&lt;img src="./related_images/regere.png"&gt;&lt;/img&gt;&lt;/div&gt;</t>
  </si>
  <si>
    <t>&lt;div class="related_image"&gt;&lt;img src="./related_images/munis.png"&gt;&lt;/img&gt;&lt;/div&gt;</t>
  </si>
  <si>
    <t>&lt;div class="related_image"&gt;&lt;img src="./related_images/colere.png"&gt;&lt;/img&gt;&lt;/div&gt;</t>
  </si>
  <si>
    <t>&lt;div class="related_image"&gt;&lt;img src="./related_images/sem.png"&gt;&lt;/img&gt;&lt;/div&gt;</t>
  </si>
  <si>
    <t>&lt;div class="related_image"&gt;&lt;img src="./related_images/pati.png"&gt;&lt;/img&gt;&lt;/div&gt;</t>
  </si>
  <si>
    <t>&lt;div class="related_image"&gt;&lt;img src="./related_images/valere.png"&gt;&lt;/img&gt;&lt;/div&gt;&lt;div class="related_image"&gt;&lt;img src="./related_images/able.png"&gt;&lt;/img&gt;&lt;/div&gt;</t>
  </si>
  <si>
    <t>&lt;div class="related_image"&gt;&lt;img src="./related_images/gene.png"&gt;&lt;/img&gt;&lt;/div&gt;</t>
  </si>
  <si>
    <t>&lt;div class="related_image"&gt;&lt;img src="./related_images/debere.png"&gt;&lt;/img&gt;&lt;/div&gt;</t>
  </si>
  <si>
    <t>&lt;div class="related_image"&gt;&lt;img src="./related_images/ante.png"&gt;&lt;/img&gt;&lt;/div&gt;</t>
  </si>
  <si>
    <t>&lt;div class="related_image"&gt;&lt;img src="./related_images/solvere.png"&gt;&lt;/img&gt;&lt;/div&gt;</t>
  </si>
  <si>
    <t>&lt;div class="related_image"&gt;&lt;img src="./related_images/currere_carrus.png"&gt;&lt;/img&gt;&lt;/div&gt;</t>
  </si>
  <si>
    <t>&lt;div class="related_image"&gt;&lt;img src="./related_images/press.png"&gt;&lt;/img&gt;&lt;/div&gt;</t>
  </si>
  <si>
    <t>&lt;div class="related_image"&gt;&lt;img src="./related_images/ve_ven.png"&gt;&lt;/img&gt;&lt;/div&gt;</t>
  </si>
  <si>
    <t>&lt;div class="related_image"&gt;&lt;img src="./related_images/pose.png"&gt;&lt;/img&gt;&lt;/div&gt;</t>
  </si>
  <si>
    <t>&lt;div class="related_image"&gt;&lt;img src="./related_images/trahere_tractare.png"&gt;&lt;/img&gt;&lt;/div&gt;</t>
  </si>
  <si>
    <t>&lt;div class="related_image"&gt;&lt;img src="./related_images/pl.png"&gt;&lt;/img&gt;&lt;/div&gt;</t>
  </si>
  <si>
    <t>&lt;div class="related_image"&gt;&lt;img src="./related_images/men.png"&gt;&lt;/img&gt;&lt;/div&gt;</t>
  </si>
  <si>
    <t>&lt;div class="related_image"&gt;&lt;img src="./related_images/tain.png"&gt;&lt;/img&gt;&lt;/div&gt;</t>
  </si>
  <si>
    <t>&lt;div class="related_image"&gt;&lt;img src="./related_images/tangere.png"&gt;&lt;/img&gt;&lt;/div&gt;</t>
  </si>
  <si>
    <t>&lt;div class="related_image"&gt;&lt;img src="./related_images/clin.png"&gt;&lt;/img&gt;&lt;/div&gt;</t>
  </si>
  <si>
    <t>&lt;div class="related_image"&gt;&lt;img src="./related_images/vi.png"&gt;&lt;/img&gt;&lt;/div&gt;</t>
  </si>
  <si>
    <t>&lt;div class="related_image"&gt;&lt;img src="./related_images/port.png"&gt;&lt;/img&gt;&lt;/div&gt;</t>
  </si>
  <si>
    <t>&lt;div class="related_image"&gt;&lt;img src="./related_images/str2.png"&gt;&lt;/img&gt;&lt;/div&gt;</t>
  </si>
  <si>
    <t>&lt;div class="related_image"&gt;&lt;img src="./related_images/med.png"&gt;&lt;/img&gt;&lt;/div&gt;</t>
  </si>
  <si>
    <t>&lt;div class="related_image"&gt;&lt;img src="./related_images/count_pute.png"&gt;&lt;/img&gt;&lt;/div&gt;</t>
  </si>
  <si>
    <t>&lt;div class="related_image"&gt;&lt;img src="./related_images/mod.png"&gt;&lt;/img&gt;&lt;/div&gt;</t>
  </si>
  <si>
    <t>&lt;div class="related_image"&gt;&lt;img src="./related_images/move_mot.png"&gt;&lt;/img&gt;&lt;/div&gt;</t>
  </si>
  <si>
    <t>&lt;div class="related_image"&gt;&lt;img src="./related_images/str1.png"&gt;&lt;/img&gt;&lt;/div&gt;</t>
  </si>
  <si>
    <t>&lt;div class="related_image"&gt;&lt;img src="./related_images/tail.png"&gt;&lt;/img&gt;&lt;/div&gt;</t>
  </si>
  <si>
    <t>&lt;div class="related_image"&gt;&lt;img src="./related_images/ceed_cess_cede.png"&gt;&lt;/img&gt;&lt;/div&gt;</t>
  </si>
  <si>
    <t>&lt;div class="related_image"&gt;&lt;img src="./related_images/habit_hibit.png"&gt;&lt;/img&gt;&lt;/div&gt;</t>
  </si>
  <si>
    <t>&lt;div class="related_image"&gt;&lt;img src="./related_images/stance_stant.png"&gt;&lt;/img&gt;&lt;/div&gt;</t>
  </si>
  <si>
    <t>&lt;div class="related_image"&gt;&lt;img src="./related_images/pone.png"&gt;&lt;/img&gt;&lt;/div&gt;</t>
  </si>
  <si>
    <t>&lt;div class="related_image"&gt;&lt;img src="./related_images/fin.png"&gt;&lt;/img&gt;&lt;/div&gt;</t>
  </si>
  <si>
    <t>&lt;div class="related_image"&gt;&lt;img src="./related_images/act.png"&gt;&lt;/img&gt;&lt;/div&gt;</t>
  </si>
  <si>
    <t>&lt;div class="related_image"&gt;&lt;img src="./related_images/dict_dicate.png"&gt;&lt;/img&gt;&lt;/div&gt;</t>
  </si>
  <si>
    <t>&lt;div class="related_image"&gt;&lt;img src="./related_images/serve.png"&gt;&lt;/img&gt;&lt;/div&gt;</t>
  </si>
  <si>
    <t>&lt;div class="related_image"&gt;&lt;img src="./related_images/aestimare.png"&gt;&lt;/img&gt;&lt;/div&gt;</t>
  </si>
  <si>
    <t>&lt;div class="related_image"&gt;&lt;img src="./related_images/tract.png"&gt;&lt;/img&gt;&lt;/div&gt;</t>
  </si>
  <si>
    <t>&lt;div class="related_image"&gt;&lt;img src="./related_images/tribute.png"&gt;&lt;/img&gt;&lt;/div&gt;</t>
  </si>
  <si>
    <t>&lt;div class="related_image"&gt;&lt;img src="./related_images/sume.png"&gt;&lt;/img&gt;&lt;/div&gt;</t>
  </si>
  <si>
    <t>&lt;div class="related_image"&gt;&lt;img src="./related_images/cept_cip.png"&gt;&lt;/img&gt;&lt;/div&gt;</t>
  </si>
  <si>
    <t>&lt;div class="related_image"&gt;&lt;img src="./related_images/contra.png"&gt;&lt;/img&gt;&lt;/div&gt;</t>
  </si>
  <si>
    <t>&lt;div class="related_image"&gt;&lt;img src="./related_images/sequi.png"&gt;&lt;/img&gt;&lt;/div&gt;</t>
  </si>
  <si>
    <t>&lt;div class="related_image"&gt;&lt;img src="./related_images/ante.png"&gt;&lt;/img&gt;&lt;/div&gt;&lt;div class="related_image"&gt;&lt;img src="./related_images/ceed_cess_cede.png"&gt;&lt;/img&gt;&lt;/div&gt;</t>
  </si>
  <si>
    <t>&lt;div class="related_image"&gt;&lt;img src="./related_images/gradus.png"&gt;&lt;/img&gt;&lt;/div&gt;</t>
  </si>
  <si>
    <t>&lt;div class="related_image"&gt;&lt;img src="./related_images/ver.png"&gt;&lt;/img&gt;&lt;/div&gt;</t>
  </si>
  <si>
    <t>&lt;div class="related_image"&gt;&lt;img src="./related_images/ex.png"&gt;&lt;/img&gt;&lt;/div&gt;</t>
  </si>
  <si>
    <t>&lt;div class="related_image"&gt;&lt;img src="./related_images/vi_via.png"&gt;&lt;/img&gt;&lt;/div&gt;</t>
  </si>
  <si>
    <t>&lt;div class="related_image"&gt;&lt;img src="./related_images/ord.png"&gt;&lt;/img&gt;&lt;/div&gt;</t>
  </si>
  <si>
    <t>&lt;div class="related_image"&gt;&lt;img src="./related_images/equ.png"&gt;&lt;/img&gt;&lt;/div&gt;</t>
  </si>
  <si>
    <t>&lt;div class="related_image"&gt;&lt;img src="./related_images/urb.png"&gt;&lt;/img&gt;&lt;/div&gt;</t>
  </si>
  <si>
    <t>&lt;div class="related_image"&gt;&lt;img src="./related_images/sting_stinc.png"&gt;&lt;/img&gt;&lt;/div&gt;</t>
  </si>
  <si>
    <t>&lt;div class="related_image"&gt;&lt;img src="./related_images/able.png"&gt;&lt;/img&gt;&lt;/div&gt;</t>
  </si>
  <si>
    <t>&lt;div class="related_image"&gt;&lt;img src="./related_images/ligere.png"&gt;&lt;/img&gt;&lt;/div&gt;</t>
  </si>
  <si>
    <t>&lt;div class="related_image"&gt;&lt;img src="./related_images/cap_cipate_cip.png"&gt;&lt;/img&gt;&lt;/div&gt;</t>
  </si>
  <si>
    <t>&lt;div class="related_image"&gt;&lt;img src="./related_images/price.png"&gt;&lt;/img&gt;&lt;/div&gt;</t>
  </si>
  <si>
    <t>&lt;div class="related_image"&gt;&lt;img src="./related_images/cap_cipate_cip.png"&gt;&lt;/img&gt;&lt;/div&gt;&lt;div class="related_image"&gt;&lt;img src="./related_images/prim_prin.png"&gt;&lt;/img&gt;&lt;/div&gt;</t>
  </si>
  <si>
    <t>&lt;div class="related_image"&gt;&lt;img src="./related_images/sess_sid_setl.png"&gt;&lt;/img&gt;&lt;/div&gt;</t>
  </si>
  <si>
    <t>&lt;div class="related_image"&gt;&lt;img src="./related_images/stitute.png"&gt;&lt;/img&gt;&lt;/div&gt;</t>
  </si>
  <si>
    <t>&lt;div class="related_image"&gt;&lt;img src="./related_images/voca.png"&gt;&lt;/img&gt;&lt;/div&gt;</t>
  </si>
  <si>
    <t>&lt;div class="related_image"&gt;&lt;img src="./related_images/cap_cipate_cip.png"&gt;&lt;/img&gt;&lt;/div&gt;&lt;div class="related_image"&gt;&lt;img src="./related_images/able.png"&gt;&lt;/img&gt;&lt;/div&gt;</t>
  </si>
  <si>
    <t>&lt;div class="related_image"&gt;&lt;img src="./related_images/cura.png"&gt;&lt;/img&gt;&lt;/div&gt;</t>
  </si>
  <si>
    <t>&lt;div class="related_image"&gt;&lt;img src="./related_images/mit.png"&gt;&lt;/img&gt;&lt;/div&gt;</t>
  </si>
  <si>
    <t>&lt;div class="related_image"&gt;&lt;img src="./related_images/ceive.png"&gt;&lt;/img&gt;&lt;/div&gt;</t>
  </si>
  <si>
    <t>&lt;div class="related_image"&gt;&lt;img src="./related_images/latin_comparative.png"&gt;&lt;/img&gt;&lt;/div&gt;</t>
  </si>
  <si>
    <t>&lt;div class="related_image"&gt;&lt;img src="./related_images/sense.png"&gt;&lt;/img&gt;&lt;/div&gt;</t>
  </si>
  <si>
    <t>&lt;div class="related_image"&gt;&lt;img src="./related_images/form.png"&gt;&lt;/img&gt;&lt;/div&gt;</t>
  </si>
  <si>
    <t>&lt;div class="related_image"&gt;&lt;img src="./related_images/al.png"&gt;&lt;/img&gt;&lt;/div&gt;</t>
  </si>
  <si>
    <t>&lt;div class="related_image"&gt;&lt;img src="./related_images/demo.png"&gt;&lt;/img&gt;&lt;/div&gt;</t>
  </si>
  <si>
    <t>&lt;div class="related_image"&gt;&lt;img src="./related_images/mini.png"&gt;&lt;/img&gt;&lt;/div&gt;</t>
  </si>
  <si>
    <t>&lt;div class="related_image"&gt;&lt;img src="./related_images/prim_prin.png"&gt;&lt;/img&gt;&lt;/div&gt;</t>
  </si>
  <si>
    <t>&lt;div class="related_image"&gt;&lt;img src="./related_images/logos.png"&gt;&lt;/img&gt;&lt;/div&gt;</t>
  </si>
  <si>
    <t>&lt;div class="related_image"&gt;&lt;img src="./related_images/liter.png"&gt;&lt;/img&gt;&lt;/div&gt;</t>
  </si>
  <si>
    <t>&lt;div class="related_image"&gt;&lt;img src="./related_images/mise_miss.png"&gt;&lt;/img&gt;&lt;/div&gt;</t>
  </si>
  <si>
    <t>&lt;div class="related_image"&gt;&lt;img src="./related_images/ag.png"&gt;&lt;/img&gt;&lt;/div&gt;</t>
  </si>
  <si>
    <t>&lt;div class="related_image"&gt;&lt;img src="./related_images/use.png"&gt;&lt;/img&gt;&lt;/div&gt;</t>
  </si>
  <si>
    <t>&lt;div class="related_image"&gt;&lt;img src="./related_images/parere.png"&gt;&lt;/img&gt;&lt;/div&gt;</t>
  </si>
  <si>
    <t>&lt;div class="related_image"&gt;&lt;img src="./related_images/rupt.png"&gt;&lt;/img&gt;&lt;/div&gt;</t>
  </si>
  <si>
    <t>&lt;div class="related_image"&gt;&lt;img src="./related_images/mut.png"&gt;&lt;/img&gt;&lt;/div&gt;</t>
  </si>
  <si>
    <t>&lt;div class="related_image"&gt;&lt;img src="./related_images/contra.png"&gt;&lt;/img&gt;&lt;/div&gt;&lt;div class="related_image"&gt;&lt;img src="./related_images/ver.png"&gt;&lt;/img&gt;&lt;/div&gt;</t>
  </si>
  <si>
    <t>&lt;div class="related_image"&gt;&lt;img src="./related_images/frag_frac.png"&gt;&lt;/img&gt;&lt;/div&gt;</t>
  </si>
  <si>
    <t>&lt;div class="related_image"&gt;&lt;img src="./related_images/pend.png"&gt;&lt;/img&gt;&lt;/div&gt;&lt;div class="related_image"&gt;&lt;img src="./related_images/able.png"&gt;&lt;/img&gt;&lt;/div&gt;</t>
  </si>
  <si>
    <t>&lt;div class="related_image"&gt;&lt;img src="./related_images/dict_dicate.png"&gt;&lt;/img&gt;&lt;/div&gt;&lt;div class="related_image"&gt;&lt;img src="./related_images/contra.png"&gt;&lt;/img&gt;&lt;/div&gt;</t>
  </si>
  <si>
    <t>&lt;span class="w"&gt;&lt;b&gt;【11.decide：～を決める】&lt;/b&gt;&lt;/span&gt;
&lt;span class="ml"&gt;ラテン語に由来する語で、以下の2つの要素からなる。
&lt;span class="spacer"&gt;&lt;/span&gt;de（離れて）
caedere（切る）
&lt;span class="spacer"&gt;&lt;/span&gt;このまま日本語にすると「切り離す」となる。あれこれ考えてしまう物事を思考から切り離すイメージから「決める, 決断する, 決心する」という意味になる。一度決めてしまえば、もう考える必要がないので思考から切り離される。
&lt;span class="spacer"&gt;&lt;/span&gt;決断の「断」は、断つ＝切り離すという意味なので、ラテン語の意味と日本語の感覚はぴったり合っている。&lt;/span&gt;</t>
  </si>
  <si>
    <t>&lt;span class="w"&gt;&lt;b&gt;【933.all manner of ~：あらゆる種類の〜】&lt;/b&gt;&lt;/span&gt;
&lt;span class="ml"&gt;&lt;span class="explanation_tag"&gt;語源とイメージ&lt;/span&gt;
mannerは、日本語でもマナー（方法・作法）という意味で使われるが、1200年頃の中英語では、「種類」という意味でも使われていた。これは、方法や作法が特定の決まった形に固定化されていくと、それぞれの流派（方法の種類）が生まれるようなイメージ。
&lt;span class="spacer"&gt;&lt;/span&gt;［all manner of A］では、mannerが「種類」という古い意味で使われており、「あらゆる（all）種類（manner）のA」という意味になる。&lt;/span&gt;</t>
  </si>
  <si>
    <t>&lt;span class="w"&gt;&lt;b&gt;【954.second to none：誰・何にも劣らない】&lt;/b&gt;&lt;/span&gt;
&lt;span class="ml"&gt;&lt;span class="explanation_tag"&gt;イメージ&lt;/span&gt;
［second to none］は、next to A（Aの次の, ほとんどA）と関連させて理解する。next to Aが「Aに対して次」を表すように、second to Aは「Aに対して2番目」を表す。例えば、second to himなら、himが1番目であり、その彼に次いで2番目となる。
&lt;span class="spacer"&gt;&lt;/span&gt;himの位置にnoneが入った［S is second to none］は、noneが1番目であり、Sはnoneに次いで2番目となる。しかし、noneは「誰もいない・何もない」という意味なので、結局はSが1番目だということを表し、「誰・何にも劣らない」という意味になる。
&lt;div class="sample_image 2026_954"&gt;&lt;/div&gt;&lt;/span&gt;</t>
  </si>
  <si>
    <t>&lt;span class="w"&gt;&lt;b&gt;【964.on the verge of ~：〜の瀬戸際で, 〜しそうで】&lt;/b&gt;&lt;/span&gt;
&lt;span class="ml"&gt;&lt;span class="explanation_tag"&gt;語源&lt;/span&gt;
vergeは、ラテン語virga（杖, 棒）に由来する。英語では、1400年頃にラテン語と同様「杖, 棒」という意味で使われたが、15世紀半ばに「ふち, へり」という意味に変化した。
&lt;span class="spacer"&gt;&lt;/span&gt;この「杖」から「ふち, へり」への意味の変化は、当時の人々にとって杖は権威の象徴であり、within the verge（杖で指図する範囲内）が「権威が及ぶ範囲内」という意味で使われたことに由来する。そこから次第に、権威が及ぶ範囲の限界を指すようになり、「ふち, へり」という意味になった。
&lt;span class="spacer"&gt;&lt;/span&gt;そして1600年頃までに、［on the verge of A］で、Aが起こるか起こらないかのギリギリの縁にいる＝「〜の瀬戸際で, 〜しそうで」という意味になった。&lt;/span&gt;</t>
  </si>
  <si>
    <t>&lt;span class="w"&gt;&lt;b&gt;【966.to the effect that S V：SがVするという趣旨で】&lt;/b&gt;&lt;/span&gt;
&lt;span class="ml"&gt;&lt;span class="explanation_tag"&gt;語源&lt;/span&gt;
effectは、ラテン語ex（外へ）と、facere（行う）が合わさってできた語。何かを行なった結果として外に出てきたものというイメージから、「影響, 効果」という意味になる。
&lt;span class="spacer"&gt;&lt;/span&gt;またeffectは、何かを行なった結果として現実に出てきたものなので、かつては「現実, 事実」という意味があった。この意味はin effect「実際に, 事実上」に残っている。
&lt;span class="spacer"&gt;&lt;/span&gt;&lt;span class="explanation_tag"&gt;イメージ&lt;/span&gt;
effectは語源的に考えると、何かを行った結果、最終的に表（現実）に出てくるもの。
&lt;span class="spacer"&gt;&lt;/span&gt;［to the effect that S V］では、言葉（発言・メール・メモなど）が最終的に現実へ出している意味、つまり言い表している内容に対して、effectという単語が使われている。それを日本語にすると、発言・メール・メモなどの「趣旨」となる。
&lt;span class="spacer"&gt;&lt;/span&gt;ある言葉が、［that S V］という趣旨（effect）へ至る（to）ことから、「SがVするという趣旨で」という意味になる。
&lt;span class="spacer"&gt;&lt;/span&gt;&lt;span class="explanation_tag"&gt;例&lt;/span&gt;
She left a note to the effect that she would be late.
彼女は遅れるという趣旨のメモを残した
&lt;span class="spacer"&gt;&lt;/span&gt;noteに書かれた言葉が、最終的に現実に出てくる［that ~ というeffect］に至る（to）、という意味。&lt;/span&gt;</t>
  </si>
  <si>
    <t>&lt;span class="w"&gt;&lt;b&gt;【985.if anything：どちらかと言えば, もし何か言うならば】&lt;/b&gt;&lt;/span&gt;
&lt;span class="ml"&gt;&lt;span class="explanation_tag"&gt;イメージ&lt;/span&gt;
［if anything］は、if there is anythingから、there isが省略されたものだと考えればよい。もしくは、より意味をイメージしやすくするために、if there is anything to say（&lt;strong&gt;もし何か言うことがあれば&lt;/strong&gt;）と考えてもよい。
&lt;span class="spacer"&gt;&lt;/span&gt;［if anything］は、A&lt;span class="arrow"&gt;→&lt;/span&gt;if anything&lt;span class="arrow"&gt;→&lt;/span&gt;Bという流れで使われ、既に述べられたAに対して、&lt;strong&gt;もし何か言うことがあれば&lt;/strong&gt;Bだ、というAとBの接続を表現する。そのため、日本語訳の仕方は、AとBの関係性によって変わる。
&lt;span class="spacer"&gt;&lt;/span&gt;例えば、「Aではない、もし何か言うならばBだ」という流れであれば、「Aではない、&lt;strong&gt;どちらかと言えば&lt;/strong&gt;Bだ」という訳になる。
&lt;span class="spacer"&gt;&lt;/span&gt;また、「Aだ、&lt;strong&gt;もし何か言うならば&lt;/strong&gt;Bだ」という訳が自然な場合もある。
&lt;span class="spacer"&gt;&lt;/span&gt;&lt;span class="explanation_tag"&gt;例&lt;/span&gt;
The test was not easy. If anything, it was the most difficult one this year.
テストは簡単ではなかった。何か言うならば、今年もっとも難しいものだった。
＝テストは簡単ではなかった。どちらかと言えば、今年もっとも難しいものだった。
&lt;span class="spacer"&gt;&lt;/span&gt;
The soup is good. If anything, it needs a little more salt.
そのスープは美味しい。もし何か言うならば、もう少し塩が必要だ。
※この文は「どちらかと言えば」と言う訳にすると、前半の「美味しい」と後半の関係がおかしくなる。
&lt;div class="sample_image 2026_985"&gt;&lt;/div&gt;&lt;/span&gt;
&lt;span class="spacer"&gt;&lt;/span&gt;&lt;span class="explanation_tag"&gt;関連語&lt;/span&gt;
［770.if any］は、if there are any A（もしAがどれだけかあるとしても, もしAがどれだけかあれば）から、there areとA部分が省略された形だと考えればよい。
&lt;span class="spacer"&gt;&lt;/span&gt;そこから「もしあるとしても」という数量の少なさや、「もしあれば」という仮定を表す。</t>
  </si>
  <si>
    <t>&lt;span class="w"&gt;&lt;b&gt;【998.such as it is：大したものではないが, こんな程度のものだが】&lt;/b&gt;&lt;/span&gt;
&lt;span class="ml"&gt;&lt;span class="explanation_tag"&gt;語源&lt;/span&gt;
asは、古英語eal（all）と、swa（so）が合わさってできた語にさかのぼる。もともとは「まったくそのように, 完全に同様に」という意味だった。&lt;span class="obsolete"&gt;だからas ~ asは「同じくらい」という意味になる。&lt;/span&gt;
&lt;span class="spacer"&gt;&lt;/span&gt;つまり、asの核には「一致」というイメージがある。
&lt;span class="spacer"&gt;&lt;/span&gt;&lt;span class="explanation_tag"&gt;イメージ&lt;/span&gt;
［such as it is］は、such（そういうもの）と、it is（それがいま存在する）が、asによって「一致」しているイメージ。
&lt;span class="spacer"&gt;&lt;/span&gt;つまり、代名詞suchが指す〈名詞〉が、付加価値をもっていたり、相手の理想や期待を満たすような何かをもっているのではなく、素朴に〈名詞〉のありのままのものである（it is）ということを表す。
&lt;span class="spacer"&gt;&lt;/span&gt;そこから、「大したものではないが, こんな程度のものだが」という控えめな意味になる。
&lt;span class="spacer"&gt;&lt;/span&gt;&lt;span class="explanation_tag"&gt;例&lt;/span&gt;
You can use my racket, such as it is.
&lt;span class="obsolete"&gt;my racket＝such / it&lt;/span&gt;
&lt;span class="spacer"&gt;&lt;/span&gt;私のラケット使っていいよ
（ラケットは）いまある（it is）ままと一致する（as）そういうもの（such）だけどね
＝特別ではなく、それそのものだけどね
＝大したものではないけどね
&lt;span class="spacer"&gt;&lt;/span&gt;&lt;span class="explanation_tag"&gt;補足&lt;/span&gt;
suchが指す〈名詞〉が複数形であれば、［such as they are］となる。
また時制の一致により、be動詞は過去形になることもある。
&lt;div class="sample_image 2026_998"&gt;&lt;/div&gt;&lt;/span&gt;</t>
  </si>
  <si>
    <t>&lt;span class="w"&gt;&lt;b&gt;【1000.to date：現在までに】&lt;/b&gt;&lt;/span&gt;
&lt;span class="ml"&gt;&lt;span class="explanation_tag"&gt;語源&lt;/span&gt;
dateは、ラテン語dare（与える）の過去分詞datus（与えられた）に由来する。
&lt;span class="spacer"&gt;&lt;/span&gt;「与えられた」という意味から「日付」という意味へ発展したのは、ローマ人の慣習に由来する。
&lt;span class="spacer"&gt;&lt;/span&gt;ローマ人は書簡の最後に必ず「与えられた」という語とともに、その日にち・月を書き添えていた。この「与えられた」は、おそらく「使者に渡された」という意味で、「○月○日に（使者に）渡された」と書いていたと考えられる。その結果、書簡が渡されることとは関係なく、dataは「日付」を意味するようになった。
&lt;span class="spacer"&gt;&lt;/span&gt;&lt;span class="explanation_tag"&gt;イメージ&lt;/span&gt;
［to date］のdateは、日記や記録を書くときの「日付」をイメージすればよい。そういったものに書く日付というのは、書いた日時点の「今日」である。例えば、いま日記を書いて記すdateは「今日」であり、5日前に書いた日記のdateは、その書いた日の「今日」である。
&lt;span class="spacer"&gt;&lt;/span&gt;そのdate＝その時点での最新の日付というイメージから、［to date］は「現在までに」という意味になる。
&lt;span class="spacer"&gt;&lt;/span&gt;&lt;span class="explanation_tag"&gt;補足&lt;/span&gt;
ローマ時代の書簡に書かれた表現
datum Romae pridie Kalendas Maias
与えられた, ローマで, 前日, 最初の日, 5月の
&lt;span class="spacer"&gt;&lt;/span&gt;ローマで5月最初の日の前日（4月末日）に使者に渡された書簡
&lt;div class="sample_image 2026_1000"&gt;&lt;/div&gt;&lt;/span&gt;</t>
  </si>
  <si>
    <t>&lt;span class="w"&gt;&lt;b&gt;【create / cereal / increase / decrease の関係】&lt;/b&gt;
&lt;span class="spacer"&gt;&lt;/span&gt;createの語源は、ラテン語creare（作る, 育てる, 引き起こす）。
&lt;span class="spacer"&gt;&lt;/span&gt;cerealの語源は、ラテン語Ceres（穀物を司る女神）。
&lt;span class="spacer"&gt;&lt;/span&gt;increase, decreaseの語源は、ラテン語crescere（成長する）。
&lt;span class"spacer"&gt;&lt;/span&gt;これらのラテン語はすべて共通の語から生まれた兄弟語。
createは何かを生み出し、increase, decreaseは成長のプラスとマイナス、cerealはその結果生まれる穀物というイメージ。&lt;/span&gt;</t>
  </si>
  <si>
    <t>&lt;span class="w"&gt;&lt;b&gt;【allowは異なる2つの語の意味を引き継いだ】&lt;/b&gt;
&lt;span class="spacer"&gt;&lt;/span&gt;ラテン語allocare（割り当てる, 与える）から「与える」という意味を引き継いだため、名詞allowanceには与えるお金＝「手当, 小遣い」の意味がある。
&lt;span class="spacer"&gt;&lt;/span&gt;またラテン語allaudare（称賛する, 承認する）から「許す」という意味を引き継いだため、名詞allowanceには「許可」の意味もある。&lt;/span&gt;</t>
  </si>
  <si>
    <t>&lt;span class="w"&gt;&lt;b&gt;【提案する：仮定法現在になる】&lt;/b&gt;
&lt;span class="spacer"&gt;&lt;/span&gt;suggestの意味が「提案する」の場合は［S suggest that S' V'］のV'は (should ＋) 原形になる。
I suggested that he (should) go to the doctor. 
(彼は医者に行くべきだと提案した)
※時制の一致によりhe wentにはならずhe goになることに注意。goはgoesにもならない。
&lt;span class="spacer"&gt;&lt;/span&gt;もしbe動詞を使うならhe beとなる。
I suggested he (should) be at home. 
(私は彼が家にいることを提案した)&lt;/span&gt;</t>
  </si>
  <si>
    <t>&lt;span class="w"&gt;&lt;b&gt;【示唆する：時制を事実と合わせる】&lt;/b&gt;
&lt;span class="spacer"&gt;&lt;/span&gt;意味が「示唆する」の場合は［S suggest that S' V'］のV'は言いたいことの時制に合わせる。
The evidence suggests that he was at the scene. 
(証拠は彼が現場にいたことを示唆している)
※家に「いた」なのでhe wasになっている。&lt;/span&gt;</t>
  </si>
  <si>
    <t>&lt;span class="w"&gt;&lt;b&gt;【6.a great / good deal of 不可算名詞：かなりの～, たくさんの～】&lt;/b&gt;&lt;/span&gt;
&lt;span class="ml"&gt;&lt;span class="explanation_tag"&gt;語源&lt;/span&gt;
名詞dealは、古英語において、全体の塊から切り分けた一部分を意味した。この頃から形容詞greatなどを付けることで「部分」の大きさや程度を強調していた。
&lt;span class="spacer"&gt;&lt;/span&gt;&lt;span class="explanation_tag"&gt;イメージ&lt;/span&gt;
［a great / good deal of］は、「部分」という塊の大きさをgreatやgoodが強調して、「かなりの～, たくさんの～」となる。
&lt;span class="spacer"&gt;&lt;/span&gt;&lt;span class="explanation_tag"&gt;補足&lt;/span&gt;
goodは、1200年頃から数・量・時間・距離を強調する役割を持つ。
a good while（かなり長い時間）
a good 30 minutes（たっぷり30分）
a good ten years（丸々10年）&lt;/span&gt;</t>
  </si>
  <si>
    <t>&lt;span class="w"&gt;&lt;b&gt;【7.at home：家で, くつろいで, 精通して】&lt;/b&gt;&lt;/span&gt;
&lt;span class="ml"&gt;class="explanation_tag"&gt;イメージ&lt;/span&gt;
［at home］は、第一に「家で」という意味になる。
&lt;span class="spacer"&gt;&lt;/span&gt;そこから、自分の家にいるみたいに「くつろいで」という意味に発展する。
&lt;span class="spacer"&gt;&lt;/span&gt;そして物事に関しては、まるで自分の家のように何でも知っていて扱うことから「精通している, よく知っている」と覚えればよい。&lt;/span&gt;</t>
  </si>
  <si>
    <t>&lt;span class="w"&gt;&lt;b&gt;【35.amount to ~：総計〜になる】&lt;/b&gt;&lt;/span&gt;
&lt;span class="ml"&gt;&lt;span class="explanation_tag"&gt;語源&lt;/span&gt;
amountは、ラテン語mount（山）に由来する。
&lt;span class="spacer"&gt;&lt;/span&gt;&lt;span class="explanation_tag"&gt;イメージ&lt;/span&gt;
［amount to A］は、山のように積み上がっていって頂点Aに到達するというイメージ。そこから「総計〜になる」という意味になる。
&lt;div class="sample_image 2026_35"&gt;&lt;/div&gt;&lt;/span&gt;</t>
  </si>
  <si>
    <t>&lt;span class="w"&gt;&lt;b&gt;【37.focus on ~：～に集中する, ～に焦点を合わせる】&lt;/b&gt;&lt;/span&gt;
&lt;span class="ml"&gt;&lt;span class="explanation_tag"&gt;語源&lt;/span&gt;
focusは、ラテン語focus（暖炉）に由来する。暖炉の火ということから発展して、近代において、レンズで光を一点に集めて火を起こせる点である「焦点」という意味になった。
&lt;span class="spacer"&gt;&lt;/span&gt;&lt;span class="explanation_tag"&gt;イメージ&lt;/span&gt;
名詞focusは焦点や収束点を意味するが、動詞は一点に「集中する」という意味になる。接触を表すonで集中する対象を示し、レンズで光を集めるように、何かに「集中する, 焦点を合わせる」という意味になる。&lt;/span&gt;</t>
  </si>
  <si>
    <t>&lt;span class="w"&gt;&lt;b&gt;【566.be abundant in ~：〜に富んでいる, 〜が豊富である】&lt;/b&gt;&lt;/span&gt;
&lt;span class="ml"&gt;&lt;span class="explanation_tag"&gt;語源&lt;/span&gt;
abundantは、ラテン語ab（〜から）と、undare（波打つ）が合わさってできた語。波が打ち寄せて水があふれるように、物や富、機会などがあふれるほどあり余ることを表して「豊富な」という意味になる。
&lt;span class="spacer"&gt;&lt;/span&gt;&lt;span class="explanation_tag"&gt;イメージ&lt;/span&gt;
［be abundant in A］は、Aにおいてあふれ返るくらいたくさんあることを表して、「Aに富んでいる, Aが豊富である」という意味になる。
&lt;div class="sample_image 2026_566"&gt;&lt;/div&gt;&lt;/span&gt;</t>
  </si>
  <si>
    <t>&lt;span class="w"&gt;&lt;b&gt;【567.be busy with ~：〜で忙しい】&lt;/b&gt;&lt;/span&gt;
&lt;span class="ml"&gt;［be busy with A］は、Aを抱えていて（with A）忙しい（be busy）ことから、「Aで忙しい」という意味になる。
&lt;span class="spacer"&gt;&lt;/span&gt;前置詞with (A)は、Aがくっついているというイメージを持っておけばよい。&lt;/span&gt;</t>
  </si>
  <si>
    <t>&lt;span class="w"&gt;&lt;b&gt;【919.hold / keep ~ in check：〜を抑える】&lt;/b&gt;&lt;/span&gt;
&lt;span class="ml"&gt;&lt;span class="explanation_tag"&gt;語源&lt;/span&gt;
checkは、もともとチェスの用語であり、相手のキングを取ることができるチェックメイト状態を表した。これは将棋で言えば、王手と同じ。
&lt;span class="spacer"&gt;&lt;/span&gt;チェックメイト状態になると、キングを取られないような動きしかできなくなり、思考や取れる選択肢が著しく制限されることから、「抑制」や「阻止」という概念へと発展した。
&lt;span class="spacer"&gt;&lt;/span&gt;&lt;span class="explanation_tag"&gt;イメージ&lt;/span&gt;
［hold / keep A in check］は語源的に考えると、Aをチェックメイト状態＝抑制された状態に保つことを表す。そこから、「Aを抑える」という意味になる。&lt;/span&gt;</t>
  </si>
  <si>
    <t>&lt;span class="w"&gt;&lt;b&gt;【925.ascribe A to B：AをBのせいにする, AをBのおかげと考える】&lt;/b&gt;&lt;/span&gt;
&lt;span class="ml"&gt;&lt;span class="explanation_tag"&gt;語源&lt;/span&gt;
ascribeは、ラテン語ad（〜へ）と、scribere（書く）が合わさってできた語。これは、名簿や帳簿の特定の欄へ名前や項目を書き込むことや、財産を割り当てて記録することを表した。
&lt;span class="spacer"&gt;&lt;/span&gt;例
Aさんー財産X
Bさんー財産Y
Cさんー財産Z
&lt;span class="spacer"&gt;&lt;/span&gt;このように「あるものと、別のものを結びつけること」がascribeの核。
&lt;span class="spacer"&gt;&lt;/span&gt;&lt;span class="explanation_tag"&gt;イメージ&lt;/span&gt;
［ascribe A to B］は語源的に考えると、Bという項目に対してAを書き込んで結びつけるイメージから、「AをBのせいにする」「AをBのおかげと考える」という意味になる。&lt;/span&gt;</t>
  </si>
  <si>
    <t>&lt;span class="w"&gt;&lt;b&gt;【46.consist of ~：～で成り立っている】&lt;/b&gt;&lt;/span&gt;
&lt;span class="ml"&gt;&lt;span class="explanation_tag"&gt;語源&lt;/span&gt;
consistは、ラテン語con（しっかり）と、sistere（立つ）が合わさってできた語。「しっかりと立つ」がconsistの核。
&lt;span class="spacer"&gt;&lt;/span&gt;&lt;span class="explanation_tag"&gt;イメージ&lt;/span&gt;
ofは、be made ofやbe composed ofと同様に、構成要素を示す。
&lt;span class="spacer"&gt;&lt;/span&gt;［S consist of A］は、Aという構成要素（of A）があることで、Sがしっかりと立っている（consist）というイメージから、Sが「Aで成り立っている」という意味になる。
&lt;span class="spacer"&gt;&lt;/span&gt;&lt;span class="explanation_tag"&gt;関連語&lt;/span&gt;
［S consist in A］は、SがAの中に（in A）しっかりと立っている（consist）というイメージから、Sは「Aにある」という意味になる。
&lt;div class="sample_image 2026_46"&gt;&lt;/div&gt;&lt;/span&gt;</t>
    <phoneticPr fontId="1"/>
  </si>
  <si>
    <t>&lt;span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t>
    <phoneticPr fontId="1"/>
  </si>
  <si>
    <t>sub（下に）＋stare（立つ）
substare（〜の下に立つ, 下にある, 存在する）
&lt;span class="spacer"&gt;&lt;/span&gt;現在分詞substans
&lt;span class="spacer"&gt;&lt;/span&gt;名詞を作る-iaが付いて
substantia（存在, 本質, 物質, 実体）</t>
    <phoneticPr fontId="1"/>
  </si>
  <si>
    <t>assumeのsume部分は「手に取る」というイメージ。</t>
    <phoneticPr fontId="1"/>
  </si>
  <si>
    <t>&lt;span class="w"&gt;&lt;b&gt;【236.assume：〜を当然のことと思う, 仮定する, （権利を）自分のものとする, を引き受ける】&lt;/b&gt;&lt;/span&gt;
&lt;span class="ml"&gt;ラテン語に由来する語で、以下の3つの要素から成る。
&lt;span class="spacer"&gt;&lt;/span&gt;ad（～へ）
sub（下に）
emere（取る）
&lt;span class="spacer"&gt;&lt;/span&gt;このまま日本語にすると「〜へ手を伸ばして取って下におく」となる。手を伸ばして取って自分のものにするイメージから、「（権利を）自分のものとする, 何かを引き受ける」となる。
&lt;span class="spacer"&gt;&lt;/span&gt;さらに議論においてある事柄を取って下に置くイメージから、「当然の前提とする」＝「仮定する, 当然のことと思う」という意味になる。
&lt;div class="sample_image assume"&gt;&lt;/div&gt;&lt;/span&gt;</t>
    <phoneticPr fontId="1"/>
  </si>
  <si>
    <t>&lt;span class="w"&gt;&lt;b&gt;【662.territory：領土, 領域, 動物のテリトリー】&lt;/b&gt;&lt;/span&gt;
&lt;span class="ml"&gt;ラテン語に由来する語で、以下の2つの要素から成る。
&lt;span class="spacer"&gt;&lt;/span&gt;terra（大地）
orium（場所を表す）
&lt;span class="spacer"&gt;&lt;/span&gt;もともとは水に覆われた場所と反対の、陸地・大地を表していた。そこから町の土地や君主や国家の管轄下にある土地,、王国に属する地域といった「領土」という意味に限定されていった。
&lt;span class="spacer"&gt;&lt;/span&gt;時代を経るにつれて、そこから意味が広がり、専門領域や営業担当の地域、動物の縄張りといった「領域, 動物のテリトリー」という意味にもなった。&lt;/span&gt;</t>
    <rPh sb="192" eb="193">
      <t>オオ</t>
    </rPh>
    <rPh sb="196" eb="198">
      <t>バショ</t>
    </rPh>
    <rPh sb="199" eb="201">
      <t>ハンタイ</t>
    </rPh>
    <phoneticPr fontId="1"/>
  </si>
  <si>
    <t>&lt;span class="w"&gt;&lt;b&gt;【664.habitat：生息地, 居住地】&lt;/b&gt;&lt;/span&gt;
&lt;span class="ml"&gt;ラテン語habēre（持つ, 所有する）から派生した反復形habitāre（持ち続ける, 占有する, 住む）に由来する。
&lt;span class="spacer"&gt;&lt;/span&gt;何かをずっと持ち続けることから、ある場所を占有する、つまり住むという意味になった。
&lt;span class="spacer"&gt;&lt;/span&gt;さらに近代英語期には、動植物が生活する場所を指す専門用語として用いられるようになり、そこから「生息地」という意味が成立した。その後、この語は人間の「居住地」を表す場合にも用いられるようになった。&lt;/span&gt;</t>
    <phoneticPr fontId="1"/>
  </si>
  <si>
    <t>&lt;span class="w"&gt;&lt;b&gt;【665.district：地区, 行政区】&lt;/b&gt;&lt;/span&gt;
&lt;span class="ml"&gt;ラテン語に由来する語で、以下の2つの要素から成る。
&lt;span class="spacer"&gt;&lt;/span&gt;dis（離れて）
stringere（引き締める）
&lt;span class="spacer"&gt;&lt;/span&gt;このまま日本語にすると「引き離す」となる。もともとは、土地の支配者が、違反者を社会から引き離したり、個人の財産を法的に引き離したりすることができる管轄区域を表していた。こうした強制的な支配というニュアンスは、時代が進むにつれて薄まっていき、特定の目的をもった「地区, 行政区」という意味になった。&lt;/span&gt;</t>
    <phoneticPr fontId="1"/>
  </si>
  <si>
    <t>&lt;span class="w"&gt;&lt;b&gt;【680.internal：内部の, 国内の】&lt;/b&gt;&lt;/span&gt;
&lt;span class="ml"&gt;ラテン語に由来する語で、以下の2つの要素から成る。
&lt;span class="spacer"&gt;&lt;/span&gt;internus（内部の）
alis（形容詞化）
&lt;span class="spacer"&gt;&lt;/span&gt;このまま日本語にすると「内部の」という意味になる。これは外部がある前提で、それに対して内部を指すイメージ。&lt;/span&gt;</t>
    <phoneticPr fontId="1"/>
  </si>
  <si>
    <t>&lt;span class="w"&gt;&lt;b&gt;【700.forth：前へ, 先へ】&lt;/b&gt;&lt;/span&gt;
&lt;span class="ml"&gt;古英語forð（前へ, 先へ）にさかのぼる。
&lt;span class="spacer"&gt;&lt;/span&gt;beforeやforwardのforと同じで「前へ, 先へ」を意味する。&lt;/span&gt;</t>
    <phoneticPr fontId="1"/>
  </si>
  <si>
    <t>&lt;span class="w"&gt;&lt;b&gt;【82.individual：個々の, 個人の】&lt;/b&gt;&lt;/span&gt;
&lt;span class="ml"&gt;ラテン語に由来する語で、以下の4つの要素から成る。
&lt;span class="spacer"&gt;&lt;/span&gt;in（否定）
dis（離れて）
videre（分ける）
alis（形容詞化）
&lt;span class="spacer"&gt;&lt;/span&gt;このまま日本語にすると「（それ以上）分けて離すことができない」となる。つまりもう分けられない最小単位となった物や人＝「個々の, 個人の」という意味になる。
&lt;span class="spacer"&gt;&lt;/span&gt;ラテン語dis（離れて）とvidere（分ける）からは英語の動詞divide（分ける）が生まれている。individualは、divideをinで否定している形容詞と覚えれば、individualとdiveideをセットで覚えられる。&lt;/span&gt;</t>
    <phoneticPr fontId="1"/>
  </si>
  <si>
    <t>&lt;span class="w"&gt;&lt;b&gt;【81.possible：可能な, 可能性のある】&lt;/b&gt;&lt;/span&gt;
&lt;span class="ml"&gt;ラテン語に由来する語で、以下の3つの要素から成る。
&lt;span class="spacer"&gt;&lt;/span&gt;potis（力強い）
esse（存在する）
bills（〜できる：形容詞化）
&lt;span class="spacer"&gt;&lt;/span&gt;「何かをする力が存在する」から実際にできる、また現実に起こりうる、つまり「可能な, 可能性のある」という意味になる。
&lt;span class="spacer"&gt;&lt;/span&gt;否定のim（in）が付けば、impossible（不可能な）になる。&lt;/span&gt;</t>
    <phoneticPr fontId="1"/>
  </si>
  <si>
    <t>&lt;span class="w"&gt;&lt;b&gt;【90.particular：特定の, こだわる】&lt;/b&gt;&lt;/span&gt;
&lt;span class="ml"&gt;ラテン語に由来する語で、以下の3つの要素から成る。
&lt;span class="spacer"&gt;&lt;/span&gt;pars（部分：partの語源）
cula（小さいことを表す）
arius（形容詞化）
&lt;span class="spacer"&gt;&lt;/span&gt;このまま日本語にすると「小さな部分の」となる。全体ではなく、ある一部分に目を向けることから、「特定の」という意味になる。また全体ではなく、細かい部分に目がいくということから、「こだわる, 口うるさい」という意味になる。&lt;/span&gt;</t>
    <rPh sb="231" eb="234">
      <t>イチブブン</t>
    </rPh>
    <rPh sb="235" eb="236">
      <t>メ</t>
    </rPh>
    <rPh sb="237" eb="238">
      <t>ム</t>
    </rPh>
    <phoneticPr fontId="1"/>
  </si>
  <si>
    <t>&lt;span class="w"&gt;&lt;b&gt;【1310.manipulate：〜を（巧みに）操る】&lt;/b&gt;&lt;/span&gt;
&lt;span class="ml"&gt;ラテン語に由来する語で、以下の2つの要素から成る。
&lt;span class="spacer"&gt;&lt;/span&gt;manus（手）
plere（満たす）
&lt;span class="spacer"&gt;&lt;/span&gt;このまま日本語にすると「手を満たす」となる。もともとは一握りでつかめる量を表し、薬の計量単位としても使われた。そこから何かを手で扱うということへと発展し、何かを巧みに「操る」という意味になった。
&lt;span class="spacer"&gt;&lt;/span&gt;このmani部分は、manual（手の, 取扱説明書, 手引書, 操作手順書）のmanuと同じで「手」を意味することを覚えておく。&lt;/span&gt;</t>
    <rPh sb="181" eb="184">
      <t>ニホンゴ</t>
    </rPh>
    <rPh sb="204" eb="206">
      <t>ヒトニギ</t>
    </rPh>
    <rPh sb="212" eb="213">
      <t>リョウ</t>
    </rPh>
    <rPh sb="214" eb="215">
      <t>アラワ</t>
    </rPh>
    <rPh sb="217" eb="218">
      <t>クスリ</t>
    </rPh>
    <rPh sb="219" eb="221">
      <t>ケイリョウ</t>
    </rPh>
    <rPh sb="221" eb="223">
      <t>タンイ</t>
    </rPh>
    <rPh sb="227" eb="228">
      <t>ツカ</t>
    </rPh>
    <rPh sb="236" eb="237">
      <t>ナニ</t>
    </rPh>
    <rPh sb="250" eb="252">
      <t>ハッテン</t>
    </rPh>
    <rPh sb="267" eb="269">
      <t>イミ</t>
    </rPh>
    <rPh sb="309" eb="311">
      <t>ブブン</t>
    </rPh>
    <rPh sb="320" eb="321">
      <t>テ</t>
    </rPh>
    <rPh sb="324" eb="329">
      <t>トリアツカイセツメイショ</t>
    </rPh>
    <rPh sb="331" eb="334">
      <t>テビキショ</t>
    </rPh>
    <rPh sb="336" eb="341">
      <t>ソウサテジュンショ</t>
    </rPh>
    <rPh sb="348" eb="349">
      <t>オナ</t>
    </rPh>
    <rPh sb="352" eb="353">
      <t>テ</t>
    </rPh>
    <rPh sb="355" eb="357">
      <t>イミ</t>
    </rPh>
    <rPh sb="362" eb="363">
      <t>オボ</t>
    </rPh>
    <phoneticPr fontId="1"/>
  </si>
  <si>
    <t>adjective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</si>
</sst>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3"/>
      <color theme="1"/>
      <name val="游ゴシック"/>
      <family val="2"/>
      <charset val="128"/>
      <scheme val="minor"/>
    </font>
  </fonts>
  <fills count="13">
    <fill>
      <patternFill patternType="none"/>
    </fill>
    <fill>
      <patternFill patternType="gray125"/>
    </fill>
    <fill>
      <patternFill patternType="solid">
        <fgColor rgb="FFADD8E6"/>
        <bgColor indexed="64"/>
      </patternFill>
    </fill>
    <fill>
      <patternFill patternType="solid">
        <fgColor rgb="FFE0F0E0"/>
        <bgColor indexed="64"/>
      </patternFill>
    </fill>
    <fill>
      <patternFill patternType="solid">
        <fgColor rgb="FFF0E0E0"/>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79998168889431442"/>
        <bgColor indexed="65"/>
      </patternFill>
    </fill>
    <fill>
      <patternFill patternType="solid">
        <fgColor theme="7" tint="0.79998168889431442"/>
        <bgColor indexed="65"/>
      </patternFill>
    </fill>
    <fill>
      <patternFill patternType="solid">
        <fgColor theme="9" tint="0.79998168889431442"/>
        <bgColor indexed="65"/>
      </patternFill>
    </fill>
    <fill>
      <patternFill patternType="solid">
        <fgColor rgb="FFDCE6F2"/>
        <bgColor indexed="64"/>
      </patternFill>
    </fill>
  </fills>
  <borders count="1">
    <border>
      <left/>
      <right/>
      <top/>
      <bottom/>
      <diagonal/>
    </border>
  </borders>
  <cellStyleXfs count="1">
    <xf numFmtId="0" fontId="0" fillId="0" borderId="0">
      <alignment vertical="center"/>
    </xf>
  </cellStyleXfs>
  <cellXfs count="24">
    <xf numFmtId="0" fontId="0" fillId="0" borderId="0" xfId="0">
      <alignment vertical="center"/>
    </xf>
    <xf numFmtId="49" fontId="0" fillId="0" borderId="0" xfId="0" applyNumberFormat="1">
      <alignment vertical="center"/>
    </xf>
    <xf numFmtId="49" fontId="0" fillId="0" borderId="0" xfId="0" applyNumberFormat="1" applyAlignment="1">
      <alignment vertical="center" wrapText="1"/>
    </xf>
    <xf numFmtId="49" fontId="0" fillId="6" borderId="0" xfId="0" applyNumberFormat="1" applyFill="1" applyAlignment="1">
      <alignment vertical="center" wrapText="1"/>
    </xf>
    <xf numFmtId="49" fontId="0" fillId="3" borderId="0" xfId="0" applyNumberFormat="1" applyFill="1" applyAlignment="1">
      <alignment vertical="center" wrapText="1"/>
    </xf>
    <xf numFmtId="49" fontId="0" fillId="0" borderId="0" xfId="0" applyNumberFormat="1" applyAlignment="1">
      <alignment horizontal="right" vertical="center"/>
    </xf>
    <xf numFmtId="49" fontId="0" fillId="0" borderId="0" xfId="0" applyNumberFormat="1" applyAlignment="1">
      <alignment horizontal="left" vertical="center"/>
    </xf>
    <xf numFmtId="49" fontId="0" fillId="5" borderId="0" xfId="0" applyNumberFormat="1" applyFill="1">
      <alignment vertical="center"/>
    </xf>
    <xf numFmtId="49" fontId="0" fillId="2" borderId="0" xfId="0" applyNumberFormat="1" applyFill="1" applyAlignment="1">
      <alignment horizontal="left" vertical="center"/>
    </xf>
    <xf numFmtId="49" fontId="0" fillId="4" borderId="0" xfId="0" applyNumberFormat="1" applyFill="1" applyAlignment="1">
      <alignment vertical="center" wrapText="1"/>
    </xf>
    <xf numFmtId="49" fontId="0" fillId="7" borderId="0" xfId="0" applyNumberFormat="1" applyFill="1" applyAlignment="1">
      <alignment vertical="center" wrapText="1"/>
    </xf>
    <xf numFmtId="49" fontId="0" fillId="8" borderId="0" xfId="0" applyNumberFormat="1" applyFill="1" applyAlignment="1">
      <alignment vertical="center" wrapText="1"/>
    </xf>
    <xf numFmtId="49" fontId="0" fillId="0" borderId="0" xfId="0" applyNumberFormat="1" applyAlignment="1"/>
    <xf numFmtId="0" fontId="0" fillId="12" borderId="0" xfId="0" applyFill="1">
      <alignment vertical="center"/>
    </xf>
    <xf numFmtId="0" fontId="0" fillId="12" borderId="0" xfId="0" applyFill="1" applyAlignment="1">
      <alignment vertical="center" wrapText="1"/>
    </xf>
    <xf numFmtId="0" fontId="0" fillId="0" borderId="0" xfId="0" applyAlignment="1">
      <alignment vertical="center" wrapText="1"/>
    </xf>
    <xf numFmtId="0" fontId="0" fillId="10" borderId="0" xfId="0" applyFill="1">
      <alignment vertical="center"/>
    </xf>
    <xf numFmtId="0" fontId="2" fillId="12" borderId="0" xfId="0" quotePrefix="1" applyFont="1" applyFill="1" applyAlignment="1">
      <alignment vertical="center" wrapText="1"/>
    </xf>
    <xf numFmtId="0" fontId="0" fillId="11" borderId="0" xfId="0" applyFill="1">
      <alignment vertical="center"/>
    </xf>
    <xf numFmtId="0" fontId="0" fillId="9" borderId="0" xfId="0" applyFill="1">
      <alignment vertical="center"/>
    </xf>
    <xf numFmtId="0" fontId="0" fillId="9" borderId="0" xfId="0" applyFill="1" applyAlignment="1">
      <alignment vertical="center" wrapText="1"/>
    </xf>
    <xf numFmtId="0" fontId="2" fillId="0" borderId="0" xfId="0" quotePrefix="1" applyFont="1" applyAlignment="1">
      <alignment vertical="center" wrapText="1"/>
    </xf>
    <xf numFmtId="0" fontId="0" fillId="10" borderId="0" xfId="0" applyFill="1" applyAlignment="1">
      <alignment vertical="center" wrapText="1"/>
    </xf>
    <xf numFmtId="0" fontId="0" fillId="11" borderId="0" xfId="0" applyFill="1" applyAlignment="1">
      <alignment vertical="center" wrapText="1"/>
    </xf>
  </cellXfs>
  <cellStyles count="1">
    <cellStyle name="標準" xfId="0" builtinId="0"/>
  </cellStyles>
  <dxfs count="15">
    <dxf>
      <fill>
        <patternFill>
          <bgColor theme="7" tint="0.59996337778862885"/>
        </patternFill>
      </fill>
    </dxf>
    <dxf>
      <fill>
        <patternFill>
          <bgColor theme="5" tint="0.59996337778862885"/>
        </patternFill>
      </fill>
    </dxf>
    <dxf>
      <fill>
        <patternFill>
          <bgColor theme="7" tint="0.59996337778862885"/>
        </patternFill>
      </fill>
    </dxf>
    <dxf>
      <fill>
        <patternFill>
          <bgColor theme="5" tint="0.59996337778862885"/>
        </patternFill>
      </fill>
    </dxf>
    <dxf>
      <fill>
        <patternFill>
          <bgColor theme="7" tint="0.59996337778862885"/>
        </patternFill>
      </fill>
    </dxf>
    <dxf>
      <fill>
        <patternFill>
          <bgColor theme="5" tint="0.59996337778862885"/>
        </patternFill>
      </fill>
    </dxf>
    <dxf>
      <fill>
        <patternFill>
          <bgColor theme="7" tint="0.59996337778862885"/>
        </patternFill>
      </fill>
    </dxf>
    <dxf>
      <fill>
        <patternFill>
          <bgColor theme="5"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B9A93-13D0-7044-AE25-7F1D2C2AFDF5}">
  <sheetPr codeName="Sheet1"/>
  <dimension ref="A1:BW1501"/>
  <sheetViews>
    <sheetView topLeftCell="BL1" zoomScaleNormal="100" zoomScaleSheetLayoutView="100" workbookViewId="0">
      <pane ySplit="1" topLeftCell="A2" activePane="bottomLeft" state="frozen"/>
      <selection pane="bottomLeft" activeCell="BL1" sqref="A1:XFD1"/>
    </sheetView>
  </sheetViews>
  <sheetFormatPr defaultColWidth="8.69921875" defaultRowHeight="18" outlineLevelCol="1" x14ac:dyDescent="0.45"/>
  <cols>
    <col min="1" max="1" width="5.3984375" style="1" bestFit="1" customWidth="1"/>
    <col min="2" max="2" width="19" style="1" customWidth="1"/>
    <col min="3" max="3" width="11.8984375" style="1" customWidth="1"/>
    <col min="4" max="4" width="5" style="1" bestFit="1" customWidth="1"/>
    <col min="5" max="5" width="9.3984375" style="12" bestFit="1" customWidth="1"/>
    <col min="6" max="6" width="10.19921875" style="12" bestFit="1" customWidth="1"/>
    <col min="7" max="7" width="7.69921875" style="12" bestFit="1" customWidth="1"/>
    <col min="8" max="9" width="5.59765625" style="1" customWidth="1"/>
    <col min="10" max="10" width="2.59765625" style="1" customWidth="1"/>
    <col min="11" max="11" width="51.5" style="1" customWidth="1"/>
    <col min="12" max="12" width="75.3984375" style="1" bestFit="1" customWidth="1"/>
    <col min="13" max="14" width="5.5" style="1" customWidth="1" outlineLevel="1"/>
    <col min="15" max="15" width="5.09765625" style="1" customWidth="1" outlineLevel="1"/>
    <col min="16" max="16" width="6.69921875" style="1" customWidth="1" outlineLevel="1"/>
    <col min="17" max="17" width="68.3984375" customWidth="1" outlineLevel="1"/>
    <col min="18" max="18" width="50.5" customWidth="1" outlineLevel="1"/>
    <col min="19" max="20" width="58.19921875" customWidth="1" outlineLevel="1"/>
    <col min="21" max="21" width="42" customWidth="1" outlineLevel="1"/>
    <col min="22" max="22" width="50.5" customWidth="1" outlineLevel="1"/>
    <col min="23" max="25" width="42" customWidth="1" outlineLevel="1"/>
    <col min="26" max="27" width="31.3984375" customWidth="1" outlineLevel="1"/>
    <col min="28" max="28" width="28.69921875" customWidth="1" outlineLevel="1"/>
    <col min="29" max="30" width="36" customWidth="1" outlineLevel="1"/>
    <col min="31" max="46" width="11.09765625" customWidth="1" outlineLevel="1"/>
    <col min="47" max="47" width="5.8984375" customWidth="1" outlineLevel="1"/>
    <col min="48" max="48" width="5.8984375" style="1" customWidth="1" outlineLevel="1"/>
    <col min="49" max="49" width="48.69921875" style="1" customWidth="1" outlineLevel="1"/>
    <col min="50" max="50" width="18.8984375" style="1" customWidth="1" outlineLevel="1"/>
    <col min="51" max="51" width="12.3984375" style="1" customWidth="1" outlineLevel="1"/>
    <col min="52" max="52" width="13" style="1" customWidth="1" outlineLevel="1"/>
    <col min="53" max="57" width="8.69921875" style="1" customWidth="1" outlineLevel="1"/>
    <col min="58" max="58" width="9.69921875" style="1" customWidth="1" outlineLevel="1"/>
    <col min="59" max="59" width="5.09765625" style="1" bestFit="1" customWidth="1"/>
    <col min="60" max="60" width="14.19921875" style="1" bestFit="1" customWidth="1"/>
    <col min="61" max="61" width="68.8984375" style="1" bestFit="1" customWidth="1"/>
    <col min="62" max="62" width="19.3984375" style="1" customWidth="1"/>
    <col min="63" max="63" width="65" style="1" customWidth="1"/>
    <col min="64" max="64" width="12.69921875" style="1" bestFit="1" customWidth="1"/>
    <col min="65" max="65" width="39.69921875" style="1" bestFit="1" customWidth="1"/>
    <col min="66" max="66" width="12.3984375" style="1" bestFit="1" customWidth="1"/>
    <col min="67" max="67" width="40.5" style="1" bestFit="1" customWidth="1"/>
    <col min="68" max="68" width="8.59765625" style="1" bestFit="1" customWidth="1"/>
    <col min="69" max="69" width="41.59765625" style="1" customWidth="1"/>
    <col min="70" max="70" width="8.59765625" style="1" bestFit="1" customWidth="1"/>
    <col min="71" max="71" width="44.69921875" style="1" customWidth="1"/>
    <col min="72" max="72" width="14.09765625" style="1" customWidth="1"/>
    <col min="73" max="73" width="35.19921875" style="1" customWidth="1"/>
    <col min="74" max="74" width="8.69921875" style="1"/>
    <col min="75" max="75" width="23.69921875" style="1" customWidth="1"/>
    <col min="76" max="16384" width="8.69921875" style="1"/>
  </cols>
  <sheetData>
    <row r="1" spans="1:75" x14ac:dyDescent="0.45">
      <c r="A1" s="5" t="s">
        <v>1239</v>
      </c>
      <c r="B1" s="6" t="s">
        <v>1240</v>
      </c>
      <c r="C1" s="6" t="s">
        <v>6849</v>
      </c>
      <c r="D1" s="7" t="s">
        <v>39</v>
      </c>
      <c r="E1" s="1" t="s">
        <v>0</v>
      </c>
      <c r="F1" s="1" t="s">
        <v>1</v>
      </c>
      <c r="G1" s="1" t="s">
        <v>2</v>
      </c>
      <c r="H1" s="1" t="s">
        <v>3</v>
      </c>
      <c r="I1" s="1" t="s">
        <v>20</v>
      </c>
      <c r="J1" s="1" t="s">
        <v>40</v>
      </c>
      <c r="K1" s="1" t="s">
        <v>1243</v>
      </c>
      <c r="L1" s="1" t="s">
        <v>1244</v>
      </c>
      <c r="N1" s="1" t="s">
        <v>1245</v>
      </c>
      <c r="O1" s="1" t="s">
        <v>1246</v>
      </c>
      <c r="P1" s="1" t="s">
        <v>41</v>
      </c>
      <c r="Q1" t="s">
        <v>9</v>
      </c>
      <c r="R1" t="s">
        <v>10</v>
      </c>
      <c r="S1" t="s">
        <v>11</v>
      </c>
      <c r="T1" t="s">
        <v>12</v>
      </c>
      <c r="U1" t="s">
        <v>13</v>
      </c>
      <c r="V1" t="s">
        <v>14</v>
      </c>
      <c r="W1" t="s">
        <v>1255</v>
      </c>
      <c r="X1" t="s">
        <v>1256</v>
      </c>
      <c r="Y1" t="s">
        <v>1257</v>
      </c>
      <c r="Z1" t="s">
        <v>1258</v>
      </c>
      <c r="AA1" t="s">
        <v>1321</v>
      </c>
      <c r="AB1" t="s">
        <v>1322</v>
      </c>
      <c r="AC1" t="s">
        <v>1323</v>
      </c>
      <c r="AD1" t="s">
        <v>1324</v>
      </c>
      <c r="AE1" t="s">
        <v>1805</v>
      </c>
      <c r="AF1" t="s">
        <v>1806</v>
      </c>
      <c r="AG1" t="s">
        <v>1807</v>
      </c>
      <c r="AH1" t="s">
        <v>9036</v>
      </c>
      <c r="AI1" t="s">
        <v>9024</v>
      </c>
      <c r="AJ1" t="s">
        <v>9025</v>
      </c>
      <c r="AK1" t="s">
        <v>9026</v>
      </c>
      <c r="AL1" t="s">
        <v>9027</v>
      </c>
      <c r="AM1" t="s">
        <v>9028</v>
      </c>
      <c r="AN1" t="s">
        <v>9029</v>
      </c>
      <c r="AO1" t="s">
        <v>9030</v>
      </c>
      <c r="AP1" t="s">
        <v>9031</v>
      </c>
      <c r="AQ1" t="s">
        <v>9032</v>
      </c>
      <c r="AR1" t="s">
        <v>9033</v>
      </c>
      <c r="AS1" t="s">
        <v>9034</v>
      </c>
      <c r="AT1" t="s">
        <v>9035</v>
      </c>
      <c r="AU1" t="s">
        <v>11724</v>
      </c>
      <c r="AV1" s="1" t="s">
        <v>1247</v>
      </c>
      <c r="AW1" s="1" t="s">
        <v>15</v>
      </c>
      <c r="AX1" s="1" t="s">
        <v>16</v>
      </c>
      <c r="AY1" s="1" t="s">
        <v>17</v>
      </c>
      <c r="AZ1" s="1" t="s">
        <v>18</v>
      </c>
      <c r="BA1" s="1" t="s">
        <v>19</v>
      </c>
      <c r="BB1" s="1" t="s">
        <v>30</v>
      </c>
      <c r="BC1" s="1" t="s">
        <v>42</v>
      </c>
      <c r="BD1" s="1" t="s">
        <v>1125</v>
      </c>
      <c r="BE1" s="1" t="s">
        <v>1126</v>
      </c>
      <c r="BF1" s="1" t="s">
        <v>1127</v>
      </c>
      <c r="BG1" s="1" t="s">
        <v>1248</v>
      </c>
      <c r="BH1" s="1" t="s">
        <v>32</v>
      </c>
      <c r="BI1" s="1" t="s">
        <v>21</v>
      </c>
      <c r="BJ1" s="1" t="s">
        <v>33</v>
      </c>
      <c r="BK1" s="1" t="s">
        <v>22</v>
      </c>
      <c r="BL1" s="1" t="s">
        <v>34</v>
      </c>
      <c r="BM1" s="1" t="s">
        <v>23</v>
      </c>
      <c r="BN1" s="1" t="s">
        <v>35</v>
      </c>
      <c r="BO1" s="1" t="s">
        <v>24</v>
      </c>
      <c r="BP1" s="1" t="s">
        <v>36</v>
      </c>
      <c r="BQ1" s="1" t="s">
        <v>25</v>
      </c>
      <c r="BR1" s="1" t="s">
        <v>37</v>
      </c>
      <c r="BS1" s="1" t="s">
        <v>26</v>
      </c>
      <c r="BT1" s="1" t="s">
        <v>3839</v>
      </c>
      <c r="BU1" s="1" t="s">
        <v>3840</v>
      </c>
      <c r="BV1" s="1" t="s">
        <v>6781</v>
      </c>
      <c r="BW1" s="1" t="s">
        <v>6782</v>
      </c>
    </row>
    <row r="2" spans="1:75" ht="234" x14ac:dyDescent="0.45">
      <c r="A2" s="5">
        <v>1</v>
      </c>
      <c r="B2" s="8" t="s">
        <v>4</v>
      </c>
      <c r="C2" s="6" t="s">
        <v>1816</v>
      </c>
      <c r="D2" s="7" t="s">
        <v>9752</v>
      </c>
      <c r="E2" s="1" t="s">
        <v>4</v>
      </c>
      <c r="F2" s="1"/>
      <c r="G2" s="1"/>
      <c r="J2" s="1" t="s">
        <v>9753</v>
      </c>
      <c r="K2" s="1" t="s">
        <v>7169</v>
      </c>
      <c r="L2" s="4" t="s">
        <v>12090</v>
      </c>
      <c r="P2" s="7" t="s">
        <v>1241</v>
      </c>
      <c r="Q2" s="13" t="str">
        <f>INDEX($L:$L, MATCH("increase", $B:$B, 0))</f>
        <v>&lt;span class="w"&gt;&lt;b&gt;【2.increase：増加する, ～を増やす】&lt;/b&gt;&lt;/span&gt;
&lt;span class="ml"&gt;ラテン語に由来する語で、以下の2つの要素から成る。
&lt;span class="spacer"&gt;&lt;/span&gt;in（中に）
crescere（成長する）
&lt;span class="spacer"&gt;&lt;/span&gt;このまま日本語にすると「中に成長する」となる。これは木の芽（の内部）が膨らんで大きくなっていくことをイメージしてほしい。この成長して膨らんで大きくなっていくことから、大きさや数が膨れあがる＝「増加する, 増やす」という意味になる。
&lt;div class="sample_image increase"&gt;&lt;/div&gt;&lt;/span&gt;</v>
      </c>
      <c r="R2" s="13" t="str">
        <f>INDEX($L:$L, MATCH("decrease", $B:$B, 0))</f>
        <v>&lt;span class="w"&gt;&lt;b&gt;【223.decrease：減少する, ～を減らす】&lt;/b&gt;&lt;/span&gt;
&lt;span class="ml"&gt;ラテン語に由来する語で、以下の2つの要素から成る。
&lt;span class="spacer"&gt;&lt;/span&gt;de（離れて）
crescere（成長する）
&lt;span class="spacer"&gt;&lt;/span&gt;このまま日本語にすると「成長から離れる」となる。成長せず低下するイメージから「減少する, 減らす」という意味になる。&lt;/span&gt;</v>
      </c>
      <c r="S2" s="14" t="str">
        <f>INDEX($L:$L, MATCH("cereal", $B:$B, 0))</f>
        <v>&lt;span class="w"&gt;&lt;b&gt;【1456.cereal：穀物, シリアル（穀物加工食品）】&lt;/b&gt;&lt;/span&gt;
&lt;span class="ml"&gt;ラテン語に由来する語で、以下の2つの要素から成る。
&lt;span class="spacer"&gt;&lt;/span&gt;Ceres（ローマ神話の農業や穀物の女神ケレス）
alis（形容詞化）
&lt;span class="spacer"&gt;&lt;/span&gt;もともとは、ローマ神話における農業や穀物の女神ケレスを表した。そこから「穀物」そのものや、穀物から作られる加工食品「シリアル」という意味になった。
&lt;div class="sample_image cereal"&gt;&lt;/div&gt;&lt;/span&gt;</v>
      </c>
      <c r="T2" s="14" t="str">
        <f>INDEX($L:$L, MATCH("concrete", $B:$B, 0))</f>
        <v>&lt;span class="w"&gt;&lt;b&gt;【783.concrete：具体的な】&lt;/b&gt;&lt;/span&gt;
&lt;span class="ml"&gt;ラテン語に由来する語で、以下の2つの要素から成る。
&lt;span class="spacer"&gt;&lt;/span&gt;con（共に）
crescere（成長する）
&lt;span class="spacer"&gt;&lt;/span&gt;このまま日本語にすると「共に成長する」となる。これは、複数のものが一緒に成長して固まるというイメージ。そこから、抽象的ではなく実体がある＝「具体的な」という意味になった。名詞のコンクリートもぎゅっと固まるイメージを表している。
&lt;div class="sample_image concrete"&gt;&lt;/div&gt;&lt;/span&gt;</v>
      </c>
      <c r="U2" s="14" t="str">
        <f>INDEX($L:$L, MATCH("recruit", $B:$B, 0))</f>
        <v>&lt;span class="w"&gt;&lt;b&gt;【1232.recruit：〜を募集する】&lt;/b&gt;&lt;/span&gt;
&lt;span class="ml"&gt;古フランス語に由来する語で、以下の2つの要素から成る。
&lt;span class="spacer"&gt;&lt;/span&gt;re（再び）
creistre（成長する）
&lt;span class="spacer"&gt;&lt;/span&gt;このまま日本語にすると「再び成長する」となる。もともとは軍事において、負傷したり亡くなったりして人員が減ってしまった部隊を再び成長させるために、新しい兵士を募集することを表した。そこから軍事に限らず一般的に、目的のために必要な人材を「募集する」という意味になった。&lt;/span&gt;</v>
      </c>
      <c r="V2" s="15"/>
      <c r="W2" s="15"/>
      <c r="X2" s="15"/>
      <c r="Y2" s="15"/>
      <c r="Z2" s="15"/>
      <c r="AA2" s="15"/>
      <c r="AB2" s="15"/>
      <c r="AC2" s="15"/>
      <c r="AD2" s="15"/>
      <c r="AE2" s="15"/>
      <c r="AF2" s="15"/>
      <c r="AG2" s="15"/>
      <c r="AI2" s="15"/>
      <c r="AJ2" s="15"/>
      <c r="AK2" s="15"/>
      <c r="AL2" s="15"/>
      <c r="AU2" s="15"/>
      <c r="AV2" s="1" t="s">
        <v>1502</v>
      </c>
      <c r="AW2" s="2" t="s">
        <v>12232</v>
      </c>
      <c r="AX2" s="2"/>
      <c r="AY2" s="2"/>
      <c r="AZ2" s="2"/>
      <c r="BG2" s="7" t="s">
        <v>1503</v>
      </c>
      <c r="BH2" s="1" t="s">
        <v>1947</v>
      </c>
      <c r="BI2" s="2" t="s">
        <v>7133</v>
      </c>
      <c r="BJ2" s="1" t="s">
        <v>2044</v>
      </c>
      <c r="BK2" s="2" t="s">
        <v>7095</v>
      </c>
    </row>
    <row r="3" spans="1:75" ht="234" x14ac:dyDescent="0.45">
      <c r="A3" s="5">
        <v>2</v>
      </c>
      <c r="B3" s="8" t="s">
        <v>5</v>
      </c>
      <c r="C3" s="6" t="s">
        <v>1816</v>
      </c>
      <c r="D3" s="7" t="s">
        <v>9752</v>
      </c>
      <c r="E3" s="1" t="s">
        <v>27</v>
      </c>
      <c r="F3" s="1" t="s">
        <v>28</v>
      </c>
      <c r="G3" s="1"/>
      <c r="J3" s="1" t="s">
        <v>9753</v>
      </c>
      <c r="K3" s="2" t="s">
        <v>7170</v>
      </c>
      <c r="L3" s="3" t="s">
        <v>7950</v>
      </c>
      <c r="P3" s="7" t="s">
        <v>1241</v>
      </c>
      <c r="Q3" s="13" t="str">
        <f>INDEX($L:$L, MATCH("create", $B:$B, 0))</f>
        <v>&lt;span class="w"&gt;&lt;b&gt;【1.create：～を創造する, ～を引き起こす】&lt;/b&gt;&lt;/span&gt;
&lt;span class="ml"&gt;ラテン語creare（作る, 育てる, 生産する, 引き起こす）に由来する。
&lt;span class="spacer"&gt;&lt;/span&gt;ラテン語から意味の変化はほとんどなく、createは「何かを作り出す, 何かを引き起こす」という意味になる。&lt;/span&gt;</v>
      </c>
      <c r="R3" s="13" t="str">
        <f>INDEX($L:$L, MATCH("decrease", $B:$B, 0))</f>
        <v>&lt;span class="w"&gt;&lt;b&gt;【223.decrease：減少する, ～を減らす】&lt;/b&gt;&lt;/span&gt;
&lt;span class="ml"&gt;ラテン語に由来する語で、以下の2つの要素から成る。
&lt;span class="spacer"&gt;&lt;/span&gt;de（離れて）
crescere（成長する）
&lt;span class="spacer"&gt;&lt;/span&gt;このまま日本語にすると「成長から離れる」となる。成長せず低下するイメージから「減少する, 減らす」という意味になる。&lt;/span&gt;</v>
      </c>
      <c r="S3" s="13" t="str">
        <f>INDEX($L:$L, MATCH("cereal", $B:$B, 0))</f>
        <v>&lt;span class="w"&gt;&lt;b&gt;【1456.cereal：穀物, シリアル（穀物加工食品）】&lt;/b&gt;&lt;/span&gt;
&lt;span class="ml"&gt;ラテン語に由来する語で、以下の2つの要素から成る。
&lt;span class="spacer"&gt;&lt;/span&gt;Ceres（ローマ神話の農業や穀物の女神ケレス）
alis（形容詞化）
&lt;span class="spacer"&gt;&lt;/span&gt;もともとは、ローマ神話における農業や穀物の女神ケレスを表した。そこから「穀物」そのものや、穀物から作られる加工食品「シリアル」という意味になった。
&lt;div class="sample_image cereal"&gt;&lt;/div&gt;&lt;/span&gt;</v>
      </c>
      <c r="T3" s="14" t="str">
        <f>INDEX($L:$L, MATCH("concrete", $B:$B, 0))</f>
        <v>&lt;span class="w"&gt;&lt;b&gt;【783.concrete：具体的な】&lt;/b&gt;&lt;/span&gt;
&lt;span class="ml"&gt;ラテン語に由来する語で、以下の2つの要素から成る。
&lt;span class="spacer"&gt;&lt;/span&gt;con（共に）
crescere（成長する）
&lt;span class="spacer"&gt;&lt;/span&gt;このまま日本語にすると「共に成長する」となる。これは、複数のものが一緒に成長して固まるというイメージ。そこから、抽象的ではなく実体がある＝「具体的な」という意味になった。名詞のコンクリートもぎゅっと固まるイメージを表している。
&lt;div class="sample_image concrete"&gt;&lt;/div&gt;&lt;/span&gt;</v>
      </c>
      <c r="U3" s="14" t="str">
        <f>INDEX($L:$L, MATCH("recruit", $B:$B, 0))</f>
        <v>&lt;span class="w"&gt;&lt;b&gt;【1232.recruit：〜を募集する】&lt;/b&gt;&lt;/span&gt;
&lt;span class="ml"&gt;古フランス語に由来する語で、以下の2つの要素から成る。
&lt;span class="spacer"&gt;&lt;/span&gt;re（再び）
creistre（成長する）
&lt;span class="spacer"&gt;&lt;/span&gt;このまま日本語にすると「再び成長する」となる。もともとは軍事において、負傷したり亡くなったりして人員が減ってしまった部隊を再び成長させるために、新しい兵士を募集することを表した。そこから軍事に限らず一般的に、目的のために必要な人材を「募集する」という意味になった。&lt;/span&gt;</v>
      </c>
      <c r="AI3" s="15"/>
      <c r="AJ3" s="15"/>
      <c r="AK3" s="15"/>
      <c r="AU3" s="15"/>
      <c r="AV3" s="1" t="s">
        <v>1502</v>
      </c>
      <c r="AW3" s="2"/>
      <c r="AX3" s="2"/>
      <c r="AY3" s="2"/>
      <c r="BG3" s="7" t="s">
        <v>1503</v>
      </c>
      <c r="BH3" s="1" t="s">
        <v>1947</v>
      </c>
      <c r="BI3" s="2" t="s">
        <v>1861</v>
      </c>
      <c r="BJ3" s="1" t="s">
        <v>1504</v>
      </c>
      <c r="BK3" s="2" t="s">
        <v>1862</v>
      </c>
      <c r="BL3" s="1" t="s">
        <v>1863</v>
      </c>
      <c r="BM3" s="2" t="s">
        <v>1864</v>
      </c>
      <c r="BN3" s="1" t="s">
        <v>1865</v>
      </c>
      <c r="BO3" s="1" t="s">
        <v>1866</v>
      </c>
    </row>
    <row r="4" spans="1:75" ht="126" x14ac:dyDescent="0.45">
      <c r="A4" s="5">
        <v>3</v>
      </c>
      <c r="B4" s="8" t="s">
        <v>6</v>
      </c>
      <c r="C4" s="6" t="s">
        <v>1816</v>
      </c>
      <c r="D4" s="7" t="s">
        <v>9752</v>
      </c>
      <c r="E4" s="1" t="s">
        <v>29</v>
      </c>
      <c r="F4" s="1" t="s">
        <v>104</v>
      </c>
      <c r="G4" s="1"/>
      <c r="J4" s="1" t="s">
        <v>9753</v>
      </c>
      <c r="K4" s="2" t="s">
        <v>7171</v>
      </c>
      <c r="L4" s="4" t="s">
        <v>7951</v>
      </c>
      <c r="P4" s="7" t="s">
        <v>1241</v>
      </c>
      <c r="Q4" s="15"/>
      <c r="R4" s="15"/>
      <c r="S4" s="15"/>
      <c r="T4" s="15"/>
      <c r="U4" s="15"/>
      <c r="V4" s="15"/>
      <c r="W4" s="15"/>
      <c r="AI4" s="15"/>
      <c r="AJ4" s="15"/>
      <c r="AU4" s="15"/>
      <c r="AV4" s="1" t="s">
        <v>1502</v>
      </c>
      <c r="AW4" s="2"/>
      <c r="AX4" s="2"/>
      <c r="BG4" s="7" t="s">
        <v>1503</v>
      </c>
      <c r="BH4" s="1" t="s">
        <v>1947</v>
      </c>
      <c r="BI4" s="2" t="s">
        <v>1867</v>
      </c>
      <c r="BJ4" s="1" t="s">
        <v>1504</v>
      </c>
      <c r="BK4" s="2" t="s">
        <v>1868</v>
      </c>
      <c r="BL4" s="1" t="s">
        <v>1869</v>
      </c>
      <c r="BM4" s="1" t="s">
        <v>1870</v>
      </c>
      <c r="BN4" s="1" t="s">
        <v>1863</v>
      </c>
      <c r="BO4" s="2" t="s">
        <v>1948</v>
      </c>
      <c r="BP4" s="1" t="s">
        <v>1865</v>
      </c>
      <c r="BQ4" s="2" t="s">
        <v>1871</v>
      </c>
    </row>
    <row r="5" spans="1:75" ht="126" x14ac:dyDescent="0.45">
      <c r="A5" s="5">
        <v>4</v>
      </c>
      <c r="B5" s="8" t="s">
        <v>7</v>
      </c>
      <c r="C5" s="6" t="s">
        <v>1816</v>
      </c>
      <c r="D5" s="7" t="s">
        <v>9752</v>
      </c>
      <c r="E5" s="1" t="s">
        <v>7</v>
      </c>
      <c r="F5" s="1"/>
      <c r="G5" s="1"/>
      <c r="J5" s="1" t="s">
        <v>9753</v>
      </c>
      <c r="K5" s="2" t="s">
        <v>7134</v>
      </c>
      <c r="L5" s="4" t="s">
        <v>7952</v>
      </c>
      <c r="P5" s="7" t="s">
        <v>1241</v>
      </c>
      <c r="Q5" s="13" t="str">
        <f>INDEX($L:$L, MATCH("meaningful", $B:$B, 0))</f>
        <v>&lt;span class="w"&gt;&lt;b&gt;【692.meaningful：意味のある】&lt;/b&gt;&lt;/span&gt;
&lt;span class="ml"&gt;近代英語にさかのぼり、以下の2つの要素から成る。
&lt;span class="spacer"&gt;&lt;/span&gt;meaning（意味）
ful（満ちた）
&lt;span class="spacer"&gt;&lt;/span&gt;このまま日本語にすると「意味で満ちた」となる。ここから何かに「意味のある」という意味になる。&lt;/span&gt;</v>
      </c>
      <c r="AI5" s="15"/>
      <c r="AV5" s="1" t="s">
        <v>1502</v>
      </c>
      <c r="AW5" s="2"/>
      <c r="BG5" s="7" t="s">
        <v>1503</v>
      </c>
      <c r="BH5" s="1" t="s">
        <v>1872</v>
      </c>
      <c r="BI5" s="1" t="s">
        <v>1873</v>
      </c>
      <c r="BJ5" s="1" t="s">
        <v>2044</v>
      </c>
      <c r="BK5" s="1" t="s">
        <v>4162</v>
      </c>
    </row>
    <row r="6" spans="1:75" ht="306" x14ac:dyDescent="0.45">
      <c r="A6" s="5">
        <v>5</v>
      </c>
      <c r="B6" s="8" t="s">
        <v>8</v>
      </c>
      <c r="C6" s="6" t="s">
        <v>1816</v>
      </c>
      <c r="D6" s="7" t="s">
        <v>9752</v>
      </c>
      <c r="E6" s="1" t="s">
        <v>8</v>
      </c>
      <c r="F6" s="1"/>
      <c r="G6" s="1"/>
      <c r="J6" s="1" t="s">
        <v>9753</v>
      </c>
      <c r="K6" s="2" t="s">
        <v>7172</v>
      </c>
      <c r="L6" s="4" t="s">
        <v>7953</v>
      </c>
      <c r="P6" s="7" t="s">
        <v>1241</v>
      </c>
      <c r="Q6" s="14" t="str">
        <f>INDEX($L:$L, MATCH("owe", $B:$B, 0))</f>
        <v>&lt;span class="w"&gt;&lt;b&gt;【737.owe：借りがある, 〜を借りている, ～のおかげである】&lt;/b&gt;&lt;/span&gt;
&lt;span class="ml"&gt;古英語agan（所有する）にさかのぼる。これはownと同じ語源であり、oweとownは双子のような語となっている。
&lt;span class="spacer"&gt;&lt;/span&gt;ownは古英語から変わらず「所有する」という意味で残ったが、oweは「借りがある」という意味になった。
&lt;span class="spacer"&gt;&lt;/span&gt;古英語期には、agan to geldanne（支払うことを所有している）というaganを使ったフレーズがあり、ここからowe（借りがある）が生まれた。
&lt;span class="spacer"&gt;&lt;/span&gt;&lt;b&gt;［owing to / due toの関係］&lt;/b&gt;
oweのもとになったagan to geldanneは、ラテン語debere（借りがある：dueの語源）を翻訳するために使われた。そのため英語には「〜のために」という表現にowing to / due toの2つの表現がある。
&lt;span class="spacer"&gt;&lt;/span&gt;&lt;b&gt;［oweとoughtの関係］&lt;/b&gt;
ought to（〜するべき, 〜のはずだ）のoughtは、古英語aganの過去形ahteにさかのぼる。「借りがある」という意味から、返す義務がある、そして「〜するべき」という意味となった。&lt;/span&gt;</v>
      </c>
      <c r="AI6" s="15"/>
      <c r="AJ6" s="15"/>
      <c r="AU6" s="15"/>
      <c r="AV6" s="1" t="s">
        <v>1502</v>
      </c>
      <c r="AW6" s="2"/>
      <c r="AX6" s="2"/>
      <c r="BG6" s="7" t="s">
        <v>1503</v>
      </c>
      <c r="BH6" s="1" t="s">
        <v>1872</v>
      </c>
      <c r="BI6" s="2" t="s">
        <v>1874</v>
      </c>
      <c r="BJ6" s="1" t="s">
        <v>1875</v>
      </c>
      <c r="BK6" s="2" t="s">
        <v>1876</v>
      </c>
      <c r="BL6" s="1" t="s">
        <v>1877</v>
      </c>
      <c r="BM6" s="2" t="s">
        <v>1949</v>
      </c>
    </row>
    <row r="7" spans="1:75" ht="198" x14ac:dyDescent="0.45">
      <c r="A7" s="5">
        <v>6</v>
      </c>
      <c r="B7" s="8" t="s">
        <v>43</v>
      </c>
      <c r="C7" s="6" t="s">
        <v>1816</v>
      </c>
      <c r="D7" s="7" t="s">
        <v>9752</v>
      </c>
      <c r="E7" s="1" t="s">
        <v>27</v>
      </c>
      <c r="F7" s="1" t="s">
        <v>44</v>
      </c>
      <c r="G7" s="1"/>
      <c r="J7" s="1" t="s">
        <v>9753</v>
      </c>
      <c r="K7" s="2" t="s">
        <v>12091</v>
      </c>
      <c r="L7" s="3" t="s">
        <v>12092</v>
      </c>
      <c r="M7" s="1" t="s">
        <v>12112</v>
      </c>
      <c r="P7" s="7" t="s">
        <v>1241</v>
      </c>
      <c r="Q7" s="14" t="str">
        <f>INDEX($L:$L, MATCH("exclude", $B:$B, 0))</f>
        <v>&lt;span class="w"&gt;&lt;b&gt;【1009.exclude：〜を排除する】&lt;/b&gt;&lt;/span&gt;
&lt;span class="ml"&gt;ラテン語に由来する語で、以下の2つの要素から成る。
&lt;span class="spacer"&gt;&lt;/span&gt;ex（外に）
claudere（閉じる：closeの語源）
&lt;span class="spacer"&gt;&lt;/span&gt;このまま日本語にすると「外に閉じる」となる。何かが外にある、外にいる状態で扉を閉じて、それらが中に入れないようにすることから、何かを「排除する」という意味になる。
&lt;div class="sample_image exclude"&gt;&lt;/div&gt;&lt;/span&gt;</v>
      </c>
      <c r="R7" s="14" t="str">
        <f>INDEX($L:$L, MATCH("conclude", $B:$B, 0))</f>
        <v>&lt;span class="w"&gt;&lt;b&gt;【413.conclude：〜と結論づける, 〜を締めくくる】&lt;/b&gt;&lt;/span&gt;
&lt;span class="ml"&gt;ラテン語に由来する語で、以下の2つの要素から成る。
&lt;span class="spacer"&gt;&lt;/span&gt;com（共に）
claudere（閉じる：closeの語源）
&lt;span class="spacer"&gt;&lt;/span&gt;このまま日本語にすると「共に閉じる」となる。これはバラバラだったものをまとめて閉じるイメージ。そこから、議論や事柄をまとめて閉じ込める＝「結論づける, 締めくくる」という意味になる。
&lt;div class="sample_image conclude"&gt;&lt;/div&gt;&lt;/span&gt;</v>
      </c>
      <c r="AI7" s="15"/>
      <c r="AK7" s="15"/>
      <c r="AM7" s="15"/>
      <c r="AU7" s="15"/>
      <c r="AV7" s="1" t="s">
        <v>1502</v>
      </c>
      <c r="AW7" s="2"/>
      <c r="AY7" s="2"/>
      <c r="BA7" s="2"/>
      <c r="BG7" s="7" t="s">
        <v>1503</v>
      </c>
      <c r="BH7" s="1" t="s">
        <v>1947</v>
      </c>
      <c r="BI7" s="2" t="s">
        <v>1878</v>
      </c>
      <c r="BJ7" s="1" t="s">
        <v>1875</v>
      </c>
      <c r="BK7" s="2" t="s">
        <v>1879</v>
      </c>
    </row>
    <row r="8" spans="1:75" ht="180" x14ac:dyDescent="0.45">
      <c r="A8" s="5">
        <v>7</v>
      </c>
      <c r="B8" s="8" t="s">
        <v>45</v>
      </c>
      <c r="C8" s="6" t="s">
        <v>1816</v>
      </c>
      <c r="D8" s="7" t="s">
        <v>9752</v>
      </c>
      <c r="E8" s="1" t="s">
        <v>46</v>
      </c>
      <c r="F8" s="1" t="s">
        <v>47</v>
      </c>
      <c r="G8" s="1"/>
      <c r="J8" s="1" t="s">
        <v>9753</v>
      </c>
      <c r="K8" s="2" t="s">
        <v>7135</v>
      </c>
      <c r="L8" s="4" t="s">
        <v>7954</v>
      </c>
      <c r="M8" s="2"/>
      <c r="P8" s="7" t="s">
        <v>1241</v>
      </c>
      <c r="Q8" s="16" t="str">
        <f>INDEX($L:$L, MATCH("desire", $B:$B, 0))</f>
        <v>&lt;span class="w"&gt;&lt;b&gt;【239.desire：〜を強く望む】&lt;/b&gt;&lt;/span&gt;
&lt;span class="ml"&gt;ラテン語に由来する語で、以下の2つの要素から成る。
&lt;span class="spacer"&gt;&lt;/span&gt;de（～から）
sidus（天体・星）
&lt;span class="spacer"&gt;&lt;/span&gt;このまま日本語にすると「星から」となる。占星術に強い関心のあったローマ人がdesiderare「星がもたらすものを待ち望む」という意味で使った可能性があり、ここから「強く望む」となったと考えられる。
&lt;div class="sample_image desire"&gt;&lt;/div&gt;&lt;/span&gt;</v>
      </c>
      <c r="AI8" s="15"/>
      <c r="AK8" s="15"/>
      <c r="AL8" s="15"/>
      <c r="AU8" s="15"/>
      <c r="AV8" s="1" t="s">
        <v>1502</v>
      </c>
      <c r="AW8" s="2"/>
      <c r="AY8" s="2"/>
      <c r="AZ8" s="2"/>
      <c r="BG8" s="7" t="s">
        <v>1503</v>
      </c>
      <c r="BH8" s="1" t="s">
        <v>1947</v>
      </c>
      <c r="BI8" s="2" t="s">
        <v>1880</v>
      </c>
      <c r="BJ8" s="1" t="s">
        <v>1504</v>
      </c>
      <c r="BK8" s="2" t="s">
        <v>1881</v>
      </c>
      <c r="BL8" s="1" t="s">
        <v>1875</v>
      </c>
      <c r="BM8" s="2" t="s">
        <v>1882</v>
      </c>
      <c r="BN8" s="1" t="s">
        <v>1883</v>
      </c>
      <c r="BO8" s="2" t="s">
        <v>1884</v>
      </c>
    </row>
    <row r="9" spans="1:75" ht="180" x14ac:dyDescent="0.45">
      <c r="A9" s="5">
        <v>8</v>
      </c>
      <c r="B9" s="8" t="s">
        <v>48</v>
      </c>
      <c r="C9" s="6" t="s">
        <v>1816</v>
      </c>
      <c r="D9" s="7" t="s">
        <v>9752</v>
      </c>
      <c r="E9" s="1" t="s">
        <v>49</v>
      </c>
      <c r="F9" s="1" t="s">
        <v>50</v>
      </c>
      <c r="G9" s="1"/>
      <c r="J9" s="1" t="s">
        <v>9753</v>
      </c>
      <c r="K9" s="1" t="s">
        <v>1238</v>
      </c>
      <c r="L9" s="4" t="s">
        <v>10643</v>
      </c>
      <c r="P9" s="7" t="s">
        <v>1241</v>
      </c>
      <c r="Q9" s="15"/>
      <c r="AI9" s="15"/>
      <c r="AL9" s="15"/>
      <c r="AU9" s="15"/>
      <c r="AV9" s="1" t="s">
        <v>1502</v>
      </c>
      <c r="AW9" s="2" t="s">
        <v>12233</v>
      </c>
      <c r="AZ9" s="2"/>
      <c r="BG9" s="7" t="s">
        <v>1503</v>
      </c>
      <c r="BH9" s="1" t="s">
        <v>1947</v>
      </c>
      <c r="BI9" s="2" t="s">
        <v>1885</v>
      </c>
      <c r="BJ9" s="1" t="s">
        <v>1504</v>
      </c>
      <c r="BK9" s="2" t="s">
        <v>1886</v>
      </c>
      <c r="BL9" s="1" t="s">
        <v>1869</v>
      </c>
      <c r="BM9" s="2" t="s">
        <v>1887</v>
      </c>
      <c r="BN9" s="1" t="s">
        <v>1875</v>
      </c>
      <c r="BO9" s="2" t="s">
        <v>1888</v>
      </c>
    </row>
    <row r="10" spans="1:75" ht="360" x14ac:dyDescent="0.45">
      <c r="A10" s="5">
        <v>9</v>
      </c>
      <c r="B10" s="8" t="s">
        <v>51</v>
      </c>
      <c r="C10" s="6" t="s">
        <v>1816</v>
      </c>
      <c r="D10" s="7" t="s">
        <v>9752</v>
      </c>
      <c r="E10" s="1" t="s">
        <v>8843</v>
      </c>
      <c r="F10" s="1" t="s">
        <v>8844</v>
      </c>
      <c r="G10" s="1"/>
      <c r="J10" s="1" t="s">
        <v>9753</v>
      </c>
      <c r="K10" s="2" t="s">
        <v>7173</v>
      </c>
      <c r="L10" s="3" t="s">
        <v>7955</v>
      </c>
      <c r="P10" s="7" t="s">
        <v>1241</v>
      </c>
      <c r="Q10" s="14" t="str">
        <f>INDEX($L:$L, MATCH("exaggerate", $B:$B, 0))</f>
        <v>&lt;span class="w"&gt;&lt;b&gt;【1121.exaggerate：誇張する】&lt;/b&gt;&lt;/span&gt;
&lt;span class="ml"&gt;ラテン語に由来する語で、以下の3つの要素から成る。
&lt;span class="spacer"&gt;&lt;/span&gt;ex（完全に）
ad（〜へ）
gerere（運ぶ）
&lt;span class="spacer"&gt;&lt;/span&gt;このまま日本語にすると「〜へ徹底的に運ぶ」となる。これはどんどん一箇所へ運んで積み上げるイメージ。そこから比喩的に、話を盛る＝「誇張する」という意味になった。
&lt;div class="sample_image exaggerate"&gt;&lt;/div&gt;&lt;/span&gt;</v>
      </c>
      <c r="R10" s="13" t="str">
        <f>INDEX($L:$L, MATCH("register", $B:$B, 0))</f>
        <v>&lt;span class="w"&gt;&lt;b&gt;【829.register：〜を記録する, 〜を登録する】&lt;/b&gt;&lt;/span&gt;
&lt;span class="ml"&gt;ラテン語に由来する語で、以下の2つの要素から成る。
&lt;span class="spacer"&gt;&lt;/span&gt;re（後ろへ）
gerere（運ぶ）
&lt;span class="spacer"&gt;&lt;/span&gt;このまま日本語にすると「後ろへ運ぶ（持ち帰る）」となる。もともとは、情報を持ち帰って帳簿や記録簿に書き込むことを表した。そこから、何かを「記録する, 登録する」という意味になった。&lt;/span&gt;</v>
      </c>
      <c r="AI10" s="15"/>
      <c r="AJ10" s="15"/>
      <c r="AK10" s="15"/>
      <c r="AL10" s="15"/>
      <c r="AO10" s="15"/>
      <c r="AP10" s="15"/>
      <c r="AU10" s="15"/>
      <c r="AV10" s="1" t="s">
        <v>1502</v>
      </c>
      <c r="AW10" s="2" t="s">
        <v>12234</v>
      </c>
      <c r="AX10" s="2" t="s">
        <v>12235</v>
      </c>
      <c r="AY10" s="2"/>
      <c r="AZ10" s="2"/>
      <c r="BC10" s="2"/>
      <c r="BD10" s="2"/>
      <c r="BG10" s="7" t="s">
        <v>1503</v>
      </c>
      <c r="BH10" s="1" t="s">
        <v>1947</v>
      </c>
      <c r="BI10" s="2" t="s">
        <v>1889</v>
      </c>
      <c r="BJ10" s="1" t="s">
        <v>1877</v>
      </c>
      <c r="BK10" s="2" t="s">
        <v>7230</v>
      </c>
    </row>
    <row r="11" spans="1:75" ht="216" x14ac:dyDescent="0.45">
      <c r="A11" s="5">
        <v>10</v>
      </c>
      <c r="B11" s="8" t="s">
        <v>1400</v>
      </c>
      <c r="C11" s="6" t="s">
        <v>1816</v>
      </c>
      <c r="D11" s="7" t="s">
        <v>9752</v>
      </c>
      <c r="E11" s="1" t="s">
        <v>31</v>
      </c>
      <c r="F11" s="1" t="s">
        <v>6797</v>
      </c>
      <c r="G11" s="1"/>
      <c r="J11" s="1" t="s">
        <v>9753</v>
      </c>
      <c r="K11" s="2" t="s">
        <v>7174</v>
      </c>
      <c r="L11" s="4" t="s">
        <v>7956</v>
      </c>
      <c r="M11" s="1" t="s">
        <v>12113</v>
      </c>
      <c r="P11" s="7" t="s">
        <v>1241</v>
      </c>
      <c r="Q11" s="14" t="str">
        <f>INDEX($L:$L, MATCH("reduce", $B:$B, 0))</f>
        <v>&lt;span class="w"&gt;&lt;b&gt;【20.reduce：～を減らす】&lt;/b&gt;&lt;/span&gt;
&lt;span class="ml"&gt;ラテン語に由来する語で、以下の2つの要素から成る。
&lt;span class="spacer"&gt;&lt;/span&gt;re（元へ, 後ろへ）
ducere（導く）
&lt;span class="spacer"&gt;&lt;/span&gt;このまま日本語にすると「後ろに導く」となる。現状から後ろに下がる、つまりマイナスになるイメージから「減らす」という意味になる。&lt;/span&gt;</v>
      </c>
      <c r="R11" s="14" t="str">
        <f>INDEX($L:$L, MATCH("induce", $B:$B, 0))</f>
        <v>&lt;span class="w"&gt;&lt;b&gt;【1405.induce：〜を引き起こす, 〜を説得する】&lt;/b&gt;&lt;/span&gt;
&lt;span class="ml"&gt;ラテン語に由来する語で、以下の2つの要素から成る。
&lt;span class="spacer"&gt;&lt;/span&gt;in（中に）
ducere（導く）
&lt;span class="spacer"&gt;&lt;/span&gt;このまま日本語にすると「中に導く」となる。特定の考えや行動の中へと人を導くことから「説得する」という意味に、特定の状態へと事態を導くことから「引き起こす」という意味になる。
&lt;div class="sample_image induce"&gt;&lt;/div&gt;&lt;/span&gt;</v>
      </c>
      <c r="S11" s="14" t="str">
        <f>INDEX($L:$L, MATCH("reproduce", $B:$B, 0))</f>
        <v>&lt;span class="w"&gt;&lt;b&gt;【917.reproduce：〜を複製する, 〜を繁殖させる】&lt;/b&gt;&lt;/span&gt;
&lt;span class="ml"&gt;近代英語に由来する語で、以下の2つの要素から成る。
&lt;span class="spacer"&gt;&lt;/span&gt;re（再び）
produce（生産する） 
&lt;span class="spacer"&gt;&lt;/span&gt;このまま日本語にすると「再び生産する」となる。既に存在するオリジナルをもとに再び生産することから、何かを「複製する」という意味になる。また生物学においては、遺伝子を複製して「繁殖させる」という意味になる。&lt;/span&gt;</v>
      </c>
      <c r="T11" s="14" t="str">
        <f>INDEX($L:$L, MATCH("educate", $B:$B, 0))</f>
        <v>&lt;span class="w"&gt;&lt;b&gt;【403.educate：〜を教育する】&lt;/b&gt;&lt;/span&gt;
&lt;span class="ml"&gt;ラテン語に由来する語で、以下の2つの要素から成る。
&lt;span class="spacer"&gt;&lt;/span&gt;ex（外に）
ducere（導く）
&lt;span class="spacer"&gt;&lt;/span&gt;このまま日本語にすると「外へ導く」となる。これはもともと内側にあるものを外へ引き出すイメージから、知能や能力を引き出して成長させることを表し、「教育する」という意味になる。&lt;/span&gt;</v>
      </c>
      <c r="U11" s="14" t="str">
        <f>INDEX($L:$L, MATCH("conduct", $B:$B, 0))</f>
        <v>&lt;span class="w"&gt;&lt;b&gt;【210.conduct：実施する, 導く】&lt;/b&gt;&lt;/span&gt;
&lt;span class="ml"&gt;ラテン語に由来する語で、以下の2つの要素から成る。
&lt;span class="spacer"&gt;&lt;/span&gt;com（共に）
ducere（導く）
&lt;span class="spacer"&gt;&lt;/span&gt;このまま日本語にすると「共に導く」となる。ある物事が行われるように導いていくイメージから「実施する, 導く」という意味になる。
&lt;div class="sample_image conduct"&gt;&lt;/div&gt;&lt;/span&gt;</v>
      </c>
      <c r="AI11" s="15"/>
      <c r="AK11" s="15"/>
      <c r="AM11" s="15"/>
      <c r="AU11" s="15"/>
      <c r="AV11" s="1" t="s">
        <v>1502</v>
      </c>
      <c r="AW11" s="2"/>
      <c r="AY11" s="2"/>
      <c r="BA11" s="2"/>
      <c r="BG11" s="7" t="s">
        <v>1503</v>
      </c>
      <c r="BH11" s="1" t="s">
        <v>1947</v>
      </c>
      <c r="BI11" s="2" t="s">
        <v>1890</v>
      </c>
      <c r="BJ11" s="1" t="s">
        <v>1875</v>
      </c>
      <c r="BK11" s="2" t="s">
        <v>1950</v>
      </c>
      <c r="BL11" s="1" t="s">
        <v>1883</v>
      </c>
      <c r="BM11" s="2" t="s">
        <v>1891</v>
      </c>
    </row>
    <row r="12" spans="1:75" ht="342" x14ac:dyDescent="0.45">
      <c r="A12" s="5">
        <v>11</v>
      </c>
      <c r="B12" s="8" t="s">
        <v>1401</v>
      </c>
      <c r="C12" s="6" t="s">
        <v>1816</v>
      </c>
      <c r="D12" s="7" t="s">
        <v>9752</v>
      </c>
      <c r="E12" s="1" t="s">
        <v>1327</v>
      </c>
      <c r="F12" s="1" t="s">
        <v>6621</v>
      </c>
      <c r="G12" s="1"/>
      <c r="J12" s="1" t="s">
        <v>9753</v>
      </c>
      <c r="K12" s="2" t="s">
        <v>7136</v>
      </c>
      <c r="L12" s="2" t="s">
        <v>12224</v>
      </c>
      <c r="M12" s="1" t="s">
        <v>12114</v>
      </c>
      <c r="P12" s="7" t="s">
        <v>1241</v>
      </c>
      <c r="Q12" s="14" t="str">
        <f>INDEX($L:$L, MATCH("precise", $B:$B, 0))</f>
        <v>&lt;span class="w"&gt;&lt;b&gt;【599.precise：精密な, 正確な】&lt;/b&gt;&lt;/span&gt;
&lt;span class="ml"&gt;ラテン語に由来する語で、以下の2つの要素から成る。
&lt;span class="spacer"&gt;&lt;/span&gt;prae（前に）
caedere（切る）
&lt;span class="spacer"&gt;&lt;/span&gt;このまま日本語にすると「前もって切る」となる。これは、あらかじめ無駄な部分を切り落としておくことを表した。この余分な部分や曖昧な部分が一切ないということから、「正確な, 精密な」という意味になった。
&lt;div class="sample_image precise"&gt;&lt;/div&gt;&lt;/span&gt;</v>
      </c>
      <c r="R12" s="14" t="str">
        <f>INDEX($L:$L, MATCH("suicide", $B:$B, 0))</f>
        <v>&lt;span class="w"&gt;&lt;b&gt;【1360.suicide：自殺】&lt;/b&gt;&lt;/span&gt;
&lt;span class="ml"&gt;ラテン語に由来する語で、以下の3つの要素から成る。
&lt;span class="spacer"&gt;&lt;/span&gt;sui（自分自身の）
caedere（殺す, 切る）
ium（名詞化）
&lt;span class="spacer"&gt;&lt;/span&gt;このまま日本語にすると「自分自身を殺すこと」となり、そこから「自殺」という意味になる。
&lt;span class="spacer"&gt;&lt;/span&gt;ラテン語sui（自分自身の）は、印欧祖語*s(w)e-（自分自身）にさかのぼる。この印欧祖語からはselfも生まれている。
&lt;span class="spacer"&gt;&lt;/span&gt;またラテン語caedere（殺す, 切る）からは、decide（決断する）・precise（正確な）・concise（簡潔な）も生まれている。いずれも「切る」が核となっている。
&lt;span class="spacer"&gt;&lt;/span&gt;suicideは、self（自身を）＋cide（切る, 殺す）と考えればよい。&lt;/span&gt;</v>
      </c>
      <c r="S12" s="13" t="str">
        <f>INDEX($L:$L, MATCH("pesticide", $B:$B, 0))</f>
        <v>&lt;span class="w"&gt;&lt;b&gt;【1073.pesticide：殺虫剤】&lt;/b&gt;&lt;/span&gt;
&lt;span class="ml"&gt;現代英語で、以下の2つの要素から成る。
&lt;span class="spacer"&gt;&lt;/span&gt;pest（害虫）
cide（殺すもの）
&lt;span class="spacer"&gt;&lt;/span&gt;このまま日本語にすると「害虫を殺すもの」つまり「殺虫剤」という意味になる。&lt;/span&gt;</v>
      </c>
      <c r="AI12" s="15"/>
      <c r="AJ12" s="15"/>
      <c r="AK12" s="15"/>
      <c r="AL12" s="15"/>
      <c r="AU12" s="15"/>
      <c r="AV12" s="1" t="s">
        <v>1502</v>
      </c>
      <c r="AW12" s="2"/>
      <c r="AX12" s="2"/>
      <c r="AY12" s="2"/>
      <c r="AZ12" s="2"/>
      <c r="BG12" s="7" t="s">
        <v>1503</v>
      </c>
      <c r="BH12" s="1" t="s">
        <v>1947</v>
      </c>
      <c r="BI12" s="2" t="s">
        <v>1951</v>
      </c>
      <c r="BJ12" s="1" t="s">
        <v>1504</v>
      </c>
      <c r="BK12" s="1" t="s">
        <v>1952</v>
      </c>
      <c r="BL12" s="1" t="s">
        <v>1875</v>
      </c>
      <c r="BM12" s="2" t="s">
        <v>1953</v>
      </c>
      <c r="BN12" s="1" t="s">
        <v>1883</v>
      </c>
      <c r="BO12" s="2" t="s">
        <v>1954</v>
      </c>
    </row>
    <row r="13" spans="1:75" ht="409.6" x14ac:dyDescent="0.45">
      <c r="A13" s="5">
        <v>12</v>
      </c>
      <c r="B13" s="8" t="s">
        <v>1402</v>
      </c>
      <c r="C13" s="6" t="s">
        <v>1816</v>
      </c>
      <c r="D13" s="7" t="s">
        <v>9752</v>
      </c>
      <c r="E13" s="1" t="s">
        <v>1249</v>
      </c>
      <c r="F13" s="1" t="s">
        <v>1250</v>
      </c>
      <c r="G13" s="1"/>
      <c r="J13" s="1" t="s">
        <v>9753</v>
      </c>
      <c r="K13" s="2" t="s">
        <v>7175</v>
      </c>
      <c r="L13" s="4" t="s">
        <v>7957</v>
      </c>
      <c r="M13" s="1" t="s">
        <v>12115</v>
      </c>
      <c r="P13" s="7" t="s">
        <v>1241</v>
      </c>
      <c r="Q13" s="14" t="str">
        <f>INDEX($L:$L, MATCH("refer", $B:$B, 0))</f>
        <v>&lt;span class="w"&gt;&lt;b&gt;【102.refer：言及する, 参照する】&lt;/b&gt;&lt;/span&gt;
&lt;span class="ml"&gt;ラテン語に由来する語で、以下の2つの要素から成る。
&lt;span class="spacer"&gt;&lt;/span&gt;re（戻る）
ferre（運ぶ）
&lt;span class="spacer"&gt;&lt;/span&gt;このまま日本語にすると「運んで戻る」となる。離れた場所にある情報を取りに行き、それを運んで戻って来ることから「参照する」という意味になる。
&lt;span class="spacer"&gt;&lt;/span&gt;また別の場所へ行って再び元の場所に戻るというイメージから、会話の中である話題に立ち寄る＝何かに「言及する」という意味になる。
&lt;div class="sample_image refer"&gt;&lt;/div&gt;&lt;/span&gt;</v>
      </c>
      <c r="R13" s="14" t="str">
        <f>INDEX($L:$L, MATCH("prefer", $B:$B, 0))</f>
        <v>&lt;span class="w"&gt;&lt;b&gt;【123.prefer：～を好む】&lt;/b&gt;&lt;/span&gt;
&lt;span class="ml"&gt;ラテン語に由来する語で、以下の2つの要素から成る。
&lt;span class="spacer"&gt;&lt;/span&gt;prae（前に, 先に）
ferre（運ぶ）
&lt;span class="spacer"&gt;&lt;/span&gt;このまま日本語にすると「前に運ぶ」となる。他のものよりも前に出すことから、他よりも高く評価する、他のよりも何かを「好む」という意味になる。
&lt;div class="sample_image prefer"&gt;&lt;/div&gt;
&lt;span class="spacer"&gt;&lt;/span&gt;prefer A to B（AよりBを好む）では、比較の対象をtoで示す。これは「前へ運ぶ」が、何に対して前なのかを示すため。つまり、Bに対して（to B）Aを前に運ぶ（好む）ことを表している。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v>
      </c>
      <c r="S13" s="14" t="str">
        <f>INDEX($L:$L, MATCH("suffer", $B:$B, 0))</f>
        <v>&lt;span class="w"&gt;&lt;b&gt;【138.suffer：苦しむ, 患う】&lt;/b&gt;&lt;/span&gt;
&lt;span class="ml"&gt;ラテン語に由来する語で、以下の2つの要素から成る。
&lt;span class="spacer"&gt;&lt;/span&gt;sub（下に）
ferre（運ぶ）
&lt;span class="spacer"&gt;&lt;/span&gt;このまま日本語にすると「下に運ぶ」となる。もともとは、物理的に重いものがのしかかることを表したが、そこからその苦しみの表現へ発展し、苦痛を受けて「苦しむ」や病気を「患う」という意味になった。
&lt;div class="sample_image suffer"&gt;&lt;/div&gt;&lt;/span&gt;</v>
      </c>
      <c r="T13" s="14" t="str">
        <f>INDEX($L:$L, MATCH("differ", $B:$B, 0))</f>
        <v>&lt;span class="w"&gt;&lt;b&gt;【514.differ：異なる】&lt;/b&gt;&lt;/span&gt;
&lt;span class="ml"&gt;ラテン語に由来する語で、以下の2つの要素から成る。
&lt;span class="spacer"&gt;&lt;/span&gt;dis（離して）
ferre（運ぶ）
&lt;span class="spacer"&gt;&lt;/span&gt;このまま日本語にすると「離れて運ぶ」となる。もともとは別々の方向に運ぶというイメージ。そこから同じではない、つまり「異なる」という意味になる。&lt;/span&gt;</v>
      </c>
      <c r="U13" s="13" t="str">
        <f>INDEX($L:$L, MATCH("transfer", $B:$B, 0))</f>
        <v>&lt;span class="w"&gt;&lt;b&gt;【611.transfer：〜を移す, 乗り換える】&lt;/b&gt;&lt;/span&gt;
&lt;span class="ml"&gt;ラテン語に由来する語で、以下の2つの要素から成る。
&lt;span class="spacer"&gt;&lt;/span&gt;trans（越えて）
ferre（運ぶ）
&lt;span class="spacer"&gt;&lt;/span&gt;このまま日本語にすると「越えて運ぶ」となる。これは、ある場所から越えた向こう側へ運ぶイメージ。そこから、物や人を一つの状態・場所・手段から別の状態・場所・手段に「移す」という意味になる。
&lt;div class="sample_image transfer"&gt;&lt;/div&gt;&lt;/span&gt;</v>
      </c>
      <c r="V13" s="13" t="str">
        <f>INDEX($L:$L, MATCH("infer", $B:$B, 0))</f>
        <v>&lt;span class="w"&gt;&lt;b&gt;【1201.infer：〜を推論する, 推測する】&lt;/b&gt;&lt;/span&gt;
&lt;span class="ml"&gt;ラテン語に由来する語で、以下の2つの要素から成る。
&lt;span class="spacer"&gt;&lt;/span&gt;in（中に）
ferre（運ぶ）
&lt;span class="spacer"&gt;&lt;/span&gt;このまま日本語にすると「中に運ぶ」となる。既にある事柄を思考の中に持ち込んで結論を出すことから、既知の情報をもとに「推論する, 推測する」という意味になる。
&lt;div class="sample_image infer"&gt;&lt;/div&gt;&lt;/span&gt;</v>
      </c>
      <c r="W13" s="17" t="str">
        <f>INDEX($L:$L, MATCH("conference", $B:$B, 0))</f>
        <v>&lt;span class="w"&gt;&lt;b&gt;【461.conference：会議, 協議】&lt;/b&gt;&lt;/span&gt;
&lt;span class="ml"&gt;ラテン語に由来する語で、以下の2つの要素から成る。
&lt;span class="spacer"&gt;&lt;/span&gt;com（共に）
ferre（運ぶ）
&lt;span class="spacer"&gt;&lt;/span&gt;このまま日本語にすると「共に運ぶ」となる。これは、人々が意見や話題を持ち寄って集まるというイメージ。そこから、意見や問題を持ち寄って話し合う「会議, 協議」という意味になる。
&lt;div class="sample_image conference"&gt;&lt;/div&gt;&lt;/span&gt;</v>
      </c>
      <c r="X13" s="13" t="str">
        <f>INDEX($L:$L, MATCH("indifferent", $B:$B, 0))</f>
        <v>&lt;span class="w"&gt;&lt;b&gt;【1091.indifferent：無関心な, どちらでもいい】&lt;/b&gt;&lt;/span&gt;
&lt;span class="ml"&gt;ラテン語に由来する語で、以下の3つの要素から成る。
&lt;span class="spacer"&gt;&lt;/span&gt;in（否定）
dis（離れて）
ferre（運ぶ）
&lt;span class="spacer"&gt;&lt;/span&gt;different（異なる）に否定のinが付いたと考えればよい。興味を引くような違いがない、違いがあったとしても気にしないというイメージから「無関心な, どちらでもいい」という意味になる。&lt;/span&gt;</v>
      </c>
      <c r="AI13" s="15"/>
      <c r="AJ13" s="15"/>
      <c r="AK13" s="15"/>
      <c r="AL13" s="15"/>
      <c r="AN13" s="15"/>
      <c r="AO13" s="15"/>
      <c r="AP13" s="15"/>
      <c r="AU13" s="15"/>
      <c r="AV13" s="1" t="s">
        <v>1502</v>
      </c>
      <c r="AW13" s="2"/>
      <c r="AX13" s="2"/>
      <c r="AY13" s="2"/>
      <c r="AZ13" s="2"/>
      <c r="BB13" s="2"/>
      <c r="BC13" s="2"/>
      <c r="BD13" s="2"/>
      <c r="BG13" s="7" t="s">
        <v>1503</v>
      </c>
      <c r="BH13" s="1" t="s">
        <v>1947</v>
      </c>
      <c r="BI13" s="2" t="s">
        <v>7137</v>
      </c>
      <c r="BJ13" s="1" t="s">
        <v>1872</v>
      </c>
      <c r="BK13" s="1" t="s">
        <v>1955</v>
      </c>
      <c r="BL13" s="1" t="s">
        <v>1875</v>
      </c>
      <c r="BM13" s="1" t="s">
        <v>1956</v>
      </c>
      <c r="BN13" s="1" t="s">
        <v>1877</v>
      </c>
      <c r="BO13" s="2" t="s">
        <v>1957</v>
      </c>
    </row>
    <row r="14" spans="1:75" ht="180" x14ac:dyDescent="0.45">
      <c r="A14" s="5">
        <v>13</v>
      </c>
      <c r="B14" s="8" t="s">
        <v>1403</v>
      </c>
      <c r="C14" s="6" t="s">
        <v>1816</v>
      </c>
      <c r="D14" s="7" t="s">
        <v>9752</v>
      </c>
      <c r="E14" s="1" t="s">
        <v>1251</v>
      </c>
      <c r="F14" s="1" t="s">
        <v>1252</v>
      </c>
      <c r="G14" s="1"/>
      <c r="J14" s="1" t="s">
        <v>9753</v>
      </c>
      <c r="K14" s="2" t="s">
        <v>7138</v>
      </c>
      <c r="L14" s="4" t="s">
        <v>7958</v>
      </c>
      <c r="M14" s="1" t="s">
        <v>12116</v>
      </c>
      <c r="P14" s="7" t="s">
        <v>1241</v>
      </c>
      <c r="Q14" s="14" t="str">
        <f>INDEX($L:$L, MATCH("acquire", $B:$B, 0))</f>
        <v>&lt;span class="w"&gt;&lt;b&gt;【315.acquire：～を得る, ～を獲得する】&lt;/b&gt;&lt;/span&gt;
&lt;span class="ml"&gt;ラテン語に由来する語で、以下の2つの要素から成る。
&lt;span class="spacer"&gt;&lt;/span&gt;ad（～へ）
quaerere（追い求める）
&lt;span class="spacer"&gt;&lt;/span&gt;このまま日本語にすると「〜へ追い求める」となる。acが求める物の方向へ突き進むイメージで、ただ追い求めるだけではなく、その結果の「得る, 獲得する」という意味にまで至る。
&lt;div class="sample_image acquire"&gt;&lt;/div&gt;&lt;/span&gt;</v>
      </c>
      <c r="R14" s="13" t="str">
        <f>INDEX($L:$L, MATCH("conquer", $B:$B, 0))</f>
        <v>&lt;span class="w"&gt;&lt;b&gt;【1404.conquer：〜を征服する, 〜を克服する】&lt;/b&gt;&lt;/span&gt;
&lt;span class="ml"&gt;ラテン語に由来する語で、以下の2つの要素から成る。
&lt;span class="spacer"&gt;&lt;/span&gt;com（強意）
quaerere（求める）
&lt;span class="spacer"&gt;&lt;/span&gt;このまま日本語にすると「徹底的に探し求める」となる。そこから、苦労して探し求めて自分のものにする、多大な努力をして獲得するという意味合いに変化し、やがて武力で「征服する」や困難を乗り越えて「克服する」という意味になった。
&lt;div class="sample_image conquer"&gt;&lt;/div&gt;&lt;/span&gt;</v>
      </c>
      <c r="S14" s="13" t="str">
        <f>INDEX($L:$L, MATCH("quest", $B:$B, 0))</f>
        <v>&lt;span class="w"&gt;&lt;b&gt;【1341.quest：探求】&lt;/b&gt;&lt;/span&gt;
&lt;span class="ml"&gt;ラテン語quaerere（探求する, 尋ねる）に由来する。
&lt;span class="spacer"&gt;&lt;/span&gt;このラテン語からはquest. question, requestといった名詞が生まれている。これら3つの核は「求めること」。questは、何かを探し求めて進むことから「探求（探し求める旅）」という意味になった。
&lt;span class="spacer"&gt;&lt;/span&gt;questionは答えを求めることから「疑問」に、requestは繰り返し（re）求めることから「要求」という意味になった。&lt;/span&gt;</v>
      </c>
      <c r="T14" s="13" t="str">
        <f>INDEX($L:$L, MATCH("request", $B:$B, 0))</f>
        <v>&lt;span class="w"&gt;&lt;b&gt;【504.request：〜に（…するように）頼む, 〜を要請する】&lt;/b&gt;&lt;/span&gt;
&lt;span class="ml"&gt;ラテン語に由来する語で、以下の2つの要素から成る。
&lt;span class="spacer"&gt;&lt;/span&gt;re（再び）
quaerere（求める）
&lt;span class="spacer"&gt;&lt;/span&gt;このまま日本語にすると「再び求める」となる。相手に繰り返し求めることから、相手への依頼＝「〜に頼む, 要請する」という意味になる。
&lt;span class="spacer"&gt;&lt;/span&gt;requestとrequireは同じ語源に遡る。
&lt;span class="spacer"&gt;&lt;/span&gt;request：依頼
require：規則や条件に基づく要求&lt;/span&gt;</v>
      </c>
      <c r="AU14" s="15"/>
      <c r="AV14" s="1" t="s">
        <v>1502</v>
      </c>
      <c r="BG14" s="7" t="s">
        <v>1503</v>
      </c>
      <c r="BH14" s="1" t="s">
        <v>1947</v>
      </c>
      <c r="BI14" s="2" t="s">
        <v>1958</v>
      </c>
      <c r="BJ14" s="1" t="s">
        <v>1959</v>
      </c>
      <c r="BK14" s="1" t="s">
        <v>1960</v>
      </c>
      <c r="BL14" s="1" t="s">
        <v>1875</v>
      </c>
      <c r="BM14" s="2" t="s">
        <v>1961</v>
      </c>
      <c r="BN14" s="1" t="s">
        <v>1877</v>
      </c>
      <c r="BO14" s="2" t="s">
        <v>1962</v>
      </c>
    </row>
    <row r="15" spans="1:75" ht="90" x14ac:dyDescent="0.45">
      <c r="A15" s="5">
        <v>14</v>
      </c>
      <c r="B15" s="8" t="s">
        <v>52</v>
      </c>
      <c r="C15" s="6" t="s">
        <v>1816</v>
      </c>
      <c r="D15" s="7" t="s">
        <v>9752</v>
      </c>
      <c r="E15" s="1" t="s">
        <v>52</v>
      </c>
      <c r="F15" s="1"/>
      <c r="G15" s="1"/>
      <c r="J15" s="1" t="s">
        <v>9753</v>
      </c>
      <c r="K15" s="2" t="s">
        <v>7139</v>
      </c>
      <c r="L15" s="9" t="s">
        <v>7959</v>
      </c>
      <c r="P15" s="7" t="s">
        <v>1241</v>
      </c>
      <c r="AI15" s="15"/>
      <c r="AV15" s="1" t="s">
        <v>1502</v>
      </c>
      <c r="AW15" s="2"/>
      <c r="BG15" s="7" t="s">
        <v>1503</v>
      </c>
      <c r="BH15" s="1" t="s">
        <v>1872</v>
      </c>
      <c r="BI15" s="1" t="s">
        <v>1963</v>
      </c>
      <c r="BJ15" s="1" t="s">
        <v>1875</v>
      </c>
      <c r="BK15" s="1" t="s">
        <v>1964</v>
      </c>
      <c r="BL15" s="1" t="s">
        <v>1877</v>
      </c>
      <c r="BM15" s="2" t="s">
        <v>1965</v>
      </c>
    </row>
    <row r="16" spans="1:75" ht="216" x14ac:dyDescent="0.45">
      <c r="A16" s="5">
        <v>15</v>
      </c>
      <c r="B16" s="8" t="s">
        <v>53</v>
      </c>
      <c r="C16" s="6" t="s">
        <v>1816</v>
      </c>
      <c r="D16" s="7" t="s">
        <v>9752</v>
      </c>
      <c r="E16" s="1" t="s">
        <v>53</v>
      </c>
      <c r="F16" s="1"/>
      <c r="G16" s="1"/>
      <c r="J16" s="1" t="s">
        <v>9753</v>
      </c>
      <c r="K16" s="2" t="s">
        <v>7176</v>
      </c>
      <c r="L16" s="9" t="s">
        <v>11605</v>
      </c>
      <c r="P16" s="7" t="s">
        <v>1241</v>
      </c>
      <c r="AI16" s="15"/>
      <c r="AU16" s="15"/>
      <c r="AV16" s="1" t="s">
        <v>1502</v>
      </c>
      <c r="AW16" s="2"/>
      <c r="BG16" s="7" t="s">
        <v>1503</v>
      </c>
      <c r="BH16" s="1" t="s">
        <v>2254</v>
      </c>
      <c r="BI16" s="2" t="s">
        <v>2262</v>
      </c>
      <c r="BJ16" s="1" t="s">
        <v>1947</v>
      </c>
      <c r="BK16" s="2" t="s">
        <v>1966</v>
      </c>
      <c r="BL16" s="1" t="s">
        <v>1967</v>
      </c>
      <c r="BM16" s="1" t="s">
        <v>1968</v>
      </c>
      <c r="BN16" s="1" t="s">
        <v>1959</v>
      </c>
      <c r="BO16" s="1" t="s">
        <v>1969</v>
      </c>
      <c r="BP16" s="1" t="s">
        <v>1875</v>
      </c>
      <c r="BQ16" s="2" t="s">
        <v>1970</v>
      </c>
      <c r="BR16" s="1" t="s">
        <v>1877</v>
      </c>
      <c r="BS16" s="2" t="s">
        <v>1971</v>
      </c>
    </row>
    <row r="17" spans="1:71" ht="252" x14ac:dyDescent="0.45">
      <c r="A17" s="5">
        <v>16</v>
      </c>
      <c r="B17" s="8" t="s">
        <v>54</v>
      </c>
      <c r="C17" s="6" t="s">
        <v>1816</v>
      </c>
      <c r="D17" s="7" t="s">
        <v>9752</v>
      </c>
      <c r="E17" s="1" t="s">
        <v>54</v>
      </c>
      <c r="F17" s="1"/>
      <c r="G17" s="1"/>
      <c r="J17" s="1" t="s">
        <v>9753</v>
      </c>
      <c r="K17" s="2" t="s">
        <v>7140</v>
      </c>
      <c r="L17" s="4" t="s">
        <v>7960</v>
      </c>
      <c r="M17" s="1" t="s">
        <v>12117</v>
      </c>
      <c r="P17" s="7" t="s">
        <v>1241</v>
      </c>
      <c r="Q17" s="14" t="str">
        <f>INDEX($L:$L, MATCH("attend", $B:$B, 0))</f>
        <v>&lt;span class="w"&gt;&lt;b&gt;【205.attend：～を世話をする, ～を対処する, ～を出席する】&lt;/b&gt;&lt;/span&gt;
&lt;span class="ml"&gt;ラテン語に由来する語で、以下の2つの要素から成る。
&lt;span class="spacer"&gt;&lt;/span&gt;ad（～へ）
tendere（伸ばす）
&lt;span class="spacer"&gt;&lt;/span&gt;このまま日本語にすると「何かへ伸ばす」となる。心や労力を相手へ伸ばすことから「世話をする」という意味になる。
&lt;span class="spacer"&gt;&lt;/span&gt;また、世話をするために付き添う＝一緒にどこかへ行くということから発展して、「出席する」という意味になる。
&lt;span class="spacer"&gt;&lt;/span&gt;そして労力を問題へ伸ばすことから「対処する」という意味になる。
&lt;div class="sample_image attend"&gt;&lt;/div&gt;&lt;/span&gt;</v>
      </c>
      <c r="R17" s="14" t="str">
        <f>INDEX($L:$L, MATCH("extend", $B:$B, 0))</f>
        <v>&lt;span class="w"&gt;&lt;b&gt;【339.extend：～を伸ばす, ～を延ばす】&lt;/b&gt;&lt;/span&gt;
&lt;span class="ml"&gt;ラテン語に由来する語で、以下の2つの要素から成る。
&lt;span class="spacer"&gt;&lt;/span&gt;ex（外に）
tendere（伸ばす）
&lt;span class="spacer"&gt;&lt;/span&gt;このまま日本語にすると「外に伸ばす」となる。ここから「伸ばす, 延ばす」という意味になる。&lt;/span&gt;</v>
      </c>
      <c r="S17" s="14" t="str">
        <f>INDEX($L:$L, MATCH("intend", $B:$B, 0))</f>
        <v>&lt;span class="w"&gt;&lt;b&gt;【432.intend：〜を意図する】&lt;/b&gt;&lt;/span&gt;
&lt;span class="ml"&gt;ラテン語に由来する語で、以下の2つの要素から成る。
&lt;span class="spacer"&gt;&lt;/span&gt;in（中に）
tendere（伸ばす）
&lt;span class="spacer"&gt;&lt;/span&gt;このまま日本語にすると「中に伸ばす」となる。これは、対象の中に心や注意を伸ばすイメージ。そこから、目的に心や注意を向ける＝「意図する」という意味になる。
&lt;div class="sample_image intend"&gt;&lt;/div&gt;&lt;/span&gt;</v>
      </c>
      <c r="T17" s="14" t="str">
        <f>INDEX($L:$L, MATCH("pretend", $B:$B, 0))</f>
        <v>&lt;span class="w"&gt;&lt;b&gt;【724.pretend：ふりをする】&lt;/b&gt;&lt;/span&gt;
&lt;span class="ml"&gt;ラテン語に由来する語で、以下の2つの要素から成る。
&lt;span class="spacer"&gt;&lt;/span&gt;prae（前に）
tendere（伸ばす）
&lt;span class="spacer"&gt;&lt;/span&gt;このまま日本語にすると「前に伸ばす」となる。この動きから、相手の前に何かを差し出す・提示するとなる。さらに自分の中にある真実や本心を隠すために、偽りの理由や態度を前に差し出す、つまり「〜のふりをする」という意味になった。
&lt;span class="spacer"&gt;&lt;/span&gt;pretend to do（〜するふりをする）
これはto do（〜する）を相手の前に出すけど、自分はそれを実際には行わないというイメージ。
&lt;div class="sample_image pretend"&gt;&lt;/div&gt;&lt;/span&gt;</v>
      </c>
      <c r="U17" s="14" t="str">
        <f>INDEX($L:$L, MATCH("tense", $B:$B, 0))</f>
        <v>&lt;span class="w"&gt;&lt;b&gt;【1187.tense：緊張した, 張り詰めた】&lt;/b&gt;&lt;/span&gt;
&lt;span class="ml"&gt;ラテン語tendere（伸ばす, 張る）に由来する。
&lt;span class="spacer"&gt;&lt;/span&gt;この語の核は「糸やロープが両端から引っ張られている状態」。この物理的な緊張から、心理的な緊張状態や状況の緊張状態にも広がって「張り詰めた, 緊張した」という意味になった。&lt;/span&gt;
&lt;div class="animation tense"&gt;&lt;/div&gt;</v>
      </c>
      <c r="V17" s="14" t="str">
        <f>INDEX($L:$L, MATCH("intense", $B:$B, 0))</f>
        <v>&lt;span class="w"&gt;&lt;b&gt;【691.intense：強烈な, 激しい】&lt;/b&gt;&lt;/span&gt;
&lt;span class="ml"&gt;ラテン語に由来する語で、以下の2つの要素から成る。
&lt;span class="spacer"&gt;&lt;/span&gt;in（方向）
tendere（伸ばす）
&lt;span class="spacer"&gt;&lt;/span&gt;このまま日本語にすると「ある方向へ伸ばす」となる。もともとは、物理的に弓や弦などが限界まで伸ばされた状態を表していた。
&lt;span class="spacer"&gt;&lt;/span&gt;ここから比喩的に程度を表す言葉へと変化し、限界まで張り詰めた状態から「強烈な, 激しい」という意味になった。
&lt;div class="sample_image intense"&gt;&lt;/div&gt;&lt;/span&gt;</v>
      </c>
      <c r="AI17" s="15"/>
      <c r="AU17" s="15"/>
      <c r="AV17" s="1" t="s">
        <v>1502</v>
      </c>
      <c r="AW17" s="2"/>
      <c r="BG17" s="7" t="s">
        <v>1503</v>
      </c>
      <c r="BH17" s="1" t="s">
        <v>1947</v>
      </c>
      <c r="BI17" s="2" t="s">
        <v>1972</v>
      </c>
      <c r="BJ17" s="1" t="s">
        <v>1959</v>
      </c>
      <c r="BK17" s="1" t="s">
        <v>1973</v>
      </c>
      <c r="BL17" s="1" t="s">
        <v>1875</v>
      </c>
      <c r="BM17" s="2" t="s">
        <v>1974</v>
      </c>
      <c r="BN17" s="1" t="s">
        <v>1877</v>
      </c>
      <c r="BO17" s="1" t="s">
        <v>1975</v>
      </c>
    </row>
    <row r="18" spans="1:71" ht="252" x14ac:dyDescent="0.45">
      <c r="A18" s="5">
        <v>17</v>
      </c>
      <c r="B18" s="8" t="s">
        <v>55</v>
      </c>
      <c r="C18" s="6" t="s">
        <v>1816</v>
      </c>
      <c r="D18" s="7" t="s">
        <v>9752</v>
      </c>
      <c r="E18" s="1" t="s">
        <v>46</v>
      </c>
      <c r="F18" s="1" t="s">
        <v>8845</v>
      </c>
      <c r="G18" s="1"/>
      <c r="J18" s="1" t="s">
        <v>9753</v>
      </c>
      <c r="K18" s="2" t="s">
        <v>7177</v>
      </c>
      <c r="L18" s="3" t="s">
        <v>8585</v>
      </c>
      <c r="M18" s="1" t="s">
        <v>12118</v>
      </c>
      <c r="P18" s="7" t="s">
        <v>1241</v>
      </c>
      <c r="Q18" s="14" t="str">
        <f>INDEX($L:$L, MATCH("certain", $B:$B, 0))</f>
        <v>&lt;span class="w"&gt;&lt;b&gt;【85.certain：確信して, 確かな, ある～】&lt;/b&gt;&lt;/span&gt;
&lt;span class="ml"&gt;ラテン語cernere（ふるいにかける）に由来する。
&lt;span class="spacer"&gt;&lt;/span&gt;ふるいにかけると、落ちていくものと残るものが完全に決定される。ここから何かが確定していて疑いようがない＝「確信している, 確かな」という意味になる。
&lt;span class="spacer"&gt;&lt;/span&gt;また不定冠詞aとcertainがセットになったa certain ~で「ある～」となる。これは、事実は確定している（＝certain）が、読み手や聞き手にはその情報を説明されていない（＝a）ということ。
&lt;div class="sample_image certain"&gt;&lt;/div&gt;&lt;/span&gt;</v>
      </c>
      <c r="R18" s="14" t="str">
        <f>INDEX($L:$L, MATCH("discrimination", $B:$B, 0))</f>
        <v>&lt;span class="w"&gt;&lt;b&gt;【865.discrimination：差別, 区別】&lt;/b&gt;&lt;/span&gt;
&lt;span class="ml"&gt;ラテン語に由来する語で、以下の3つの要素から成る。
&lt;span class="spacer"&gt;&lt;/span&gt;dis（離れて）
cernere（ふるいにかける）
io（名詞化）
&lt;span class="spacer"&gt;&lt;/span&gt;このまま日本語にすると「ふるいにかけて離すこと」となる。もともとは「区別」を意味していたが、近代において、特定の集団に対する不当な区別を表すようになり、不当な「差別」という意味にもなった。
&lt;div class="sample_image discrimination"&gt;&lt;/div&gt;&lt;/span&gt;</v>
      </c>
      <c r="AI18" s="15"/>
      <c r="AJ18" s="15"/>
      <c r="AV18" s="1" t="s">
        <v>1502</v>
      </c>
      <c r="AW18" s="2"/>
      <c r="AX18" s="2"/>
      <c r="BG18" s="7" t="s">
        <v>1503</v>
      </c>
      <c r="BH18" s="1" t="s">
        <v>1976</v>
      </c>
      <c r="BI18" s="1" t="s">
        <v>1977</v>
      </c>
      <c r="BJ18" s="1" t="s">
        <v>1947</v>
      </c>
      <c r="BK18" s="2" t="s">
        <v>1979</v>
      </c>
      <c r="BL18" s="1" t="s">
        <v>1980</v>
      </c>
      <c r="BM18" s="1" t="s">
        <v>1981</v>
      </c>
      <c r="BN18" s="1" t="s">
        <v>1959</v>
      </c>
      <c r="BO18" s="1" t="s">
        <v>1982</v>
      </c>
      <c r="BP18" s="1" t="s">
        <v>1875</v>
      </c>
      <c r="BQ18" s="2" t="s">
        <v>1983</v>
      </c>
      <c r="BR18" s="1" t="s">
        <v>1877</v>
      </c>
      <c r="BS18" s="2" t="s">
        <v>1984</v>
      </c>
    </row>
    <row r="19" spans="1:71" ht="144" x14ac:dyDescent="0.45">
      <c r="A19" s="5">
        <v>18</v>
      </c>
      <c r="B19" s="8" t="s">
        <v>56</v>
      </c>
      <c r="C19" s="6" t="s">
        <v>1816</v>
      </c>
      <c r="D19" s="7" t="s">
        <v>9752</v>
      </c>
      <c r="E19" s="1" t="s">
        <v>1327</v>
      </c>
      <c r="F19" s="1" t="s">
        <v>8846</v>
      </c>
      <c r="G19" s="1"/>
      <c r="J19" s="1" t="s">
        <v>9753</v>
      </c>
      <c r="K19" s="2" t="s">
        <v>7178</v>
      </c>
      <c r="L19" s="3" t="s">
        <v>10452</v>
      </c>
      <c r="M19" s="1" t="s">
        <v>12119</v>
      </c>
      <c r="P19" s="7" t="s">
        <v>1241</v>
      </c>
      <c r="Q19" s="14" t="str">
        <f>INDEX($L:$L, MATCH("script", $B:$B, 0))</f>
        <v>&lt;span class="w"&gt;&lt;b&gt;【1244.script：台本, 筆跡】&lt;/b&gt;&lt;/span&gt;
&lt;span class="ml"&gt;ラテン語scribere（書く）の過去分詞scriptum（書かれたもの）に由来する。
&lt;span class="spacer"&gt;&lt;/span&gt;この語の核は「書かれたもの」。そこから手書きの「筆跡」や演劇の「台本」といった意味になる。&lt;/span&gt;</v>
      </c>
      <c r="R19" s="15"/>
      <c r="S19" s="15"/>
      <c r="AI19" s="15"/>
      <c r="AU19" s="15"/>
      <c r="AV19" s="1" t="s">
        <v>1502</v>
      </c>
      <c r="AW19" s="2"/>
      <c r="BG19" s="7" t="s">
        <v>1503</v>
      </c>
      <c r="BH19" s="1" t="s">
        <v>2034</v>
      </c>
      <c r="BI19" s="2" t="s">
        <v>1985</v>
      </c>
      <c r="BJ19" s="1" t="s">
        <v>1959</v>
      </c>
      <c r="BK19" s="1" t="s">
        <v>1986</v>
      </c>
      <c r="BL19" s="1" t="s">
        <v>1875</v>
      </c>
      <c r="BM19" s="2" t="s">
        <v>1987</v>
      </c>
    </row>
    <row r="20" spans="1:71" ht="162" x14ac:dyDescent="0.45">
      <c r="A20" s="5">
        <v>19</v>
      </c>
      <c r="B20" s="8" t="s">
        <v>57</v>
      </c>
      <c r="C20" s="6" t="s">
        <v>1816</v>
      </c>
      <c r="D20" s="7" t="s">
        <v>9752</v>
      </c>
      <c r="E20" s="1" t="s">
        <v>27</v>
      </c>
      <c r="F20" s="1" t="s">
        <v>8847</v>
      </c>
      <c r="G20" s="1"/>
      <c r="J20" s="1" t="s">
        <v>9753</v>
      </c>
      <c r="K20" s="2" t="s">
        <v>7179</v>
      </c>
      <c r="L20" s="3" t="s">
        <v>7961</v>
      </c>
      <c r="M20" s="1" t="s">
        <v>12120</v>
      </c>
      <c r="P20" s="7" t="s">
        <v>1241</v>
      </c>
      <c r="Q20" s="14" t="str">
        <f>INDEX($L:$L, MATCH("evolve", $B:$B, 0))</f>
        <v>&lt;span class="w"&gt;&lt;b&gt;【323.evolve：進化する, 発展する】&lt;/b&gt;&lt;/span&gt;
&lt;span class="ml"&gt;ラテン語に由来する語で、以下の2つの要素から成る。
&lt;span class="spacer"&gt;&lt;/span&gt;ex（外へ）
volvere（巻く, 回す, 転がす）
&lt;span class="spacer"&gt;&lt;/span&gt;この語の核は「巻かれたものを外に転がして広げる」というイメージ。巻物を外に広げるように物事が広がっていく、展開していく。ここから「発展する, 進化する」という意味になる。
&lt;div class="sample_image evolve"&gt;&lt;/div&gt;&lt;/span&gt;</v>
      </c>
      <c r="R20" s="13" t="str">
        <f>INDEX($L:$L, MATCH("revolution", $B:$B, 0))</f>
        <v>&lt;span class="w"&gt;&lt;b&gt;【277.revolution：革命, 回転, 公転】&lt;/b&gt;&lt;/span&gt;
&lt;span class="ml"&gt;ラテン語に由来する語で、以下の3つの要素から成る。
&lt;span class="spacer"&gt;&lt;/span&gt;re（再び）
volvere（巻く, 回す, 転がす）
io（名詞化）
&lt;span class="spacer"&gt;&lt;/span&gt;このまま日本語にすると「再び回すこと」となる。繰り返し回転することから、天体の「公転」という意味になる。また天体にかかわらず一般的な「回転」、さらに社会がガラッとひっくり返る「革命」という意味にもなる。
&lt;div class="sample_image revolution"&gt;&lt;/div&gt;&lt;/span&gt;</v>
      </c>
      <c r="AI20" s="15"/>
      <c r="AU20" s="15"/>
      <c r="AV20" s="1" t="s">
        <v>1502</v>
      </c>
      <c r="AW20" s="2"/>
      <c r="BG20" s="7" t="s">
        <v>1503</v>
      </c>
      <c r="BH20" s="1" t="s">
        <v>1947</v>
      </c>
      <c r="BI20" s="2" t="s">
        <v>7558</v>
      </c>
      <c r="BJ20" s="1" t="s">
        <v>1959</v>
      </c>
      <c r="BK20" s="1" t="s">
        <v>1988</v>
      </c>
      <c r="BL20" s="1" t="s">
        <v>1875</v>
      </c>
      <c r="BM20" s="2" t="s">
        <v>1989</v>
      </c>
    </row>
    <row r="21" spans="1:71" ht="216" x14ac:dyDescent="0.45">
      <c r="A21" s="5">
        <v>20</v>
      </c>
      <c r="B21" s="8" t="s">
        <v>58</v>
      </c>
      <c r="C21" s="6" t="s">
        <v>1816</v>
      </c>
      <c r="D21" s="7" t="s">
        <v>9752</v>
      </c>
      <c r="E21" s="1" t="s">
        <v>1251</v>
      </c>
      <c r="F21" s="1" t="s">
        <v>6797</v>
      </c>
      <c r="G21" s="1"/>
      <c r="J21" s="1" t="s">
        <v>9753</v>
      </c>
      <c r="K21" s="2" t="s">
        <v>7180</v>
      </c>
      <c r="L21" s="4" t="s">
        <v>7962</v>
      </c>
      <c r="M21" s="1" t="s">
        <v>12113</v>
      </c>
      <c r="P21" s="7" t="s">
        <v>1241</v>
      </c>
      <c r="Q21" s="14" t="str">
        <f>INDEX($L:$L, MATCH("produce", $B:$B, 0))</f>
        <v>&lt;span class="w"&gt;&lt;b&gt;【10.produce：～を生産する】&lt;/b&gt;&lt;/span&gt;
&lt;span class="ml"&gt;ラテン語に由来する語で、以下の2つの要素からなる。
&lt;span class="spacer"&gt;&lt;/span&gt;pro（前に）
decere（導く）
&lt;span class="spacer"&gt;&lt;/span&gt;このまま日本語にすると「前に導く」となる。目の前にないものを相手の前に導き出すというイメージから「何かを生産する」という意味になる。&lt;/span&gt;</v>
      </c>
      <c r="R21" s="14" t="str">
        <f>INDEX($L:$L, MATCH("induce", $B:$B, 0))</f>
        <v>&lt;span class="w"&gt;&lt;b&gt;【1405.induce：〜を引き起こす, 〜を説得する】&lt;/b&gt;&lt;/span&gt;
&lt;span class="ml"&gt;ラテン語に由来する語で、以下の2つの要素から成る。
&lt;span class="spacer"&gt;&lt;/span&gt;in（中に）
ducere（導く）
&lt;span class="spacer"&gt;&lt;/span&gt;このまま日本語にすると「中に導く」となる。特定の考えや行動の中へと人を導くことから「説得する」という意味に、特定の状態へと事態を導くことから「引き起こす」という意味になる。
&lt;div class="sample_image induce"&gt;&lt;/div&gt;&lt;/span&gt;</v>
      </c>
      <c r="S21" s="14" t="str">
        <f>INDEX($L:$L, MATCH("reproduce", $B:$B, 0))</f>
        <v>&lt;span class="w"&gt;&lt;b&gt;【917.reproduce：〜を複製する, 〜を繁殖させる】&lt;/b&gt;&lt;/span&gt;
&lt;span class="ml"&gt;近代英語に由来する語で、以下の2つの要素から成る。
&lt;span class="spacer"&gt;&lt;/span&gt;re（再び）
produce（生産する） 
&lt;span class="spacer"&gt;&lt;/span&gt;このまま日本語にすると「再び生産する」となる。既に存在するオリジナルをもとに再び生産することから、何かを「複製する」という意味になる。また生物学においては、遺伝子を複製して「繁殖させる」という意味になる。&lt;/span&gt;</v>
      </c>
      <c r="T21" s="14" t="str">
        <f>INDEX($L:$L, MATCH("educate", $B:$B, 0))</f>
        <v>&lt;span class="w"&gt;&lt;b&gt;【403.educate：〜を教育する】&lt;/b&gt;&lt;/span&gt;
&lt;span class="ml"&gt;ラテン語に由来する語で、以下の2つの要素から成る。
&lt;span class="spacer"&gt;&lt;/span&gt;ex（外に）
ducere（導く）
&lt;span class="spacer"&gt;&lt;/span&gt;このまま日本語にすると「外へ導く」となる。これはもともと内側にあるものを外へ引き出すイメージから、知能や能力を引き出して成長させることを表し、「教育する」という意味になる。&lt;/span&gt;</v>
      </c>
      <c r="U21" s="14" t="str">
        <f>INDEX($L:$L, MATCH("conduct", $B:$B, 0))</f>
        <v>&lt;span class="w"&gt;&lt;b&gt;【210.conduct：実施する, 導く】&lt;/b&gt;&lt;/span&gt;
&lt;span class="ml"&gt;ラテン語に由来する語で、以下の2つの要素から成る。
&lt;span class="spacer"&gt;&lt;/span&gt;com（共に）
ducere（導く）
&lt;span class="spacer"&gt;&lt;/span&gt;このまま日本語にすると「共に導く」となる。ある物事が行われるように導いていくイメージから「実施する, 導く」という意味になる。
&lt;div class="sample_image conduct"&gt;&lt;/div&gt;&lt;/span&gt;</v>
      </c>
      <c r="AU21" s="15"/>
      <c r="AV21" s="1" t="s">
        <v>1502</v>
      </c>
      <c r="BG21" s="7" t="s">
        <v>1503</v>
      </c>
      <c r="BH21" s="1" t="s">
        <v>1947</v>
      </c>
      <c r="BI21" s="2" t="s">
        <v>1990</v>
      </c>
      <c r="BJ21" s="1" t="s">
        <v>1959</v>
      </c>
      <c r="BK21" s="1" t="s">
        <v>1991</v>
      </c>
      <c r="BL21" s="1" t="s">
        <v>1875</v>
      </c>
      <c r="BM21" s="2" t="s">
        <v>2479</v>
      </c>
      <c r="BN21" s="1" t="s">
        <v>1877</v>
      </c>
      <c r="BO21" s="2" t="s">
        <v>1992</v>
      </c>
    </row>
    <row r="22" spans="1:71" ht="306" x14ac:dyDescent="0.45">
      <c r="A22" s="5">
        <v>21</v>
      </c>
      <c r="B22" s="8" t="s">
        <v>59</v>
      </c>
      <c r="C22" s="6" t="s">
        <v>1816</v>
      </c>
      <c r="D22" s="7" t="s">
        <v>9752</v>
      </c>
      <c r="E22" s="1" t="s">
        <v>1327</v>
      </c>
      <c r="F22" s="1" t="s">
        <v>4312</v>
      </c>
      <c r="G22" s="1"/>
      <c r="J22" s="1" t="s">
        <v>9753</v>
      </c>
      <c r="K22" s="2" t="s">
        <v>7181</v>
      </c>
      <c r="L22" s="4" t="s">
        <v>7963</v>
      </c>
      <c r="M22" s="1" t="s">
        <v>12121</v>
      </c>
      <c r="P22" s="7" t="s">
        <v>1241</v>
      </c>
      <c r="Q22" s="13" t="str">
        <f>INDEX($L:$L, MATCH("assign", $B:$B, 0))</f>
        <v>&lt;span class="w"&gt;&lt;b&gt;【739.assign：〜を割り当てる】&lt;/b&gt;&lt;/span&gt;
&lt;span class="ml"&gt;ラテン語に由来する語で、以下の2つの要素から成る。
&lt;span class="spacer"&gt;&lt;/span&gt;ad（〜へ）
signum（印）から派生したsignare（印をつける）
&lt;span class="spacer"&gt;&lt;/span&gt;このまま日本語にすると「〜へ印をつける」となる。印（サイン）をつけて、財産を割り当てたり、誰かに任務を割り当てたりすることから、何かに対してあるものを「割り当てる」という意味になる。
&lt;div class="sample_image assign"&gt;&lt;/div&gt;&lt;/span&gt;</v>
      </c>
      <c r="R22" s="14" t="str">
        <f>INDEX($L:$L, MATCH("signature", $B:$B, 0))</f>
        <v>&lt;span class="w"&gt;&lt;b&gt;【1365.signature：署名, 特徴】&lt;/b&gt;&lt;/span&gt;
&lt;span class="ml"&gt;ラテン語に由来する語で、以下の2つの要素から成る。
&lt;span class="spacer"&gt;&lt;/span&gt;signare（印を付ける, 署名する）
ura（名詞化）
&lt;span class="spacer"&gt;&lt;/span&gt;もともとは、所有者が誰かや、あるものが本物であることを示すために、何かに印をつける行為そのものを表した。しかし次第に印をつけることから、その結果として残された印自体へと焦点が移り、文書が本物であることを証明する手書きの「署名」という意味になった。
&lt;span class="spacer"&gt;&lt;/span&gt;また署名はその人にしか書けない固有の印であることからから意味が発展して、特定の人や物を象徴するような、際立った「特徴」という意味にもなった。&lt;/span&gt;</v>
      </c>
      <c r="S22" s="14" t="str">
        <f>INDEX($L:$L, MATCH("significant", $B:$B, 0))</f>
        <v>&lt;span class="w"&gt;&lt;b&gt;【185.significant：重要な, 重大な, 意義深い】&lt;/b&gt;&lt;/span&gt;
&lt;span class="ml"&gt;ラテン語に由来する語で、以下の2つの要素から成る。
&lt;span class="spacer"&gt;&lt;/span&gt;signum（印：signの語源）
facere（作る, する）
&lt;span class="spacer"&gt;&lt;/span&gt;このまま日本語にすると「印をする」となる。付けられた印が何かを意味することから「意義深い」という意味になる。また印の有無が他と区別することから「重要な, 重大な」という意味になる。
&lt;div class="sample_image significant"&gt;&lt;/div&gt;&lt;/span&gt;</v>
      </c>
      <c r="T22" s="13" t="str">
        <f>INDEX($L:$L, MATCH("designate", $B:$B, 0))</f>
        <v>&lt;span class="w"&gt;&lt;b&gt;【1411.designate：〜を指定する, 〜を任命する】&lt;/b&gt;&lt;/span&gt;
&lt;span class="ml"&gt;ラテン語に由来する語で、以下の2つの要素から成る。
&lt;span class="spacer"&gt;&lt;/span&gt;de（外へ）
signare（印をつける）
&lt;span class="spacer"&gt;&lt;/span&gt;このまま日本語にすると「印をつけて外へ」となる。数ある中から対象に印をつけて選ぶイメージから「指定する, 任命する」という意味になる。
&lt;div class="sample_image designate"&gt;&lt;/div&gt;&lt;/span&gt;</v>
      </c>
      <c r="U22" s="13" t="str">
        <f>INDEX($L:$L, MATCH("seal", $B:$B, 0))</f>
        <v>&lt;span class="w"&gt;&lt;b&gt;【1119.seal：〜を密閉する, 〜に封をする】&lt;/b&gt;&lt;/span&gt;
&lt;span class="ml"&gt;ラテン語に由来する語で、以下の2つの要素から成る。
&lt;span class="spacer"&gt;&lt;/span&gt;signum（しるし：signの語源）
illum（小さいことを表す）
&lt;span class="spacer"&gt;&lt;/span&gt;このまま日本語にすると「小さな印」となる。手紙や文書などを溶かした蝋で封じる際に、そこに小さな印を押し当てて、その手紙が本物であることを証明した。そこから「封をする」や、容器などを「密閉する」という意味になった。
&lt;div class="sample_image seal"&gt;&lt;/div&gt;&lt;/span&gt;</v>
      </c>
      <c r="AU22" s="15"/>
      <c r="AV22" s="1" t="s">
        <v>1502</v>
      </c>
      <c r="BG22" s="7" t="s">
        <v>1503</v>
      </c>
      <c r="BH22" s="1" t="s">
        <v>1947</v>
      </c>
      <c r="BI22" s="2" t="s">
        <v>1993</v>
      </c>
      <c r="BJ22" s="1" t="s">
        <v>1994</v>
      </c>
      <c r="BK22" s="2" t="s">
        <v>1995</v>
      </c>
      <c r="BL22" s="1" t="s">
        <v>1996</v>
      </c>
      <c r="BM22" s="2" t="s">
        <v>1997</v>
      </c>
      <c r="BN22" s="1" t="s">
        <v>1875</v>
      </c>
      <c r="BO22" s="2" t="s">
        <v>1998</v>
      </c>
      <c r="BP22" s="1" t="s">
        <v>1877</v>
      </c>
      <c r="BQ22" s="2" t="s">
        <v>1999</v>
      </c>
    </row>
    <row r="23" spans="1:71" ht="90" x14ac:dyDescent="0.45">
      <c r="A23" s="5">
        <v>22</v>
      </c>
      <c r="B23" s="8" t="s">
        <v>60</v>
      </c>
      <c r="C23" s="6" t="s">
        <v>1816</v>
      </c>
      <c r="D23" s="7" t="s">
        <v>9752</v>
      </c>
      <c r="E23" s="1" t="s">
        <v>60</v>
      </c>
      <c r="F23" s="1"/>
      <c r="G23" s="1"/>
      <c r="J23" s="1" t="s">
        <v>9753</v>
      </c>
      <c r="K23" s="2"/>
      <c r="L23" s="9" t="s">
        <v>7964</v>
      </c>
      <c r="M23" s="1" t="s">
        <v>12122</v>
      </c>
      <c r="P23" s="7" t="s">
        <v>1241</v>
      </c>
      <c r="Q23" s="13" t="str">
        <f>INDEX($L:$L, MATCH("comfort", $B:$B, 0))</f>
        <v>&lt;span class="w"&gt;&lt;b&gt;【468.comfort：快適さ, 慰め】&lt;/b&gt;&lt;/span&gt;
&lt;span class="ml"&gt;ラテン語に由来する語で、以下の2つの要素から成る。
&lt;span class="spacer"&gt;&lt;/span&gt;com（強意）
fortis（強い）
&lt;span class="spacer"&gt;&lt;/span&gt;このまま日本語にすると「大いに強くする」となる。これは、苦痛の中にいる相手を力づけて、精神的に強くいられるようにするイメージ。そこから、人を安心させる「慰め」や、不安や苦痛のない「快適さ」という意味になる。
&lt;div class="sample_image comfort"&gt;&lt;/div&gt;&lt;/span&gt;</v>
      </c>
      <c r="R23" s="13" t="str">
        <f>INDEX($L:$L, MATCH("enforce", $B:$B, 0))</f>
        <v>&lt;span class="w"&gt;&lt;b&gt;【1225.enforce：〜を実施（施行）する, 〜を強制する】&lt;/b&gt;&lt;/span&gt;
&lt;span class="ml"&gt;中英語にさかのぼり、以下の2つの要素から成る。
&lt;span class="spacer"&gt;&lt;/span&gt;en（〜にする, 中に）
force（力）
&lt;span class="spacer"&gt;&lt;/span&gt;このまま日本語にすると「中に力を入れる」となる。対象に力を入れ、力を持った状態にすることから、法や規則、義務などに力を持たせてそれを人々に守らせる＝何かを「実施する, 施行する, 強制する」という意味になった。&lt;/span&gt;</v>
      </c>
      <c r="S23" s="13" t="str">
        <f>INDEX($L:$L, MATCH("reinforce", $B:$B, 0))</f>
        <v>&lt;span class="w"&gt;&lt;b&gt;【1107.reinforce：〜を強化する, 〜を補強する】&lt;/b&gt;&lt;/span&gt;
&lt;span class="ml"&gt;中英語から近代英語にさかのぼり、以下の3つの要素から成る。
&lt;span class="spacer"&gt;&lt;/span&gt;re（再び）
en（中に）
force（力）
&lt;span class="spacer"&gt;&lt;/span&gt;このまま日本語にすると「再び力を入れる」となる。そこから「強化する, 補強する」という意味になる。&lt;/span&gt;</v>
      </c>
      <c r="AU23" s="15"/>
      <c r="AV23" s="1" t="s">
        <v>1502</v>
      </c>
      <c r="BG23" s="7" t="s">
        <v>1503</v>
      </c>
      <c r="BH23" s="1" t="s">
        <v>1947</v>
      </c>
      <c r="BI23" s="2" t="s">
        <v>2000</v>
      </c>
      <c r="BJ23" s="1" t="s">
        <v>1959</v>
      </c>
      <c r="BK23" s="2" t="s">
        <v>2001</v>
      </c>
      <c r="BL23" s="1" t="s">
        <v>1875</v>
      </c>
      <c r="BM23" s="2" t="s">
        <v>2002</v>
      </c>
    </row>
    <row r="24" spans="1:71" ht="72" x14ac:dyDescent="0.45">
      <c r="A24" s="5">
        <v>23</v>
      </c>
      <c r="B24" s="8" t="s">
        <v>61</v>
      </c>
      <c r="C24" s="6" t="s">
        <v>1816</v>
      </c>
      <c r="D24" s="7" t="s">
        <v>9752</v>
      </c>
      <c r="E24" s="1" t="s">
        <v>61</v>
      </c>
      <c r="F24" s="1"/>
      <c r="G24" s="1"/>
      <c r="J24" s="1" t="s">
        <v>9753</v>
      </c>
      <c r="K24" s="2" t="s">
        <v>7182</v>
      </c>
      <c r="L24" s="9" t="s">
        <v>7965</v>
      </c>
      <c r="P24" s="7" t="s">
        <v>1241</v>
      </c>
      <c r="Q24" s="13" t="str">
        <f>INDEX($L:$L, MATCH("eliminate", $B:$B, 0))</f>
        <v>&lt;span class="w"&gt;&lt;b&gt;【638.eliminate：〜を取り除く, 〜を排除する】&lt;/b&gt;&lt;/span&gt;
&lt;span class="ml"&gt;ラテン語に由来する語で、以下の2つの要素から成る。
&lt;span class="spacer"&gt;&lt;/span&gt;ex（外に）
limine（敷居, 境界：limitの語源）
&lt;span class="spacer"&gt;&lt;/span&gt;ラテン語limineは、limit（リミット）の語源でもある。eliminateは「リミットの外へ押しやる」というイメージで覚えればよい。内側にあるものをリミット（限界）の外へ押しやることから「取り除く, 排除する」という意味になる。
&lt;div class="sample_image eliminate"&gt;&lt;/div&gt;&lt;/span&gt;</v>
      </c>
      <c r="AV24" s="1" t="s">
        <v>1502</v>
      </c>
      <c r="BG24" s="7" t="s">
        <v>1503</v>
      </c>
      <c r="BH24" s="1" t="s">
        <v>1947</v>
      </c>
      <c r="BI24" s="1" t="s">
        <v>2003</v>
      </c>
      <c r="BJ24" s="1" t="s">
        <v>1959</v>
      </c>
      <c r="BK24" s="1" t="s">
        <v>2004</v>
      </c>
      <c r="BL24" s="1" t="s">
        <v>1875</v>
      </c>
      <c r="BM24" s="2" t="s">
        <v>2005</v>
      </c>
    </row>
    <row r="25" spans="1:71" ht="162" x14ac:dyDescent="0.45">
      <c r="A25" s="5">
        <v>24</v>
      </c>
      <c r="B25" s="8" t="s">
        <v>62</v>
      </c>
      <c r="C25" s="6" t="s">
        <v>1816</v>
      </c>
      <c r="D25" s="7" t="s">
        <v>9752</v>
      </c>
      <c r="E25" s="1" t="s">
        <v>62</v>
      </c>
      <c r="F25" s="1"/>
      <c r="G25" s="1"/>
      <c r="J25" s="1" t="s">
        <v>9753</v>
      </c>
      <c r="K25" s="2" t="s">
        <v>7141</v>
      </c>
      <c r="L25" s="9" t="s">
        <v>10421</v>
      </c>
      <c r="P25" s="7" t="s">
        <v>1241</v>
      </c>
      <c r="Q25" s="13" t="str">
        <f>INDEX($L:$L, MATCH("burden", $B:$B, 0))</f>
        <v>&lt;span class="w"&gt;&lt;b&gt;【647.burden：負担, 積み荷】&lt;/b&gt;&lt;/span&gt;
&lt;span class="ml"&gt;印欧祖語*bher-（運ぶ）に由来する。
&lt;span class="spacer"&gt;&lt;/span&gt;ここから運ばれるもの、つまり「負担, 積荷」という意味になる。
&lt;span class="spacer"&gt;&lt;/span&gt;この印欧祖語からは、bear（耐える, 生む）, birth（誕生）, bring（持ってくる）なども生まれている。どれも抱えて運ぶイメージが根底にある。&lt;/span&gt;</v>
      </c>
      <c r="AI25" s="15"/>
      <c r="AV25" s="1" t="s">
        <v>1502</v>
      </c>
      <c r="AW25" s="2"/>
      <c r="BG25" s="7" t="s">
        <v>1503</v>
      </c>
      <c r="BH25" s="1" t="s">
        <v>1872</v>
      </c>
      <c r="BI25" s="1" t="s">
        <v>2006</v>
      </c>
      <c r="BJ25" s="1" t="s">
        <v>1877</v>
      </c>
      <c r="BK25" s="2" t="s">
        <v>2007</v>
      </c>
    </row>
    <row r="26" spans="1:71" ht="216" x14ac:dyDescent="0.45">
      <c r="A26" s="5">
        <v>25</v>
      </c>
      <c r="B26" s="8" t="s">
        <v>63</v>
      </c>
      <c r="C26" s="6" t="s">
        <v>1816</v>
      </c>
      <c r="D26" s="7" t="s">
        <v>9752</v>
      </c>
      <c r="E26" s="1" t="s">
        <v>1622</v>
      </c>
      <c r="F26" s="1" t="s">
        <v>4825</v>
      </c>
      <c r="G26" s="1"/>
      <c r="J26" s="1" t="s">
        <v>9753</v>
      </c>
      <c r="K26" s="2" t="s">
        <v>7183</v>
      </c>
      <c r="L26" s="4" t="s">
        <v>7966</v>
      </c>
      <c r="M26" s="1" t="s">
        <v>12123</v>
      </c>
      <c r="P26" s="7" t="s">
        <v>1241</v>
      </c>
      <c r="Q26" s="14" t="str">
        <f>INDEX($L:$L, MATCH("effect", $B:$B, 0))</f>
        <v>&lt;span class="w"&gt;&lt;b&gt;【48.effect：影響, 効果】&lt;/b&gt;&lt;/span&gt;
&lt;span class="ml"&gt;ラテン語に由来する語で、以下の2つの要素から成る。
&lt;span class="spacer"&gt;&lt;/span&gt;ex（外へ）
facere（行う）
&lt;span class="spacer"&gt;&lt;/span&gt;このまま日本語にすると「行なって外へ」となる。何かを行なった結果として外に出てきたものというイメージから、「影響, 効果」という意味になる。
&lt;span class="spacer"&gt;&lt;/span&gt;サウンドエフェクトやゲームのエフェクトといった「効果」と関連させて覚える。
&lt;span class="spacer"&gt;&lt;/span&gt;effectは、何かを行なった結果として現実に出てきたものなので、かつては「現実, 事実」という意味があった。この意味はin effect「実際に, 事実上」に残っている。&lt;/span&gt;</v>
      </c>
      <c r="R26" s="13" t="str">
        <f>INDEX($L:$L, MATCH("infection", $B:$B, 0))</f>
        <v>&lt;span class="w"&gt;&lt;b&gt;【852.infection：感染（症）】&lt;/b&gt;&lt;/span&gt;
&lt;span class="ml"&gt;ラテン語に由来する語で、以下の3つの要素から成る。
&lt;span class="spacer"&gt;&lt;/span&gt;in（中に）
facere（行う, 作る）
io（名詞化）
&lt;span class="spacer"&gt;&lt;/span&gt;このまま日本語にすると「中に（入れて）行う」となる。もともとは、布を染料の中に入れて染めることを表したが、次第に美しく染めるだけではなく、悪いものが入り込んで汚染することも表すようになった。そこから医学において、悪いものが体の中に入って健康体を病気に染めていくこと、つまり「感染（症）」という意味になった。
&lt;div class="sample_image infection"&gt;&lt;/div&gt;&lt;/span&gt;</v>
      </c>
      <c r="S26" s="13" t="str">
        <f>INDEX($L:$L, MATCH("efficient", $B:$B, 0))</f>
        <v>&lt;span class="w"&gt;&lt;b&gt;【281.efficient：効率的な, 有能な】&lt;/b&gt;&lt;/span&gt;
&lt;span class="ml"&gt;ラテン語に由来する語で、以下の2つの要素から成る。
&lt;span class="spacer"&gt;&lt;/span&gt;ex（外に）
facere（作る, する）
&lt;span class="spacer"&gt;&lt;/span&gt;この語の核は何かを外に作り出す際に「テキパキしている」こと。結果や効果を作り出す際に無駄なく、素早く行うことから「効率的な, 有能な」という意味になる。
&lt;div class="sample_image efficient"&gt;&lt;/div&gt;&lt;/span&gt;</v>
      </c>
      <c r="T26" s="13" t="str">
        <f>INDEX($L:$L, MATCH("sufficient", $B:$B, 0))</f>
        <v>&lt;span class="w"&gt;&lt;b&gt;【483.sufficient：十分な（=enough）】&lt;/b&gt;&lt;/span&gt;
&lt;span class="ml"&gt;ラテン語に由来する語で、以下の2つの要素から成る。
&lt;span class="spacer"&gt;&lt;/span&gt;sub（下から）
facere（行う, 作る）
&lt;span class="spacer"&gt;&lt;/span&gt;このまま日本語にすると「下から作る」となる。これは、下から必要とされるラインまで作り上げるというイメージ。ここから、数量が足りていて「十分な」という意味になる。
&lt;div class="sample_image sufficient"&gt;&lt;/div&gt;
&lt;span class="spacer"&gt;&lt;/span&gt;［sufficientとadequate］
&lt;span class="spacer"&gt;&lt;/span&gt;sufficient：必要な分まで足りるという意味で「十分な」という感じ。否定のinsufficientは「不足している」という意味になる。
&lt;span class="spacer"&gt;&lt;/span&gt;adequate：必要最低限の水準は満たしていて「十分な」という感じ。否定のinadequateは「不適切な」という意味になる。またadequateは、質はまぁまぁという少しネガティブな印象を含むことがある。&lt;/span&gt;</v>
      </c>
      <c r="U26" s="13" t="str">
        <f>INDEX($L:$L, MATCH("insufficient", $B:$B, 0))</f>
        <v>&lt;span class="w"&gt;&lt;b&gt;【1484.insufficient：不十分な】&lt;/b&gt;&lt;/span&gt;
&lt;span class="ml"&gt;ラテン語に由来する語で、以下の2つの要素から成る。
&lt;span class="spacer"&gt;&lt;/span&gt;in（否定）
sufficientem（十分な）
&lt;span class="spacer"&gt;&lt;/span&gt;十分であることを否定するので「不十分な」という意味になる。
&lt;span class="spacer"&gt;&lt;/span&gt;sufficientは関連語を参照。&lt;/span&gt;</v>
      </c>
      <c r="AI26" s="15"/>
      <c r="AU26" s="15"/>
      <c r="AV26" s="1" t="s">
        <v>1502</v>
      </c>
      <c r="AW26" s="2"/>
      <c r="BG26" s="7" t="s">
        <v>1503</v>
      </c>
      <c r="BH26" s="1" t="s">
        <v>1947</v>
      </c>
      <c r="BI26" s="2" t="s">
        <v>2008</v>
      </c>
      <c r="BJ26" s="1" t="s">
        <v>1875</v>
      </c>
      <c r="BK26" s="1" t="s">
        <v>2009</v>
      </c>
      <c r="BL26" s="1" t="s">
        <v>1883</v>
      </c>
      <c r="BM26" s="2" t="s">
        <v>2010</v>
      </c>
    </row>
    <row r="27" spans="1:71" ht="198" x14ac:dyDescent="0.45">
      <c r="A27" s="5">
        <v>26</v>
      </c>
      <c r="B27" s="8" t="s">
        <v>64</v>
      </c>
      <c r="C27" s="6" t="s">
        <v>1816</v>
      </c>
      <c r="D27" s="7" t="s">
        <v>9752</v>
      </c>
      <c r="E27" s="1" t="s">
        <v>64</v>
      </c>
      <c r="F27" s="1"/>
      <c r="G27" s="1"/>
      <c r="J27" s="1" t="s">
        <v>9753</v>
      </c>
      <c r="K27" s="2" t="s">
        <v>7184</v>
      </c>
      <c r="L27" s="9" t="s">
        <v>10644</v>
      </c>
      <c r="P27" s="7" t="s">
        <v>1241</v>
      </c>
      <c r="AI27" s="15"/>
      <c r="AJ27" s="15"/>
      <c r="AV27" s="1" t="s">
        <v>1502</v>
      </c>
      <c r="AW27" s="2"/>
      <c r="AX27" s="2"/>
      <c r="BG27" s="7" t="s">
        <v>1503</v>
      </c>
      <c r="BH27" s="1" t="s">
        <v>1872</v>
      </c>
      <c r="BI27" s="1" t="s">
        <v>2011</v>
      </c>
      <c r="BJ27" s="1" t="s">
        <v>1875</v>
      </c>
      <c r="BK27" s="2" t="s">
        <v>2012</v>
      </c>
      <c r="BL27" s="1" t="s">
        <v>1883</v>
      </c>
      <c r="BM27" s="2" t="s">
        <v>7142</v>
      </c>
      <c r="BN27" s="1" t="s">
        <v>3496</v>
      </c>
      <c r="BO27" s="2" t="s">
        <v>7143</v>
      </c>
    </row>
    <row r="28" spans="1:71" ht="198" x14ac:dyDescent="0.45">
      <c r="A28" s="5">
        <v>27</v>
      </c>
      <c r="B28" s="8" t="s">
        <v>65</v>
      </c>
      <c r="C28" s="6" t="s">
        <v>1816</v>
      </c>
      <c r="D28" s="7" t="s">
        <v>9752</v>
      </c>
      <c r="E28" s="1" t="s">
        <v>1621</v>
      </c>
      <c r="F28" s="1" t="s">
        <v>8848</v>
      </c>
      <c r="G28" s="1"/>
      <c r="J28" s="1" t="s">
        <v>9753</v>
      </c>
      <c r="K28" s="2" t="s">
        <v>7185</v>
      </c>
      <c r="L28" s="4" t="s">
        <v>7967</v>
      </c>
      <c r="P28" s="7" t="s">
        <v>1241</v>
      </c>
      <c r="Q28" s="14" t="str">
        <f>INDEX($L:$L, MATCH("vacuum", $B:$B, 0))</f>
        <v>&lt;span class="w"&gt;&lt;b&gt;【1473.vacuum：真空, 空虚, 掃除機】&lt;/b&gt;&lt;/span&gt;
&lt;span class="ml"&gt;ラテン語vacuus（空の, 占有されていない）に由来する。
&lt;span class="spacer"&gt;&lt;/span&gt;この語の核は「空っぽの空間」。もともとは何も存在しない「空虚」を意味したが、そこから物理学において空気のない「真空」という意味にもなった。
&lt;span class="spacer"&gt;&lt;/span&gt;また現代では、vacuum (cleaner)で「掃除機」を意味する。
&lt;span class="spacer"&gt;&lt;/span&gt;同じラテン語からはvacation（休暇）も生まれている。vacationは、仕事から離れて心身が空いている状態を表す。&lt;/span&gt;</v>
      </c>
      <c r="R28" s="15"/>
      <c r="S28" s="15"/>
      <c r="T28" s="15"/>
      <c r="U28" s="15"/>
      <c r="V28" s="15"/>
      <c r="AI28" s="15"/>
      <c r="AU28" s="15"/>
      <c r="AV28" s="1" t="s">
        <v>1502</v>
      </c>
      <c r="AW28" s="2" t="s">
        <v>7968</v>
      </c>
      <c r="BG28" s="7" t="s">
        <v>1503</v>
      </c>
      <c r="BH28" s="1" t="s">
        <v>1947</v>
      </c>
      <c r="BI28" s="2" t="s">
        <v>2013</v>
      </c>
      <c r="BJ28" s="1" t="s">
        <v>1959</v>
      </c>
      <c r="BK28" s="2" t="s">
        <v>2014</v>
      </c>
      <c r="BL28" s="1" t="s">
        <v>1869</v>
      </c>
      <c r="BM28" s="1" t="s">
        <v>2015</v>
      </c>
      <c r="BN28" s="1" t="s">
        <v>1875</v>
      </c>
      <c r="BO28" s="2" t="s">
        <v>2480</v>
      </c>
    </row>
    <row r="29" spans="1:71" ht="198" x14ac:dyDescent="0.45">
      <c r="A29" s="5">
        <v>28</v>
      </c>
      <c r="B29" s="8" t="s">
        <v>66</v>
      </c>
      <c r="C29" s="6" t="s">
        <v>1816</v>
      </c>
      <c r="D29" s="7" t="s">
        <v>9752</v>
      </c>
      <c r="E29" s="1" t="s">
        <v>1251</v>
      </c>
      <c r="F29" s="1" t="s">
        <v>8849</v>
      </c>
      <c r="G29" s="1"/>
      <c r="J29" s="1" t="s">
        <v>9753</v>
      </c>
      <c r="K29" s="2" t="s">
        <v>7263</v>
      </c>
      <c r="L29" s="3" t="s">
        <v>10399</v>
      </c>
      <c r="M29" s="1" t="s">
        <v>12124</v>
      </c>
      <c r="P29" s="7" t="s">
        <v>1241</v>
      </c>
      <c r="Q29" s="13" t="str">
        <f>INDEX($L:$L, MATCH("translate", $B:$B, 0))</f>
        <v>&lt;span class="w"&gt;&lt;b&gt;【502.translate：〜を翻訳する】&lt;/b&gt;&lt;/span&gt;
&lt;span class="ml"&gt;ラテン語に由来する語で、以下の2つの要素から成る。
&lt;span class="spacer"&gt;&lt;/span&gt;trans（越えて）
ferre（運ぶ）の過去分詞latus
&lt;span class="spacer"&gt;&lt;/span&gt;このまま日本語にすると「越えて運ぶ」となる。何かがある場所から別の場所へ運ばれるという物理的な移動から、ある言語が別の言語へ運ばれる、つまり「翻訳する」という意味になった。
&lt;div class="sample_image translate"&gt;&lt;/div&gt;&lt;/span&gt;</v>
      </c>
      <c r="R29" s="13" t="str">
        <f>INDEX($L:$L, MATCH("correlation", $B:$B, 0))</f>
        <v>&lt;span class="w"&gt;&lt;b&gt;【778.correlation：相互関係, 相関】&lt;/b&gt;&lt;/span&gt;
&lt;span class="ml"&gt;フランス語に由来する語で、以下の2つの要素から成る。
&lt;span class="spacer"&gt;&lt;/span&gt;com（共に）
relation（つながり）
&lt;span class="spacer"&gt;&lt;/span&gt;この語の核は「共につながりがある状態」。AとBがあるとき、AからBへのつながりがあり、BからAへのつながりもある状態。そこから「相互関係, 相関」という意味になる。&lt;/span&gt;</v>
      </c>
      <c r="S29" s="13" t="str">
        <f>INDEX($L:$L, MATCH("unrelated", $B:$B, 0))</f>
        <v>&lt;span class="w"&gt;&lt;b&gt;【992.unrelated：無関係の, 血縁関係がない】&lt;/b&gt;&lt;/span&gt;
&lt;span class="ml"&gt;近代英語にさかのぼり、以下の2つの要素から成る。
&lt;span class="spacer"&gt;&lt;/span&gt;un（否定）
related（関係のある）
&lt;span class="spacer"&gt;&lt;/span&gt;このまま日本語にすると「無関係の, 血縁関係がない」という意味になる。&lt;/span&gt;</v>
      </c>
      <c r="T29" s="13" t="str">
        <f>INDEX($L:$L, MATCH("legislation", $B:$B, 0))</f>
        <v>&lt;span class="w"&gt;&lt;b&gt;【1346.legislation：（不可算）立法, 法律】&lt;/b&gt;&lt;/span&gt;
&lt;span class="ml"&gt;ラテン語に由来する語で、以下の2つの要素から成る。
&lt;span class="spacer"&gt;&lt;/span&gt;legis（法律）
latio（運ぶこと）
&lt;span class="spacer"&gt;&lt;/span&gt;このまま日本語にすると「法律を運ぶこと」となる。そこから、法律を提出して成立させるプロセス＝「立法」という意味になる。また、議会で制定された法律のまとまりや法制度という意味で「法律」にもなる。
&lt;span class="spacer"&gt;&lt;/span&gt;このlation部分は、translateやrelateのlateと同じで、運ぶことを表す。
&lt;div class="sample_image legislation"&gt;&lt;/div&gt;&lt;/span&gt;</v>
      </c>
      <c r="AI29" s="15"/>
      <c r="AU29" s="15"/>
      <c r="AV29" s="1" t="s">
        <v>1502</v>
      </c>
      <c r="AW29" s="2"/>
      <c r="BG29" s="7" t="s">
        <v>1503</v>
      </c>
      <c r="BH29" s="1" t="s">
        <v>2034</v>
      </c>
      <c r="BI29" s="2" t="s">
        <v>2016</v>
      </c>
      <c r="BJ29" s="1" t="s">
        <v>2017</v>
      </c>
      <c r="BK29" s="1" t="s">
        <v>2018</v>
      </c>
      <c r="BL29" s="1" t="s">
        <v>1883</v>
      </c>
      <c r="BM29" s="2" t="s">
        <v>2019</v>
      </c>
    </row>
    <row r="30" spans="1:71" ht="108" x14ac:dyDescent="0.45">
      <c r="A30" s="5">
        <v>29</v>
      </c>
      <c r="B30" s="8" t="s">
        <v>67</v>
      </c>
      <c r="C30" s="6" t="s">
        <v>1816</v>
      </c>
      <c r="D30" s="7" t="s">
        <v>9752</v>
      </c>
      <c r="E30" s="1" t="s">
        <v>8850</v>
      </c>
      <c r="F30" s="1" t="s">
        <v>1519</v>
      </c>
      <c r="G30" s="1"/>
      <c r="J30" s="1" t="s">
        <v>9753</v>
      </c>
      <c r="K30" s="2" t="s">
        <v>7144</v>
      </c>
      <c r="L30" s="4" t="s">
        <v>7969</v>
      </c>
      <c r="P30" s="7" t="s">
        <v>1241</v>
      </c>
      <c r="S30" s="15"/>
      <c r="T30" s="15"/>
      <c r="U30" s="15"/>
      <c r="AU30" s="15"/>
      <c r="AV30" s="1" t="s">
        <v>1502</v>
      </c>
      <c r="BG30" s="7" t="s">
        <v>1503</v>
      </c>
      <c r="BH30" s="1" t="s">
        <v>1947</v>
      </c>
      <c r="BI30" s="2" t="s">
        <v>2020</v>
      </c>
      <c r="BJ30" s="1" t="s">
        <v>2021</v>
      </c>
      <c r="BK30" s="2" t="s">
        <v>2022</v>
      </c>
      <c r="BL30" s="1" t="s">
        <v>1883</v>
      </c>
      <c r="BM30" s="2" t="s">
        <v>2023</v>
      </c>
    </row>
    <row r="31" spans="1:71" ht="288" x14ac:dyDescent="0.45">
      <c r="A31" s="5">
        <v>30</v>
      </c>
      <c r="B31" s="8" t="s">
        <v>1516</v>
      </c>
      <c r="C31" s="6" t="s">
        <v>1816</v>
      </c>
      <c r="D31" s="7" t="s">
        <v>9752</v>
      </c>
      <c r="E31" s="1" t="s">
        <v>1447</v>
      </c>
      <c r="F31" s="1" t="s">
        <v>8851</v>
      </c>
      <c r="G31" s="1"/>
      <c r="J31" s="1" t="s">
        <v>9753</v>
      </c>
      <c r="K31" s="2" t="s">
        <v>7145</v>
      </c>
      <c r="L31" s="4" t="s">
        <v>7970</v>
      </c>
      <c r="M31" s="1" t="s">
        <v>12125</v>
      </c>
      <c r="P31" s="7" t="s">
        <v>1241</v>
      </c>
      <c r="Q31" s="14" t="str">
        <f>INDEX($L:$L, MATCH("courage", $B:$B, 0))</f>
        <v>&lt;span class="w"&gt;&lt;b&gt;【858.courage：勇気】&lt;/b&gt;&lt;/span&gt;
&lt;span class="ml"&gt;ラテン語cor（心・心臓）に由来する。&lt;span class="obsolete"&gt;age（名詞化）はフランス語段階で付いた。&lt;/span&gt;
&lt;span class="spacer"&gt;&lt;/span&gt;もともとは、人の内面の心や気持ちを表していたが、そこから困難や恐怖に直面したときにも揺らがずに行動できる心の強さを指すようになり、「勇気」という意味になった。&lt;/span&gt;</v>
      </c>
      <c r="R31" s="14" t="str">
        <f>INDEX($L:$L, MATCH("discourage", $B:$B, 0))</f>
        <v>&lt;span class="w"&gt;&lt;b&gt;【706.discourage：（人）にやる気をなくさせる, 〜を落胆させる】&lt;/b&gt;&lt;/span&gt;
&lt;span class="ml"&gt;古フランス語に由来する語で、以下の2つの要素から成る。
&lt;span class="spacer"&gt;&lt;/span&gt;des（離れて）
corage（勇気）
&lt;span class="spacer"&gt;&lt;/span&gt;この語の核は「行動へ向かう勇気を引き離す」。前向きな気持ちを失わせることから「落胆させる, やる気をなくさせる」という意味になる。&lt;/span&gt;</v>
      </c>
      <c r="S31" s="14" t="str">
        <f>INDEX($L:$L, MATCH("accord", $B:$B, 0))</f>
        <v>&lt;span class="w"&gt;&lt;b&gt;【42.accord：一致, 合意, 協定】&lt;/b&gt;&lt;/span&gt;
&lt;span class="ml"&gt;ラテン語に由来する語で、以下の2つの要素から成る。
&lt;span class="spacer"&gt;&lt;/span&gt;ad（～へ）
cor（心）
&lt;span class="spacer"&gt;&lt;/span&gt;このまま日本語にすると「～へ心」となる。相手の心に自分の心を合わせるイメージから「合意, 一致」、そして合意の末に結ばれる「協定」という意味になる。
&lt;div class="sample_image accord"&gt;&lt;/div&gt;
&lt;span class="spacer"&gt;&lt;/span&gt;動詞accord（一致する）から派生したaccording to A（Aによれば, Aに従って）は以下のように考えればよい。
&lt;span class="spacer"&gt;&lt;/span&gt;①Aと一致するならB
＝AによるとB
&lt;span class="spacer"&gt;&lt;/span&gt;②Aに一致してB
＝Aに従ってB&lt;/span&gt;</v>
      </c>
      <c r="T31" s="14" t="str">
        <f>INDEX($L:$L, MATCH("core", $B:$B, 0))</f>
        <v>&lt;span class="w"&gt;&lt;b&gt;【849.core：核心, 芯】&lt;/b&gt;&lt;/span&gt;
&lt;span class="ml"&gt;ラテン語cor（心, 心臓）に由来する。
&lt;span class="spacer"&gt;&lt;/span&gt;心や心臓のように中心にあるものということから「核心, 芯」という意味になった。&lt;/span&gt;</v>
      </c>
      <c r="U31" s="15"/>
      <c r="V31" s="15"/>
      <c r="W31" s="15"/>
      <c r="X31" s="15"/>
      <c r="Y31" s="15"/>
      <c r="AV31" s="1" t="s">
        <v>1502</v>
      </c>
      <c r="BG31" s="7" t="s">
        <v>1503</v>
      </c>
      <c r="BH31" s="1" t="s">
        <v>1976</v>
      </c>
      <c r="BI31" s="1" t="s">
        <v>2024</v>
      </c>
      <c r="BJ31" s="1" t="s">
        <v>1947</v>
      </c>
      <c r="BK31" s="1" t="s">
        <v>2025</v>
      </c>
      <c r="BL31" s="1" t="s">
        <v>2026</v>
      </c>
      <c r="BM31" s="2" t="s">
        <v>2027</v>
      </c>
      <c r="BN31" s="1" t="s">
        <v>1959</v>
      </c>
      <c r="BO31" s="2" t="s">
        <v>2028</v>
      </c>
      <c r="BP31" s="1" t="s">
        <v>1875</v>
      </c>
      <c r="BQ31" s="2" t="s">
        <v>2029</v>
      </c>
    </row>
    <row r="32" spans="1:71" ht="180" x14ac:dyDescent="0.45">
      <c r="A32" s="5">
        <v>31</v>
      </c>
      <c r="B32" s="8" t="s">
        <v>1404</v>
      </c>
      <c r="C32" s="6" t="s">
        <v>1816</v>
      </c>
      <c r="D32" s="7" t="s">
        <v>9752</v>
      </c>
      <c r="E32" s="1" t="s">
        <v>1467</v>
      </c>
      <c r="F32" s="1" t="s">
        <v>8852</v>
      </c>
      <c r="G32" s="1"/>
      <c r="J32" s="1" t="s">
        <v>9753</v>
      </c>
      <c r="K32" s="2" t="s">
        <v>7186</v>
      </c>
      <c r="L32" s="3" t="s">
        <v>7971</v>
      </c>
      <c r="P32" s="7" t="s">
        <v>1241</v>
      </c>
      <c r="AU32" s="15"/>
      <c r="AV32" s="1" t="s">
        <v>1502</v>
      </c>
      <c r="BG32" s="7" t="s">
        <v>1503</v>
      </c>
      <c r="BH32" s="1" t="s">
        <v>1947</v>
      </c>
      <c r="BI32" s="2" t="s">
        <v>2030</v>
      </c>
      <c r="BJ32" s="1" t="s">
        <v>2031</v>
      </c>
      <c r="BK32" s="1" t="s">
        <v>2032</v>
      </c>
      <c r="BL32" s="1" t="s">
        <v>1875</v>
      </c>
      <c r="BM32" s="2" t="s">
        <v>2033</v>
      </c>
    </row>
    <row r="33" spans="1:69" ht="378" x14ac:dyDescent="0.45">
      <c r="A33" s="5">
        <v>32</v>
      </c>
      <c r="B33" s="8" t="s">
        <v>68</v>
      </c>
      <c r="C33" s="6" t="s">
        <v>1816</v>
      </c>
      <c r="D33" s="7" t="s">
        <v>9752</v>
      </c>
      <c r="E33" s="1" t="s">
        <v>68</v>
      </c>
      <c r="F33" s="1"/>
      <c r="G33" s="1"/>
      <c r="J33" s="1" t="s">
        <v>9753</v>
      </c>
      <c r="K33" s="2" t="s">
        <v>7146</v>
      </c>
      <c r="L33" s="9" t="s">
        <v>7972</v>
      </c>
      <c r="P33" s="7" t="s">
        <v>1241</v>
      </c>
      <c r="Q33" s="14" t="str">
        <f>INDEX($L:$L, MATCH("dimension", $B:$B, 0))</f>
        <v>&lt;span class="w"&gt;&lt;b&gt;【943.dimension：側面, 次元, 大きさ, 寸法】&lt;/b&gt;&lt;/span&gt;
&lt;span class="ml"&gt;ラテン語に由来する語で、以下の3つの要素から成る。
&lt;span class="spacer"&gt;&lt;/span&gt;dis（分けて）
metiri（測る）
io（名詞化）
&lt;span class="spacer"&gt;&lt;/span&gt;このまま日本語にすると「分けて測定すること」となる。ある物体を縦、横、深さと、別々の方向に測るイメージから、物理的な「大きさ, 寸法」という意味になる。
&lt;span class="spacer"&gt;&lt;/span&gt;測定する大きさや寸法が
&lt;span class="spacer"&gt;&lt;/span&gt;1つなら1 dimension＝直線
（1次元：長さ）
&lt;span class="spacer"&gt;&lt;/span&gt;2つなら2 dimensions＝平面
（2次元：長さ・面積）
&lt;span class="spacer"&gt;&lt;/span&gt;3つなら3 dimensions＝空間
（3次元：長さ・面積・体積）
になる。
&lt;span class="spacer"&gt;&lt;/span&gt;ここから「〇次元」という意味になる。
&lt;span class="spacer"&gt;&lt;/span&gt;dimensionに応じて長さ、面積、体積といったそれぞれ独立した測定観点がある。そこから比喩的に、物事を考えるときの一つひとつの異なる観点、つまり物事の「側面」という意味になる。&lt;/span&gt;
&lt;div class="animation dimension"&gt;&lt;/div&gt;</v>
      </c>
      <c r="AU33" s="15"/>
      <c r="AV33" s="1" t="s">
        <v>1502</v>
      </c>
      <c r="BG33" s="7" t="s">
        <v>1503</v>
      </c>
      <c r="BH33" s="1" t="s">
        <v>2034</v>
      </c>
      <c r="BI33" s="2" t="s">
        <v>2035</v>
      </c>
      <c r="BJ33" s="1" t="s">
        <v>2036</v>
      </c>
      <c r="BK33" s="1" t="s">
        <v>2037</v>
      </c>
      <c r="BL33" s="1" t="s">
        <v>2031</v>
      </c>
      <c r="BM33" s="1" t="s">
        <v>2038</v>
      </c>
      <c r="BN33" s="1" t="s">
        <v>1875</v>
      </c>
      <c r="BO33" s="2" t="s">
        <v>2039</v>
      </c>
    </row>
    <row r="34" spans="1:69" ht="198" x14ac:dyDescent="0.45">
      <c r="A34" s="5">
        <v>33</v>
      </c>
      <c r="B34" s="8" t="s">
        <v>1264</v>
      </c>
      <c r="C34" s="6" t="s">
        <v>1816</v>
      </c>
      <c r="D34" s="7" t="s">
        <v>9752</v>
      </c>
      <c r="E34" s="1" t="s">
        <v>1413</v>
      </c>
      <c r="F34" s="1" t="s">
        <v>1687</v>
      </c>
      <c r="G34" s="1"/>
      <c r="J34" s="1" t="s">
        <v>9753</v>
      </c>
      <c r="K34" s="2" t="s">
        <v>7187</v>
      </c>
      <c r="L34" s="4" t="s">
        <v>10422</v>
      </c>
      <c r="M34" s="1" t="s">
        <v>12126</v>
      </c>
      <c r="P34" s="7" t="s">
        <v>1241</v>
      </c>
      <c r="Q34" s="14" t="str">
        <f>INDEX($L:$L, MATCH("resist", $B:$B, 0))</f>
        <v>&lt;span class="w"&gt;&lt;b&gt;【727.resist：〜に抵抗する】&lt;/b&gt;&lt;/span&gt;
&lt;span class="ml"&gt;ラテン語に由来する語で、以下の2つの要素から成る。
&lt;span class="spacer"&gt;&lt;/span&gt;re（対して）
sistere（立たせる）
&lt;span class="spacer"&gt;&lt;/span&gt;このまま日本語にすると「何かに対して立たせる」となる。これは、向かってくる力に対して立ち向かうというイメージで、そこから「抵抗する」という意味になる。
&lt;div class="sample_image resist"&gt;&lt;/div&gt;&lt;/span&gt;</v>
      </c>
      <c r="R34" s="14" t="str">
        <f>INDEX($L:$L, MATCH("assist", $B:$B, 0))</f>
        <v>&lt;span class="w"&gt;&lt;b&gt;【730.assist：〜を援助する, 〜を手伝う】&lt;/b&gt;&lt;/span&gt;
&lt;span class="ml"&gt;ラテン語に由来する語で、以下の2つの要素から成る。
&lt;span class="spacer"&gt;&lt;/span&gt;ad（〜へ）
sistere（立たせる）
&lt;span class="spacer"&gt;&lt;/span&gt;このまま日本語にすると「〜のそばへ立たせる」となる。これは、物理的に相手の隣に立つということから、相手を支える＝「手伝う, 支援する」という意味になった。&lt;/span&gt;</v>
      </c>
      <c r="S34" s="14" t="str">
        <f>INDEX($L:$L, MATCH("persist", $B:$B, 0))</f>
        <v>&lt;span class="w"&gt;&lt;b&gt;【1038.persist：続く, 固執する】&lt;/b&gt;&lt;/span&gt;
&lt;span class="ml"&gt;ラテン語に由来する語で、以下の2つの要素から成る。
&lt;span class="spacer"&gt;&lt;/span&gt;per（完全に）
sistere（立つ）
&lt;span class="spacer"&gt;&lt;/span&gt;このまま日本語にすると「完全に立つ」となる。何があっても立ち続け、その場から動かないイメージから、その状態や行動が「続く」、何かに「固執する」という意味になる。
&lt;div class="sample_image persist"&gt;&lt;/div&gt;&lt;/span&gt;</v>
      </c>
      <c r="T34" s="13" t="str">
        <f>INDEX($L:$L, MATCH("insist", $B:$B, 0))</f>
        <v>&lt;span class="w"&gt;&lt;b&gt;【427.insist：主張する】&lt;/b&gt;&lt;/span&gt;
&lt;span class="ml"&gt;ラテン語に由来する語で、以下の2つの要素から成る。
&lt;span class="spacer"&gt;&lt;/span&gt;in（中に, 上に）
sistere（立たせる）
&lt;span class="spacer"&gt;&lt;/span&gt;このまま日本語にすると「上に立たせる」となる。これは、ある場所や立場にしっかり立たせるイメージ。そこから、自分の立場にしっかり立って動かないことを表し、「強く主張する」という意味になる。
&lt;div class="sample_image insist"&gt;&lt;/div&gt;&lt;/span&gt;</v>
      </c>
      <c r="U34" s="13" t="str">
        <f>INDEX($L:$L, MATCH("consist", $B:$B, 0))</f>
        <v>&lt;span class="w"&gt;&lt;b&gt;【440.consist：(of ~)～から成る, (in ~)～にある】&lt;/b&gt;&lt;/span&gt;
&lt;span class="ml"&gt;ラテン語に由来する語で、以下の2つの要素から成る。
&lt;span class="spacer"&gt;&lt;/span&gt;com（強意）
sistere（立たせる）
&lt;span class="spacer"&gt;&lt;/span&gt;このまま日本語にすると「しっかり立たせる」となる。
&lt;span class="spacer"&gt;&lt;/span&gt;［S consist &lt;strong&gt;of&lt;/strong&gt; A］
これは「Sは、Aがあることでしっかり立っていられる」というイメージ。逆に言えば、AがなければSは成り立たない。そこから、「SはAから成る」という意味になる。
このofは、be made of（〜でできている）と同じ。
&lt;span class="spacer"&gt;&lt;/span&gt;［S consist &lt;strong&gt;in&lt;/strong&gt; A］
これは「Sが、Aの中にしっかり立っている」というイメージ。そこから、「SはA（の中）にある」という意味になる。&lt;/span&gt;</v>
      </c>
      <c r="AU34" s="15"/>
      <c r="AV34" s="1" t="s">
        <v>1502</v>
      </c>
      <c r="BG34" s="7" t="s">
        <v>1503</v>
      </c>
      <c r="BH34" s="1" t="s">
        <v>2254</v>
      </c>
      <c r="BI34" s="2" t="s">
        <v>2262</v>
      </c>
      <c r="BJ34" s="1" t="s">
        <v>2034</v>
      </c>
      <c r="BK34" s="2" t="s">
        <v>2040</v>
      </c>
      <c r="BL34" s="1" t="s">
        <v>2017</v>
      </c>
      <c r="BM34" s="1" t="s">
        <v>2041</v>
      </c>
      <c r="BN34" s="1" t="s">
        <v>1877</v>
      </c>
      <c r="BO34" s="2" t="s">
        <v>2042</v>
      </c>
    </row>
    <row r="35" spans="1:69" ht="72" x14ac:dyDescent="0.45">
      <c r="A35" s="5">
        <v>34</v>
      </c>
      <c r="B35" s="8" t="s">
        <v>69</v>
      </c>
      <c r="C35" s="6" t="s">
        <v>1816</v>
      </c>
      <c r="D35" s="7" t="s">
        <v>9752</v>
      </c>
      <c r="E35" s="1" t="s">
        <v>69</v>
      </c>
      <c r="F35" s="1"/>
      <c r="G35" s="1"/>
      <c r="J35" s="1" t="s">
        <v>9753</v>
      </c>
      <c r="K35" s="2" t="s">
        <v>7147</v>
      </c>
      <c r="L35" s="9" t="s">
        <v>7973</v>
      </c>
      <c r="P35" s="7" t="s">
        <v>1241</v>
      </c>
      <c r="Q35" s="13" t="str">
        <f>INDEX($L:$L, MATCH("landmark", $B:$B, 0))</f>
        <v>&lt;span class="w"&gt;&lt;b&gt;【1476.landmark：（ある場所の）目印, 画期的な出来事】&lt;/b&gt;&lt;/span&gt;
&lt;span class="ml"&gt;古英語にさかのぼり、以下の2つの要素から成る。
&lt;span class="spacer"&gt;&lt;/span&gt;land（土地）
mearc（目印）
&lt;span class="spacer"&gt;&lt;/span&gt;もともとは、王国や領地の境目に置かれた物を表した（現在の日本の県境や市町村の境を示す標識のようなもの）。そこから境界を示すものに限らず、ある場所を象徴する「目印」という意味になった。
&lt;span class="spacer"&gt;&lt;/span&gt;さらに象徴的な土地の目印という実際の物から比喩的に、歴史における象徴的な「出来事」という意味にもなった。&lt;/span&gt;</v>
      </c>
      <c r="AU35" s="15"/>
      <c r="AV35" s="1" t="s">
        <v>1502</v>
      </c>
      <c r="BG35" s="7" t="s">
        <v>1503</v>
      </c>
      <c r="BH35" s="1" t="s">
        <v>1872</v>
      </c>
      <c r="BI35" s="2" t="s">
        <v>2043</v>
      </c>
      <c r="BJ35" s="1" t="s">
        <v>2044</v>
      </c>
      <c r="BK35" s="2" t="s">
        <v>2045</v>
      </c>
      <c r="BL35" s="1" t="s">
        <v>1883</v>
      </c>
      <c r="BM35" s="2" t="s">
        <v>2046</v>
      </c>
    </row>
    <row r="36" spans="1:69" ht="198" x14ac:dyDescent="0.45">
      <c r="A36" s="5">
        <v>35</v>
      </c>
      <c r="B36" s="8" t="s">
        <v>70</v>
      </c>
      <c r="C36" s="6" t="s">
        <v>1816</v>
      </c>
      <c r="D36" s="7" t="s">
        <v>9752</v>
      </c>
      <c r="E36" s="1" t="s">
        <v>70</v>
      </c>
      <c r="F36" s="1"/>
      <c r="G36" s="1"/>
      <c r="J36" s="1" t="s">
        <v>9753</v>
      </c>
      <c r="K36" s="2" t="s">
        <v>7148</v>
      </c>
      <c r="L36" s="9" t="s">
        <v>7974</v>
      </c>
      <c r="P36" s="7" t="s">
        <v>1241</v>
      </c>
      <c r="AU36" s="15"/>
      <c r="AV36" s="1" t="s">
        <v>1502</v>
      </c>
      <c r="BG36" s="7" t="s">
        <v>1503</v>
      </c>
      <c r="BH36" s="1" t="s">
        <v>2034</v>
      </c>
      <c r="BI36" s="2" t="s">
        <v>2047</v>
      </c>
      <c r="BJ36" s="1" t="s">
        <v>2048</v>
      </c>
      <c r="BK36" s="1" t="s">
        <v>2049</v>
      </c>
      <c r="BL36" s="1" t="s">
        <v>2031</v>
      </c>
      <c r="BM36" s="1" t="s">
        <v>2050</v>
      </c>
      <c r="BN36" s="1" t="s">
        <v>1875</v>
      </c>
      <c r="BO36" s="2" t="s">
        <v>2051</v>
      </c>
    </row>
    <row r="37" spans="1:69" ht="409.6" x14ac:dyDescent="0.45">
      <c r="A37" s="5">
        <v>36</v>
      </c>
      <c r="B37" s="8" t="s">
        <v>71</v>
      </c>
      <c r="C37" s="6" t="s">
        <v>1816</v>
      </c>
      <c r="D37" s="7" t="s">
        <v>9752</v>
      </c>
      <c r="E37" s="1" t="s">
        <v>1327</v>
      </c>
      <c r="F37" s="1" t="s">
        <v>6138</v>
      </c>
      <c r="G37" s="1"/>
      <c r="J37" s="1" t="s">
        <v>9753</v>
      </c>
      <c r="K37" s="2" t="s">
        <v>7149</v>
      </c>
      <c r="L37" s="3" t="s">
        <v>7975</v>
      </c>
      <c r="M37" s="1" t="s">
        <v>12127</v>
      </c>
      <c r="P37" s="7" t="s">
        <v>1241</v>
      </c>
      <c r="Q37" s="14" t="str">
        <f>INDEX($L:$L, MATCH("independent", $B:$B, 0))</f>
        <v>&lt;span class="w"&gt;&lt;b&gt;【295.independent：独立している】&lt;/b&gt;&lt;/span&gt;
&lt;span class="ml"&gt;近代英語にできた語で、以下の2つの要素から成る。
&lt;span class="spacer"&gt;&lt;/span&gt;in（否定）
dependent（依存している）
&lt;span class="spacer"&gt;&lt;/span&gt;independentは「相手にぶら下がっていない」というイメージ。相手に依存せず自分で立っている、つまり「独立している」という意味になる。&lt;/span&gt;</v>
      </c>
      <c r="R37" s="14" t="str">
        <f>INDEX($L:$L, MATCH("suspend", $B:$B, 0))</f>
        <v>&lt;span class="w"&gt;&lt;b&gt;【1228.suspend：〜を一時的に停止する】&lt;/b&gt;&lt;/span&gt;
&lt;span class="ml"&gt;ラテン語に由来する語で、以下の2つの要素から成る。
&lt;span class="spacer"&gt;&lt;/span&gt;sub（下から）
pendere（吊るす）
&lt;span class="spacer"&gt;&lt;/span&gt;このまま日本語にすると「下から吊るす」となる。下から何かを吊ってぶら下げることから「一時的に停止する」という意味になる。
&lt;div class="sample_image suspend"&gt;&lt;/div&gt;&lt;/span&gt;</v>
      </c>
      <c r="S37" s="14" t="str">
        <f>INDEX($L:$L, MATCH("expense", $B:$B, 0))</f>
        <v>&lt;span class="w"&gt;&lt;b&gt;【545.expense：経費, 費用, 犠牲】&lt;/b&gt;&lt;/span&gt;
&lt;span class="ml"&gt;ラテン語に由来する語で、以下の2つの要素から成る。
&lt;span class="spacer"&gt;&lt;/span&gt;ex（外に）
pendere（吊るす）
&lt;span class="spacer"&gt;&lt;/span&gt;このまま日本語にすると「外に吊るすもの」となる。当時はお金を天秤に吊るし、重さを量ることで支払いが行われたことから、外に吊るすものは支払われるものを表す。ここから「費用, 経費」という意味になった。
&lt;span class="spacer"&gt;&lt;/span&gt;また、お金を支払うことから意味が広がり、時間や労力、健康などの目に見えない価値あるものを支払うことから「犠牲」という意味にもなった。
&lt;span class="spacer"&gt;&lt;/span&gt;expenseから生まれた形容詞がexpensive（高価な）なので、関連させて覚えるとよい。&lt;/span&gt;</v>
      </c>
      <c r="T37" s="14" t="str">
        <f>INDEX($L:$L, MATCH("pension", $B:$B, 0))</f>
        <v>&lt;span class="w"&gt;&lt;b&gt;【1246.pension：年金】&lt;/b&gt;&lt;/span&gt;
&lt;span class="ml"&gt;ラテン語に由来する語で、以下の2つの要素から成る。
&lt;span class="spacer"&gt;&lt;/span&gt;pendere（吊るす, 量る, 支払う）
io（名詞化）
&lt;span class="spacer"&gt;&lt;/span&gt;このまま日本語にすると「吊るすこと」となる。古代ローマでは、現代のようにお金に書かれた金額を信じるのではなく、金貨や銀貨などを天秤に吊るし、その重さで価値を決めて支払っていた。そこから吊るすという行為が、支払うという行為につながった。
&lt;span class="spacer"&gt;&lt;/span&gt;当初は報酬や手当といった定期的な支払いを表したが、時代が下り、過去の勤務や奉仕に対する定期的な支払い、すなわち「年金」という意味になった。
&lt;div class="sample_image pension"&gt;&lt;/div&gt;&lt;/span&gt;</v>
      </c>
      <c r="U37" s="14" t="str">
        <f>INDEX($L:$L, MATCH("compensate", $B:$B, 0))</f>
        <v>&lt;span class="w"&gt;&lt;b&gt;【1338.compensate：補償する, 埋め合わせる】&lt;/b&gt;&lt;/span&gt;
&lt;span class="ml"&gt;ラテン語に由来する語で、以下の2つの要素から成る。
&lt;span class="spacer"&gt;&lt;/span&gt;com（共に）
pendere（吊るす, 重さを量る, 支払う）
&lt;span class="spacer"&gt;&lt;/span&gt;このまま日本語にすると「共に吊るす」となる。これは、天秤の両側に物を載せて釣り合わせ、重さを量るイメージ。そこから、誰かが被った損失や被害（マイナス）を天秤の片方に載せ、もう片方に、それと釣り合うだけの金銭や代替物（プラス）を載せてバランスをとる、すなわち何かに対して「補償する, 埋め合わせる」という意味になった。
&lt;div class="sample_image compensate"&gt;&lt;/div&gt;&lt;/span&gt;</v>
      </c>
      <c r="V37" s="14" t="str">
        <f>INDEX($L:$L, MATCH("indispensable", $B:$B, 0))</f>
        <v>&lt;span class="w"&gt;&lt;b&gt;【1383.indispensable：不可欠な】&lt;/b&gt;&lt;/span&gt;
&lt;span class="ml"&gt;ラテン語に由来する語で、以下の3つの要素から成る。
&lt;span class="spacer"&gt;&lt;/span&gt;in（否定）
dispensare（免除を与える）
bilis（～できる）
&lt;span class="spacer"&gt;&lt;/span&gt;indispensableの意味を理解するには、まず動詞dispense（配る, なしで済ませる）から覚える必要がある。
&lt;span class="spacer"&gt;&lt;/span&gt;&lt;strong&gt;［dispenseの語源］&lt;/strong&gt;
英語dispense（配る, なしで済ませる）の語源であるラテン語dispensare（免除の許可を与える）は、dis（離れて）＋pendere（吊るす）に由来する。
&lt;span class="spacer"&gt;&lt;/span&gt;昔はお金を支払う際、天秤にお金を吊るして重さを量り、必要な分を分けて与えていたため、ラテン語dispensareは、お金を支払うこと・何かを管理して分け与えることを表した。それが英語dispenseには「配る」という意味で残っている。
&lt;span class="spacer"&gt;&lt;/span&gt;また、管理して何かを分け与えるという意味が、当時の教会や法律の文脈において、対象に義務や罰からの免除を与えるという意味で使われるようになった。そのため、英語dispenseは「なしで済ませる」という意味を持っている。
&lt;span class="spacer"&gt;&lt;/span&gt;&lt;strong&gt;［dispensableとindispensableへ］&lt;/strong&gt;
ラテン語dispensare （免除を与える）にbills（〜できる）が付くことで、免除を与えることができる、つまり「何かをなしで済ませることができる」となる（英語dispensable）。
&lt;span class="spacer"&gt;&lt;/span&gt;さらにそこにin（否定）が付くことで、免除できない、すなわち「それなしでは済ませられない」＝「不可欠な」という意味になる（英語indispensable）。&lt;/span&gt;</v>
      </c>
      <c r="W37" s="15"/>
      <c r="AU37" s="15"/>
      <c r="AV37" s="1" t="s">
        <v>1502</v>
      </c>
      <c r="BG37" s="7" t="s">
        <v>1503</v>
      </c>
      <c r="BH37" s="1" t="s">
        <v>2034</v>
      </c>
      <c r="BI37" s="2" t="s">
        <v>2052</v>
      </c>
      <c r="BJ37" s="1" t="s">
        <v>2031</v>
      </c>
      <c r="BK37" s="1" t="s">
        <v>2053</v>
      </c>
      <c r="BL37" s="1" t="s">
        <v>1875</v>
      </c>
      <c r="BM37" s="2" t="s">
        <v>7150</v>
      </c>
    </row>
    <row r="38" spans="1:69" ht="198" x14ac:dyDescent="0.45">
      <c r="A38" s="5">
        <v>37</v>
      </c>
      <c r="B38" s="8" t="s">
        <v>72</v>
      </c>
      <c r="C38" s="6" t="s">
        <v>1816</v>
      </c>
      <c r="D38" s="7" t="s">
        <v>9752</v>
      </c>
      <c r="E38" s="1" t="s">
        <v>1397</v>
      </c>
      <c r="F38" s="1" t="s">
        <v>8853</v>
      </c>
      <c r="G38" s="1"/>
      <c r="J38" s="1" t="s">
        <v>9753</v>
      </c>
      <c r="K38" s="2" t="s">
        <v>7188</v>
      </c>
      <c r="L38" s="3" t="s">
        <v>7976</v>
      </c>
      <c r="M38" s="1" t="s">
        <v>12128</v>
      </c>
      <c r="P38" s="7" t="s">
        <v>1241</v>
      </c>
      <c r="Q38" s="14" t="str">
        <f>INDEX($L:$L, MATCH("reject", $B:$B, 0))</f>
        <v>&lt;span class="w"&gt;&lt;b&gt;【431.reject：〜を拒否する】&lt;/b&gt;&lt;/span&gt;
&lt;span class="ml"&gt;ラテン語に由来する語で、以下の2つの要素から成る。
&lt;span class="spacer"&gt;&lt;/span&gt;re（逆に, 後ろへ）
iacere（投げる）
&lt;span class="spacer"&gt;&lt;/span&gt;このまま日本語にすると「逆に投げる」となる。これは、相手が差し出したものを投げて返すイメージ。そこから申し出や考えを「拒否する」という意味になる。
&lt;span class="spacer"&gt;&lt;/span&gt;rejectは、基準に達していなかったり、不適切と判断されたりすることによる拒否。
&lt;div class="sample_image reject"&gt;&lt;/div&gt;&lt;/span&gt;</v>
      </c>
      <c r="R38" s="14" t="str">
        <f>INDEX($L:$L, MATCH("project", $B:$B, 0))</f>
        <v>&lt;span class="w"&gt;&lt;b&gt;【68.project：計画】&lt;/b&gt;&lt;/span&gt;
&lt;span class="ml"&gt;ラテン語に由来する語で、以下の2つの要素から成る。
&lt;span class="spacer"&gt;&lt;/span&gt;pro（前方に）
icere（投げる）
&lt;span class="spacer"&gt;&lt;/span&gt;このまま日本語にすると「前方に投げる」となる。この「前方」とは時間的な前方＝未来のことで、未来に投げられたもの＝「計画」という意味になる。&lt;/span&gt;</v>
      </c>
      <c r="S38" s="14" t="str">
        <f>INDEX($L:$L, MATCH("subject", $B:$B, 0))</f>
        <v>&lt;span class="w"&gt;&lt;b&gt;【67.subject：話題, 科目, 主語, 被験者】&lt;/b&gt;&lt;/span&gt;
&lt;span class="ml"&gt;ラテン語に由来する語で、以下の2つの要素から成る。
&lt;span class="spacer"&gt;&lt;/span&gt;sub（下に）
icere（投げる）
&lt;span class="spacer"&gt;&lt;/span&gt;このまま日本語にすると「下に投げる」となる。これは「上下関係の下に位置する」というイメージで、subjectは下記の下段のような意味になる。
&lt;span class="spacer"&gt;&lt;/span&gt;上位［会話］［教科］［一文］
下位［話題］［科目］［主語］&lt;/span&gt;</v>
      </c>
      <c r="AU38" s="15"/>
      <c r="AV38" s="1" t="s">
        <v>1502</v>
      </c>
      <c r="BG38" s="7" t="s">
        <v>1503</v>
      </c>
      <c r="BH38" s="1" t="s">
        <v>2034</v>
      </c>
      <c r="BI38" s="2" t="s">
        <v>2054</v>
      </c>
      <c r="BJ38" s="1" t="s">
        <v>2031</v>
      </c>
      <c r="BK38" s="1" t="s">
        <v>2055</v>
      </c>
      <c r="BL38" s="1" t="s">
        <v>1875</v>
      </c>
      <c r="BM38" s="2" t="s">
        <v>7151</v>
      </c>
    </row>
    <row r="39" spans="1:69" ht="126" x14ac:dyDescent="0.45">
      <c r="A39" s="5">
        <v>38</v>
      </c>
      <c r="B39" s="8" t="s">
        <v>73</v>
      </c>
      <c r="C39" s="6" t="s">
        <v>1816</v>
      </c>
      <c r="D39" s="7" t="s">
        <v>9752</v>
      </c>
      <c r="E39" s="1" t="s">
        <v>1327</v>
      </c>
      <c r="F39" s="1" t="s">
        <v>8854</v>
      </c>
      <c r="G39" s="1"/>
      <c r="J39" s="1" t="s">
        <v>9753</v>
      </c>
      <c r="K39" s="2" t="s">
        <v>7152</v>
      </c>
      <c r="L39" s="4" t="s">
        <v>12101</v>
      </c>
      <c r="P39" s="7" t="s">
        <v>1241</v>
      </c>
      <c r="Q39" s="13" t="str">
        <f>INDEX($L:$L, MATCH("command", $B:$B, 0))</f>
        <v>&lt;span class="w"&gt;&lt;b&gt;【808.command：〜を命じる, 〜を指揮する, （景色）を見渡せる】&lt;/b&gt;&lt;/span&gt;
&lt;span class="ml"&gt;ラテン語に由来する語で、以下の3つの要素から成る。
&lt;span class="spacer"&gt;&lt;/span&gt;com（強意）
manus（手）
dare（与える）
&lt;span class="spacer"&gt;&lt;/span&gt;このまま日本語にすると「しっかり手で与える」となる。もともとは何かを手渡すことや委ねることを表したが、そこから意味が強まって、権力をもって「命じる」という意味になった。また、命令によって他の人や物を動かすことから「指揮する」、軍事において指揮者が戦場全体を見渡すことから、一般的に「景色を見渡す」という意味にもなった。
&lt;div class="sample_image command"&gt;&lt;/div&gt;&lt;/span&gt;</v>
      </c>
      <c r="R39" s="13" t="str">
        <f>INDEX($L:$L, MATCH("recommend", $B:$B, 0))</f>
        <v>&lt;span class="w"&gt;&lt;b&gt;【405.recommend：〜を勧める】&lt;/b&gt;&lt;/span&gt;
&lt;span class="ml"&gt;ラテン語に由来する語で、以下の2つの要素から成る。
&lt;span class="spacer"&gt;&lt;/span&gt;re（強意）
com（強意）
mendare（任せる）
&lt;span class="spacer"&gt;&lt;/span&gt;このまま日本語にすると「（人や物を）誰かに任せる」となる。特に信頼できるもの、価値あるものとして任せることから「勧める」という意味になる。&lt;/span&gt;</v>
      </c>
      <c r="AI39" s="15"/>
      <c r="AU39" s="15"/>
      <c r="AV39" s="1" t="s">
        <v>1502</v>
      </c>
      <c r="AW39" s="2" t="s">
        <v>7977</v>
      </c>
      <c r="BG39" s="7" t="s">
        <v>1503</v>
      </c>
      <c r="BH39" s="1" t="s">
        <v>2034</v>
      </c>
      <c r="BI39" s="2" t="s">
        <v>2056</v>
      </c>
      <c r="BJ39" s="1" t="s">
        <v>1967</v>
      </c>
      <c r="BK39" s="1" t="s">
        <v>2057</v>
      </c>
      <c r="BL39" s="1" t="s">
        <v>2031</v>
      </c>
      <c r="BM39" s="1" t="s">
        <v>2058</v>
      </c>
      <c r="BN39" s="1" t="s">
        <v>1875</v>
      </c>
      <c r="BO39" s="2" t="s">
        <v>2059</v>
      </c>
      <c r="BP39" s="1" t="s">
        <v>1865</v>
      </c>
      <c r="BQ39" s="2" t="s">
        <v>2060</v>
      </c>
    </row>
    <row r="40" spans="1:69" ht="216" x14ac:dyDescent="0.45">
      <c r="A40" s="5">
        <v>39</v>
      </c>
      <c r="B40" s="8" t="s">
        <v>74</v>
      </c>
      <c r="C40" s="6" t="s">
        <v>1816</v>
      </c>
      <c r="D40" s="7" t="s">
        <v>9752</v>
      </c>
      <c r="E40" s="1" t="s">
        <v>74</v>
      </c>
      <c r="F40" s="1"/>
      <c r="G40" s="1"/>
      <c r="J40" s="1" t="s">
        <v>9753</v>
      </c>
      <c r="K40" s="2" t="s">
        <v>7153</v>
      </c>
      <c r="L40" s="4" t="s">
        <v>7978</v>
      </c>
      <c r="M40" s="1" t="s">
        <v>12129</v>
      </c>
      <c r="P40" s="7" t="s">
        <v>1241</v>
      </c>
      <c r="Q40" s="14" t="str">
        <f>INDEX($L:$L, MATCH("fund", $B:$B, 0))</f>
        <v>&lt;span class="w"&gt;&lt;b&gt;【360.fund：基金, 資金】&lt;/b&gt;&lt;/span&gt;
&lt;span class="ml"&gt;ラテン語fundus（底, 基礎）に由来する。
&lt;span class="spacer"&gt;&lt;/span&gt;何かを支える土台というイメージから、ある目的のために利用可能なお金や財産＝「基金, 資金」という意味になる。&lt;/span&gt;</v>
      </c>
      <c r="R40" s="14" t="str">
        <f>INDEX($L:$L, MATCH("fundamental", $B:$B, 0))</f>
        <v>&lt;span class="w"&gt;&lt;b&gt;【383.fundamental：基本的な】&lt;/b&gt;&lt;/span&gt;
&lt;span class="ml"&gt;ラテン語に由来する語で、以下の3つの要素から成る。
&lt;span class="spacer"&gt;&lt;/span&gt;fundus（底, 基礎）から派生したfundare（土台を据える）
mentum（名詞化）
alis（形容詞化）
&lt;span class="spacer"&gt;&lt;/span&gt;このまま日本語にすると「土台となるものに関する」となる。何かを行ったり作ったりするときの土台を表すことから「基本的な」という意味になる。&lt;/span&gt;</v>
      </c>
      <c r="S40" s="13" t="str">
        <f>INDEX($L:$L, MATCH("profound", $B:$B, 0))</f>
        <v>&lt;span class="w"&gt;&lt;b&gt;【897.profound：重大な, 深い】&lt;/b&gt;&lt;/span&gt;
&lt;span class="ml"&gt;ラテン語に由来する語で、以下の2つの要素から成る。
&lt;span class="spacer"&gt;&lt;/span&gt;pro（前へ）
fundus（底）
&lt;span class="spacer"&gt;&lt;/span&gt;この語の核は「底に向かってどんどん前へ（下へ）進んでいく」。物理的に奥底深くへ達するイメージから、知識や心理、また影響や変化の度合いが表面にとどまらず奥深いことを表すようになり、「深い, 重大な」という意味になった。
&lt;div class="sample_image profound"&gt;&lt;/div&gt;&lt;/span&gt;</v>
      </c>
      <c r="AU40" s="15"/>
      <c r="AV40" s="1" t="s">
        <v>1502</v>
      </c>
      <c r="BG40" s="7" t="s">
        <v>1503</v>
      </c>
      <c r="BH40" s="1" t="s">
        <v>2034</v>
      </c>
      <c r="BI40" s="2" t="s">
        <v>2061</v>
      </c>
      <c r="BJ40" s="1" t="s">
        <v>2031</v>
      </c>
      <c r="BK40" s="1" t="s">
        <v>2062</v>
      </c>
      <c r="BL40" s="1" t="s">
        <v>1875</v>
      </c>
      <c r="BM40" s="2" t="s">
        <v>2063</v>
      </c>
    </row>
    <row r="41" spans="1:69" ht="180" x14ac:dyDescent="0.45">
      <c r="A41" s="5">
        <v>40</v>
      </c>
      <c r="B41" s="8" t="s">
        <v>75</v>
      </c>
      <c r="C41" s="6" t="s">
        <v>1816</v>
      </c>
      <c r="D41" s="7" t="s">
        <v>9752</v>
      </c>
      <c r="E41" s="1" t="s">
        <v>1467</v>
      </c>
      <c r="F41" s="1" t="s">
        <v>8855</v>
      </c>
      <c r="G41" s="1"/>
      <c r="J41" s="1" t="s">
        <v>9753</v>
      </c>
      <c r="K41" s="2" t="s">
        <v>7154</v>
      </c>
      <c r="L41" s="4" t="s">
        <v>7979</v>
      </c>
      <c r="M41" s="1" t="s">
        <v>12130</v>
      </c>
      <c r="P41" s="7" t="s">
        <v>1241</v>
      </c>
      <c r="Q41" s="14" t="str">
        <f>INDEX($L:$L, MATCH("supply", $B:$B, 0))</f>
        <v>&lt;span class="w"&gt;&lt;b&gt;【120.supply：～を供給する】&lt;/b&gt;&lt;/span&gt;
&lt;span class="ml"&gt;ラテン語に由来する語で、以下の2つの要素から成る。
&lt;span class="spacer"&gt;&lt;/span&gt;sub（下から）
plere（満たす）
&lt;span class="spacer"&gt;&lt;/span&gt;このまま日本語にすると「下から満たす」となる。減った分を下から補充して満たしていくイメージから、必要なものを「供給する」という意味になる。
&lt;div class="sample_image supply"&gt;&lt;/div&gt;
&lt;span class="spacer"&gt;&lt;/span&gt;supplyは不足している物資・資源・商品・エネルギーなどの補給で、ルートや方法が体系的に決まっているイメージ。&lt;/span&gt;</v>
      </c>
      <c r="R41" s="13" t="str">
        <f>INDEX($L:$L, MATCH("supplement", $B:$B, 0))</f>
        <v>&lt;span class="w"&gt;&lt;b&gt;【1158.supplement：サプリメント, 栄養補助剤, 補足】&lt;/b&gt;&lt;/span&gt;
&lt;span class="ml"&gt;ラテン語に由来する語で、以下の3つの要素から成る。
&lt;span class="spacer"&gt;&lt;/span&gt;sub（下から上へ）
plere（満たす）
mentum（名詞化）
&lt;span class="spacer"&gt;&lt;/span&gt;このまま日本語にすると「満たすもの」となる。そこから足りない部分を満たす「サプリメント, 補足」という意味になった。&lt;/span&gt;</v>
      </c>
      <c r="S41" s="13" t="str">
        <f>INDEX($L:$L, MATCH("implement", $B:$B, 0))</f>
        <v>&lt;span class="w"&gt;&lt;b&gt;【1238.implement：〜を実行する, 〜を実施する】&lt;/b&gt;&lt;/span&gt;
&lt;span class="ml"&gt;ラテン語に由来する語で、以下の2つの要素から成る。
&lt;span class="spacer"&gt;&lt;/span&gt;in（中に）
plere（満たす）
&lt;span class="spacer"&gt;&lt;/span&gt;このまま日本語にすると「中に満たす」となる。目的の達成や作業の完了のために必要なことを満たす、というイメージから、何かを行うための「道具, 手段」という名詞になった。
&lt;span class="spacer"&gt;&lt;/span&gt;そこから動詞になって、ある目的のための手段を「実行する, 実施する」という意味になった。
&lt;div class="sample_image implement"&gt;&lt;/div&gt;&lt;/span&gt;</v>
      </c>
      <c r="T41" s="13" t="str">
        <f>INDEX($L:$L, MATCH("accomplish", $B:$B, 0))</f>
        <v>&lt;span class="w"&gt;&lt;b&gt;【740.accomplish：〜を成し遂げる, 〜を達成する】&lt;/b&gt;&lt;/span&gt;
&lt;span class="ml"&gt;ラテン語に由来する語で、以下の3つの要素から成る。
&lt;span class="spacer"&gt;&lt;/span&gt;ad（〜へ）
com（強意）
plere（満たす）
&lt;span class="spacer"&gt;&lt;/span&gt;このまま日本語にすると「〜へ完全に満たす」となる。物理的に何かを完全に満たすことから発展して、最後までやり切って目標を果たす、つまり「成し遂げる, 達成する」という意味になる。&lt;/span&gt;</v>
      </c>
      <c r="U41" s="13" t="str">
        <f>INDEX($L:$L, MATCH("compliment", $B:$B, 0))</f>
        <v>&lt;span class="w"&gt;&lt;b&gt;【1045.compliment：賛辞, お世辞, 表敬】&lt;/b&gt;&lt;/span&gt;
&lt;span class="ml"&gt;ラテン語に由来する語で、以下の3つの要素から成る。
&lt;span class="spacer"&gt;&lt;/span&gt;com（強意）
plere（満たす）
mentum（名詞化）
&lt;span class="spacer"&gt;&lt;/span&gt;このまま日本語にすると「完全に満たすこと」となる。これがヨーロッパの宮廷文化において、礼儀上の作法や社交上の要求を完全に満たすことを指すようになり、そこから相手に対して敬意を表すこと＝「表敬」、純粋な敬意の表現＝「賛辞」、形だけは敬意を表すが、実際は思ってもいないことを含む＝「お世辞」といった意味になった。
&lt;div class="sample_image compliment"&gt;&lt;/div&gt;&lt;/span&gt;</v>
      </c>
      <c r="AU41" s="15"/>
      <c r="AV41" s="1" t="s">
        <v>1502</v>
      </c>
      <c r="BG41" s="7" t="s">
        <v>1503</v>
      </c>
      <c r="BH41" s="1" t="s">
        <v>2034</v>
      </c>
      <c r="BI41" s="2" t="s">
        <v>2064</v>
      </c>
      <c r="BJ41" s="1" t="s">
        <v>2031</v>
      </c>
      <c r="BK41" s="1" t="s">
        <v>2065</v>
      </c>
      <c r="BL41" s="1" t="s">
        <v>1875</v>
      </c>
      <c r="BM41" s="2" t="s">
        <v>2066</v>
      </c>
    </row>
    <row r="42" spans="1:69" ht="234" x14ac:dyDescent="0.45">
      <c r="A42" s="5">
        <v>41</v>
      </c>
      <c r="B42" s="8" t="s">
        <v>76</v>
      </c>
      <c r="C42" s="6" t="s">
        <v>6850</v>
      </c>
      <c r="D42" s="7" t="s">
        <v>9752</v>
      </c>
      <c r="E42" s="1" t="s">
        <v>76</v>
      </c>
      <c r="F42" s="1"/>
      <c r="G42" s="1"/>
      <c r="J42" s="1" t="s">
        <v>9753</v>
      </c>
      <c r="K42" s="2" t="s">
        <v>2067</v>
      </c>
      <c r="L42" s="4" t="s">
        <v>7980</v>
      </c>
      <c r="P42" s="7" t="s">
        <v>1241</v>
      </c>
      <c r="Q42" s="13" t="str">
        <f>INDEX($L:$L, MATCH("ideal", $B:$B, 0))</f>
        <v>&lt;span class="w"&gt;&lt;b&gt;【280.ideal：理想的な】&lt;/b&gt;&lt;/span&gt;
&lt;span class="ml"&gt;ラテン語に由来する語で、以下の2つの要素から成る。
&lt;span class="spacer"&gt;&lt;/span&gt;idea（イデア）
alis（形容詞化）
&lt;span class="spacer"&gt;&lt;/span&gt;イデアとは人間が感覚で知る現実世界ではなく、理性（頭）で知る本質的な世界を意味する。
&lt;span class="spacer"&gt;&lt;/span&gt;たとえば私たちは「三角形」というものを知っているが、現実世界に完璧な三角形は存在しない。実際に三角形を線で描いても拡大して見れば、角は完璧にとがっていないし直線も完璧なまっすぐな線ではない。しかし人間の頭の中には完璧な三角形がある。この頭で知っている完璧で完全なものがイデアと呼ばれる。
&lt;span class="spacer"&gt;&lt;/span&gt;この完璧で理想的であることからidealは「理想的な」になる。&lt;/span&gt;</v>
      </c>
      <c r="AU42" s="15"/>
      <c r="AV42" s="1" t="s">
        <v>1502</v>
      </c>
      <c r="BG42" s="7" t="s">
        <v>1503</v>
      </c>
      <c r="BH42" s="1" t="s">
        <v>2068</v>
      </c>
      <c r="BI42" s="2" t="s">
        <v>2069</v>
      </c>
      <c r="BJ42" s="1" t="s">
        <v>2070</v>
      </c>
      <c r="BK42" s="1" t="s">
        <v>2071</v>
      </c>
      <c r="BL42" s="1" t="s">
        <v>1237</v>
      </c>
      <c r="BM42" s="2" t="s">
        <v>2072</v>
      </c>
      <c r="BN42" s="1" t="s">
        <v>1875</v>
      </c>
      <c r="BO42" s="2" t="s">
        <v>2073</v>
      </c>
      <c r="BP42" s="1" t="s">
        <v>1865</v>
      </c>
      <c r="BQ42" s="2" t="s">
        <v>2074</v>
      </c>
    </row>
    <row r="43" spans="1:69" ht="252" x14ac:dyDescent="0.45">
      <c r="A43" s="5">
        <v>42</v>
      </c>
      <c r="B43" s="8" t="s">
        <v>77</v>
      </c>
      <c r="C43" s="6" t="s">
        <v>6850</v>
      </c>
      <c r="D43" s="7" t="s">
        <v>9752</v>
      </c>
      <c r="E43" s="1" t="s">
        <v>1346</v>
      </c>
      <c r="F43" s="1" t="s">
        <v>8856</v>
      </c>
      <c r="G43" s="1"/>
      <c r="J43" s="1" t="s">
        <v>9753</v>
      </c>
      <c r="K43" s="2" t="s">
        <v>7189</v>
      </c>
      <c r="L43" s="3" t="s">
        <v>10098</v>
      </c>
      <c r="M43" s="1" t="s">
        <v>12125</v>
      </c>
      <c r="P43" s="7" t="s">
        <v>1241</v>
      </c>
      <c r="Q43" s="13" t="str">
        <f>INDEX($L:$L, MATCH("courage", $B:$B, 0))</f>
        <v>&lt;span class="w"&gt;&lt;b&gt;【858.courage：勇気】&lt;/b&gt;&lt;/span&gt;
&lt;span class="ml"&gt;ラテン語cor（心・心臓）に由来する。&lt;span class="obsolete"&gt;age（名詞化）はフランス語段階で付いた。&lt;/span&gt;
&lt;span class="spacer"&gt;&lt;/span&gt;もともとは、人の内面の心や気持ちを表していたが、そこから困難や恐怖に直面したときにも揺らがずに行動できる心の強さを指すようになり、「勇気」という意味になった。&lt;/span&gt;</v>
      </c>
      <c r="R43" s="14" t="str">
        <f>INDEX($L:$L, MATCH("discourage", $B:$B, 0))</f>
        <v>&lt;span class="w"&gt;&lt;b&gt;【706.discourage：（人）にやる気をなくさせる, 〜を落胆させる】&lt;/b&gt;&lt;/span&gt;
&lt;span class="ml"&gt;古フランス語に由来する語で、以下の2つの要素から成る。
&lt;span class="spacer"&gt;&lt;/span&gt;des（離れて）
corage（勇気）
&lt;span class="spacer"&gt;&lt;/span&gt;この語の核は「行動へ向かう勇気を引き離す」。前向きな気持ちを失わせることから「落胆させる, やる気をなくさせる」という意味になる。&lt;/span&gt;</v>
      </c>
      <c r="S43" s="14" t="str">
        <f>INDEX($L:$L, MATCH("encourage", $B:$B, 0))</f>
        <v>&lt;span class="w"&gt;&lt;b&gt;【30.encourage：～を勧める, ～を励ます】&lt;/b&gt;&lt;/span&gt;
&lt;span class="ml"&gt;古フランス語に由来する語で、以下の2つの要素から成る。
&lt;span class="spacer"&gt;&lt;/span&gt;en（させる）
corage（勇気）
&lt;span class="obsolete"&gt;※corはラテン語の「心」&lt;/span&gt;
&lt;span class="spacer"&gt;&lt;/span&gt;この語の核は「勇気を出させる」ということ。勇気を出させる＝「励ます」、勇気づけてある行為の方へ進ませる＝「勧める」という意味になる。&lt;/span&gt;</v>
      </c>
      <c r="T43" s="13" t="str">
        <f>INDEX($L:$L, MATCH("core", $B:$B, 0))</f>
        <v>&lt;span class="w"&gt;&lt;b&gt;【849.core：核心, 芯】&lt;/b&gt;&lt;/span&gt;
&lt;span class="ml"&gt;ラテン語cor（心, 心臓）に由来する。
&lt;span class="spacer"&gt;&lt;/span&gt;心や心臓のように中心にあるものということから「核心, 芯」という意味になった。&lt;/span&gt;</v>
      </c>
      <c r="AI43" s="15"/>
      <c r="AJ43" s="15"/>
      <c r="AV43" s="1" t="s">
        <v>1502</v>
      </c>
      <c r="AW43" s="2"/>
      <c r="AX43" s="2"/>
      <c r="BG43" s="7" t="s">
        <v>1503</v>
      </c>
      <c r="BH43" s="1" t="s">
        <v>1976</v>
      </c>
      <c r="BI43" s="1" t="s">
        <v>2024</v>
      </c>
      <c r="BJ43" s="1" t="s">
        <v>2034</v>
      </c>
      <c r="BK43" s="1" t="s">
        <v>2075</v>
      </c>
      <c r="BL43" s="1" t="s">
        <v>2048</v>
      </c>
      <c r="BM43" s="1" t="s">
        <v>2076</v>
      </c>
      <c r="BN43" s="1" t="s">
        <v>2031</v>
      </c>
      <c r="BO43" s="2" t="s">
        <v>2077</v>
      </c>
      <c r="BP43" s="1" t="s">
        <v>1875</v>
      </c>
      <c r="BQ43" s="2" t="s">
        <v>2078</v>
      </c>
    </row>
    <row r="44" spans="1:69" ht="162" x14ac:dyDescent="0.45">
      <c r="A44" s="5">
        <v>43</v>
      </c>
      <c r="B44" s="8" t="s">
        <v>1557</v>
      </c>
      <c r="C44" s="6" t="s">
        <v>6850</v>
      </c>
      <c r="D44" s="7" t="s">
        <v>9752</v>
      </c>
      <c r="E44" s="1" t="s">
        <v>1467</v>
      </c>
      <c r="F44" s="1" t="s">
        <v>4229</v>
      </c>
      <c r="G44" s="1"/>
      <c r="J44" s="1" t="s">
        <v>9753</v>
      </c>
      <c r="K44" s="2" t="s">
        <v>7190</v>
      </c>
      <c r="L44" s="9" t="s">
        <v>10655</v>
      </c>
      <c r="P44" s="7" t="s">
        <v>1241</v>
      </c>
      <c r="Q44" s="13" t="str">
        <f>INDEX($L:$L, MATCH("accompany", $B:$B, 0))</f>
        <v>&lt;span class="w"&gt;&lt;b&gt;【713.accompany：〜に同行する】&lt;/b&gt;&lt;/span&gt;
&lt;span class="ml"&gt;古フランス語に由来する語で、以下の2つの要素から成る。
&lt;span class="spacer"&gt;&lt;/span&gt;à（〜へ）
compaignier（仲間として行く）
&lt;span class="spacer"&gt;&lt;/span&gt;このまま日本語にすると「どこかへ仲間として行く」となる。ここから「同行する」という意味になる。
&lt;span class="spacer"&gt;&lt;/span&gt;companyは、ラテン語com（共に）とpanis（パン）から成り、「共にパンを分ける者たち」から「仲間」という意味になった。&lt;/span&gt;</v>
      </c>
      <c r="AV44" s="1" t="s">
        <v>1502</v>
      </c>
      <c r="BG44" s="7" t="s">
        <v>1503</v>
      </c>
      <c r="BH44" s="1" t="s">
        <v>2034</v>
      </c>
      <c r="BI44" s="1" t="s">
        <v>2079</v>
      </c>
      <c r="BJ44" s="1" t="s">
        <v>2036</v>
      </c>
      <c r="BK44" s="1" t="s">
        <v>2080</v>
      </c>
      <c r="BL44" s="1" t="s">
        <v>2031</v>
      </c>
      <c r="BM44" s="1" t="s">
        <v>2081</v>
      </c>
      <c r="BN44" s="1" t="s">
        <v>1875</v>
      </c>
      <c r="BO44" s="2" t="s">
        <v>2082</v>
      </c>
      <c r="BP44" s="1" t="s">
        <v>1865</v>
      </c>
      <c r="BQ44" s="2" t="s">
        <v>2083</v>
      </c>
    </row>
    <row r="45" spans="1:69" ht="234" x14ac:dyDescent="0.45">
      <c r="A45" s="5">
        <v>44</v>
      </c>
      <c r="B45" s="8" t="s">
        <v>78</v>
      </c>
      <c r="C45" s="6" t="s">
        <v>6850</v>
      </c>
      <c r="D45" s="7" t="s">
        <v>9752</v>
      </c>
      <c r="E45" s="1" t="s">
        <v>1730</v>
      </c>
      <c r="F45" s="1" t="s">
        <v>8857</v>
      </c>
      <c r="G45" s="1"/>
      <c r="J45" s="1" t="s">
        <v>9753</v>
      </c>
      <c r="K45" s="2" t="s">
        <v>7155</v>
      </c>
      <c r="L45" s="4" t="s">
        <v>7981</v>
      </c>
      <c r="P45" s="7" t="s">
        <v>1241</v>
      </c>
      <c r="Q45" s="14" t="str">
        <f>INDEX($L:$L, MATCH("essential", $B:$B, 0))</f>
        <v>&lt;span class="w"&gt;&lt;b&gt;【186.essential：必要不可欠な, 本質的な】&lt;/b&gt;&lt;/span&gt;
&lt;span class="ml"&gt;ラテン語に由来する語で、以下の3つの要素から成る。
&lt;span class="spacer"&gt;&lt;/span&gt;esse（存在する）
ia（名詞化）
alis（形容詞化）
&lt;span class="spacer"&gt;&lt;/span&gt;このまま日本語にすると「存在することに関する」となる。ここで言う「存在に関する」とは、たとえば人を人として存在させているような「根本的な性質に関する」ということ。ここから「本質的な」という意味になる。また本質は、なくてはならないものなので「必要不可欠な」という意味になる。&lt;/span&gt;</v>
      </c>
      <c r="R45" s="14" t="str">
        <f>INDEX($L:$L, MATCH("represent", $B:$B, 0))</f>
        <v>&lt;span class="w"&gt;&lt;b&gt;【202.represent：～を表す, ～を代表する】&lt;/b&gt;&lt;/span&gt;
&lt;span class="ml"&gt;ラテン語に由来する語で、以下の3つの要素から成る。
&lt;span class="spacer"&gt;&lt;/span&gt;re（強意）
prae（前に）
esse（存在する）
&lt;span class="spacer"&gt;&lt;/span&gt;このまま日本語にすると「まさに目の前に存在する」「他の者よりも前に存在する」となる。目の前に存在するということから、何かを「示す, 表す」という意味になる。また他の者よりも前にいるということから「代表する」という意味になる。
&lt;div class="sample_image represent"&gt;&lt;/div&gt;&lt;/span&gt;</v>
      </c>
      <c r="S45" s="14" t="str">
        <f>INDEX($L:$L, MATCH("presence", $B:$B, 0))</f>
        <v>&lt;span class="w"&gt;&lt;b&gt;【446.presence：存在, 出席, 面前】&lt;/b&gt;&lt;/span&gt;
&lt;span class="ml"&gt;ラテン語に由来する語で、以下の2つの要素から成る。
&lt;span class="spacer"&gt;&lt;/span&gt;prae（前に）
esse（存在する）
&lt;span class="spacer"&gt;&lt;/span&gt;このまま日本語にすると「前に存在する」となる。目の前に存在するというイメージから「存在, 出席, 面前」という意味になる。
&lt;span class="spacer"&gt;&lt;/span&gt;形容詞present（存在している, 出席している, 現在の）も同じ語源。&lt;/span&gt;</v>
      </c>
      <c r="AU45" s="15"/>
      <c r="AV45" s="1" t="s">
        <v>1502</v>
      </c>
      <c r="BG45" s="7" t="s">
        <v>1503</v>
      </c>
      <c r="BH45" s="1" t="s">
        <v>2034</v>
      </c>
      <c r="BI45" s="2" t="s">
        <v>2084</v>
      </c>
      <c r="BJ45" s="1" t="s">
        <v>2031</v>
      </c>
      <c r="BK45" s="1" t="s">
        <v>2085</v>
      </c>
      <c r="BL45" s="1" t="s">
        <v>1875</v>
      </c>
      <c r="BM45" s="2" t="s">
        <v>2086</v>
      </c>
      <c r="BN45" s="1" t="s">
        <v>1865</v>
      </c>
      <c r="BO45" s="2" t="s">
        <v>2087</v>
      </c>
    </row>
    <row r="46" spans="1:69" ht="162" x14ac:dyDescent="0.45">
      <c r="A46" s="5">
        <v>45</v>
      </c>
      <c r="B46" s="8" t="s">
        <v>79</v>
      </c>
      <c r="C46" s="6" t="s">
        <v>6850</v>
      </c>
      <c r="D46" s="7" t="s">
        <v>9752</v>
      </c>
      <c r="E46" s="1" t="s">
        <v>1251</v>
      </c>
      <c r="F46" s="1" t="s">
        <v>108</v>
      </c>
      <c r="G46" s="1"/>
      <c r="J46" s="1" t="s">
        <v>9753</v>
      </c>
      <c r="K46" s="2" t="s">
        <v>7156</v>
      </c>
      <c r="L46" s="4" t="s">
        <v>7982</v>
      </c>
      <c r="P46" s="7" t="s">
        <v>1241</v>
      </c>
      <c r="Q46" s="13" t="str">
        <f>INDEX($L:$L, MATCH("search", $B:$B, 0))</f>
        <v>&lt;span class="w"&gt;&lt;b&gt;【134.search：〜を探す】&lt;/b&gt;&lt;/span&gt;
&lt;span class="ml"&gt;ラテン語circus（円）から派生した動詞circare（ぐるぐる歩き回る）に由来する。
&lt;span class="spacer"&gt;&lt;/span&gt;ぐるぐる歩き回る様子から、何かを求めてさまよう＝「探す」という意味になる。&lt;/span&gt;</v>
      </c>
      <c r="AU46" s="15"/>
      <c r="AV46" s="1" t="s">
        <v>1502</v>
      </c>
      <c r="BG46" s="7" t="s">
        <v>1503</v>
      </c>
      <c r="BH46" s="1" t="s">
        <v>2034</v>
      </c>
      <c r="BI46" s="2" t="s">
        <v>2088</v>
      </c>
      <c r="BJ46" s="1" t="s">
        <v>2036</v>
      </c>
      <c r="BK46" s="1" t="s">
        <v>2089</v>
      </c>
      <c r="BL46" s="1" t="s">
        <v>2031</v>
      </c>
      <c r="BM46" s="2" t="s">
        <v>2090</v>
      </c>
      <c r="BN46" s="1" t="s">
        <v>2017</v>
      </c>
      <c r="BO46" s="2" t="s">
        <v>7157</v>
      </c>
      <c r="BP46" s="1" t="s">
        <v>1865</v>
      </c>
      <c r="BQ46" s="2" t="s">
        <v>7158</v>
      </c>
    </row>
    <row r="47" spans="1:69" ht="180" x14ac:dyDescent="0.45">
      <c r="A47" s="5">
        <v>46</v>
      </c>
      <c r="B47" s="8" t="s">
        <v>80</v>
      </c>
      <c r="C47" s="6" t="s">
        <v>6850</v>
      </c>
      <c r="D47" s="7" t="s">
        <v>9752</v>
      </c>
      <c r="E47" s="1" t="s">
        <v>80</v>
      </c>
      <c r="F47" s="1"/>
      <c r="G47" s="1"/>
      <c r="J47" s="1" t="s">
        <v>9753</v>
      </c>
      <c r="K47" s="2" t="s">
        <v>7159</v>
      </c>
      <c r="L47" s="9" t="s">
        <v>7983</v>
      </c>
      <c r="P47" s="7" t="s">
        <v>1241</v>
      </c>
      <c r="Q47" s="13" t="str">
        <f>INDEX($L:$L, MATCH("accuse", $B:$B, 0))</f>
        <v>&lt;span class="w"&gt;&lt;b&gt;【1122.accuse：〜を非難する, 〜を告訴する】&lt;/b&gt;&lt;/span&gt;
&lt;span class="ml"&gt;ラテン語に由来する語で、以下の2つの要素から成る。
&lt;span class="spacer"&gt;&lt;/span&gt;ad（〜へ）
causa（原因, 訴訟：causeの語源）
&lt;span class="spacer"&gt;&lt;/span&gt;この語の核は「誰かに対して原因や訴訟を向ける」。相手に対して法的に訴えを起こすだけではなく、一般的な非難にもなって、相手を「非難する, 告訴する」という意味になった。
&lt;div class="sample_image accuse"&gt;&lt;/div&gt;
&lt;span class="spacer"&gt;&lt;/span&gt;excuse（許す, 言い訳をする）は、ex（外に）＋causa（原因, 訴訟）から成り、「相手を原因や訴訟から外す」イメージ。そこから相手に原因を向けない＝「許す」や、原因を自分に向けない＝「言い訳をする」といった意味になる。&lt;/span&gt;</v>
      </c>
      <c r="AV47" s="1" t="s">
        <v>1502</v>
      </c>
      <c r="BG47" s="7" t="s">
        <v>1503</v>
      </c>
      <c r="BH47" s="1" t="s">
        <v>1978</v>
      </c>
      <c r="BI47" s="1" t="s">
        <v>2091</v>
      </c>
      <c r="BJ47" s="1" t="s">
        <v>1959</v>
      </c>
      <c r="BK47" s="1" t="s">
        <v>2092</v>
      </c>
      <c r="BL47" s="1" t="s">
        <v>1875</v>
      </c>
      <c r="BM47" s="2" t="s">
        <v>7160</v>
      </c>
    </row>
    <row r="48" spans="1:69" ht="198" x14ac:dyDescent="0.45">
      <c r="A48" s="5">
        <v>47</v>
      </c>
      <c r="B48" s="8" t="s">
        <v>81</v>
      </c>
      <c r="C48" s="6" t="s">
        <v>6850</v>
      </c>
      <c r="D48" s="7" t="s">
        <v>9752</v>
      </c>
      <c r="E48" s="1" t="s">
        <v>7161</v>
      </c>
      <c r="F48" s="1" t="s">
        <v>6427</v>
      </c>
      <c r="G48" s="1"/>
      <c r="J48" s="1" t="s">
        <v>9753</v>
      </c>
      <c r="K48" s="2" t="s">
        <v>7191</v>
      </c>
      <c r="L48" s="2" t="s">
        <v>7984</v>
      </c>
      <c r="M48" s="1" t="s">
        <v>12131</v>
      </c>
      <c r="P48" s="7" t="s">
        <v>1241</v>
      </c>
      <c r="Q48" s="14" t="str">
        <f>INDEX($L:$L, MATCH("ratio", $B:$B, 0))</f>
        <v>&lt;span class="w"&gt;&lt;b&gt;【975.ratio：比率】&lt;/b&gt;&lt;/span&gt;
&lt;span class="ml"&gt;ラテン語に由来する語で、以下の2つの要素から成る。
&lt;span class="spacer"&gt;&lt;/span&gt;reri（計算する, 考える）
io（名詞化）
&lt;span class="spacer"&gt;&lt;/span&gt;この語の核は「論理的な思考」。そこから計算すること、考えることの2つを表したが、英語に入ってくるまでに計算系の語と思考系の語に分かれた。
&lt;span class="spacer"&gt;&lt;/span&gt;計算系の語はratioとなり、数学において、あるものと別のものの数量を比べる「比率」という意味で使われるようになった。
&lt;span class="spacer"&gt;&lt;/span&gt;一方、思考系の語はreasonとなり、理由や理性を意味するようになった。&lt;/span&gt;&lt;/span&gt;</v>
      </c>
      <c r="R48" s="13" t="str">
        <f>INDEX($L:$L, MATCH("rational", $B:$B, 0))</f>
        <v>&lt;span class="w"&gt;&lt;b&gt;【686.rational：理性的な, 合理的な】&lt;/b&gt;&lt;/span&gt;
&lt;span class="ml"&gt;ラテン語に由来する語で、以下の2つの要素から成る。
&lt;span class="spacer"&gt;&lt;/span&gt;reri（計算する, 考える）
io（名詞化）
alis（形容詞化）
&lt;span class="spacer"&gt;&lt;/span&gt;もともとは、計算・思考・理由づけといった頭の中で物事を順序立てて考えることを表していた。そこから抽象化して、論理的に判断する能力としての理性を表すようになり、「理性的な, 合理的な」という意味になった。&lt;/span&gt;</v>
      </c>
      <c r="AU48" s="15"/>
      <c r="AV48" s="1" t="s">
        <v>1502</v>
      </c>
      <c r="BG48" s="7" t="s">
        <v>1503</v>
      </c>
      <c r="BH48" s="1" t="s">
        <v>2034</v>
      </c>
      <c r="BI48" s="2" t="s">
        <v>2093</v>
      </c>
      <c r="BJ48" s="1" t="s">
        <v>2031</v>
      </c>
      <c r="BK48" s="1" t="s">
        <v>7162</v>
      </c>
      <c r="BL48" s="1" t="s">
        <v>2094</v>
      </c>
      <c r="BM48" s="1" t="s">
        <v>2095</v>
      </c>
      <c r="BN48" s="1" t="s">
        <v>1875</v>
      </c>
      <c r="BO48" s="2" t="s">
        <v>2096</v>
      </c>
    </row>
    <row r="49" spans="1:71" ht="216" x14ac:dyDescent="0.45">
      <c r="A49" s="5">
        <v>48</v>
      </c>
      <c r="B49" s="8" t="s">
        <v>1263</v>
      </c>
      <c r="C49" s="6" t="s">
        <v>6850</v>
      </c>
      <c r="D49" s="7" t="s">
        <v>9752</v>
      </c>
      <c r="E49" s="1" t="s">
        <v>1444</v>
      </c>
      <c r="F49" s="1" t="s">
        <v>4825</v>
      </c>
      <c r="G49" s="1"/>
      <c r="J49" s="1" t="s">
        <v>9753</v>
      </c>
      <c r="K49" s="2" t="s">
        <v>7192</v>
      </c>
      <c r="L49" s="4" t="s">
        <v>7985</v>
      </c>
      <c r="M49" s="1" t="s">
        <v>12123</v>
      </c>
      <c r="P49" s="7" t="s">
        <v>1241</v>
      </c>
      <c r="Q49" s="14" t="str">
        <f>INDEX($L:$L, MATCH("affect", $B:$B, 0))</f>
        <v>&lt;span class="w"&gt;&lt;b&gt;【25.affect：～に影響する】&lt;/b&gt;&lt;/span&gt;
&lt;span class="ml"&gt;ラテン語に由来する語で、以下の2つの要素から成る。
&lt;span class="spacer"&gt;&lt;/span&gt;ad（～へ）
facere（する, 作る）
&lt;span class="spacer"&gt;&lt;/span&gt;このまま日本語にすると「～へ何かをする」となる。ここから精神的もしくは物理的に「影響する」という意味になる。&lt;/span&gt;</v>
      </c>
      <c r="R49" s="13" t="str">
        <f>INDEX($L:$L, MATCH("infection", $B:$B, 0))</f>
        <v>&lt;span class="w"&gt;&lt;b&gt;【852.infection：感染（症）】&lt;/b&gt;&lt;/span&gt;
&lt;span class="ml"&gt;ラテン語に由来する語で、以下の3つの要素から成る。
&lt;span class="spacer"&gt;&lt;/span&gt;in（中に）
facere（行う, 作る）
io（名詞化）
&lt;span class="spacer"&gt;&lt;/span&gt;このまま日本語にすると「中に（入れて）行う」となる。もともとは、布を染料の中に入れて染めることを表したが、次第に美しく染めるだけではなく、悪いものが入り込んで汚染することも表すようになった。そこから医学において、悪いものが体の中に入って健康体を病気に染めていくこと、つまり「感染（症）」という意味になった。
&lt;div class="sample_image infection"&gt;&lt;/div&gt;&lt;/span&gt;</v>
      </c>
      <c r="S49" s="13" t="str">
        <f>INDEX($L:$L, MATCH("efficient", $B:$B, 0))</f>
        <v>&lt;span class="w"&gt;&lt;b&gt;【281.efficient：効率的な, 有能な】&lt;/b&gt;&lt;/span&gt;
&lt;span class="ml"&gt;ラテン語に由来する語で、以下の2つの要素から成る。
&lt;span class="spacer"&gt;&lt;/span&gt;ex（外に）
facere（作る, する）
&lt;span class="spacer"&gt;&lt;/span&gt;この語の核は何かを外に作り出す際に「テキパキしている」こと。結果や効果を作り出す際に無駄なく、素早く行うことから「効率的な, 有能な」という意味になる。
&lt;div class="sample_image efficient"&gt;&lt;/div&gt;&lt;/span&gt;</v>
      </c>
      <c r="T49" s="13" t="str">
        <f>INDEX($L:$L, MATCH("sufficient", $B:$B, 0))</f>
        <v>&lt;span class="w"&gt;&lt;b&gt;【483.sufficient：十分な（=enough）】&lt;/b&gt;&lt;/span&gt;
&lt;span class="ml"&gt;ラテン語に由来する語で、以下の2つの要素から成る。
&lt;span class="spacer"&gt;&lt;/span&gt;sub（下から）
facere（行う, 作る）
&lt;span class="spacer"&gt;&lt;/span&gt;このまま日本語にすると「下から作る」となる。これは、下から必要とされるラインまで作り上げるというイメージ。ここから、数量が足りていて「十分な」という意味になる。
&lt;div class="sample_image sufficient"&gt;&lt;/div&gt;
&lt;span class="spacer"&gt;&lt;/span&gt;［sufficientとadequate］
&lt;span class="spacer"&gt;&lt;/span&gt;sufficient：必要な分まで足りるという意味で「十分な」という感じ。否定のinsufficientは「不足している」という意味になる。
&lt;span class="spacer"&gt;&lt;/span&gt;adequate：必要最低限の水準は満たしていて「十分な」という感じ。否定のinadequateは「不適切な」という意味になる。またadequateは、質はまぁまぁという少しネガティブな印象を含むことがある。&lt;/span&gt;</v>
      </c>
      <c r="U49" s="13" t="str">
        <f>INDEX($L:$L, MATCH("insufficient", $B:$B, 0))</f>
        <v>&lt;span class="w"&gt;&lt;b&gt;【1484.insufficient：不十分な】&lt;/b&gt;&lt;/span&gt;
&lt;span class="ml"&gt;ラテン語に由来する語で、以下の2つの要素から成る。
&lt;span class="spacer"&gt;&lt;/span&gt;in（否定）
sufficientem（十分な）
&lt;span class="spacer"&gt;&lt;/span&gt;十分であることを否定するので「不十分な」という意味になる。
&lt;span class="spacer"&gt;&lt;/span&gt;sufficientは関連語を参照。&lt;/span&gt;</v>
      </c>
      <c r="AI49" s="15"/>
      <c r="AU49" s="15"/>
      <c r="AV49" s="1" t="s">
        <v>1502</v>
      </c>
      <c r="AW49" s="2"/>
      <c r="BG49" s="7" t="s">
        <v>1503</v>
      </c>
      <c r="BH49" s="1" t="s">
        <v>2034</v>
      </c>
      <c r="BI49" s="2" t="s">
        <v>2097</v>
      </c>
      <c r="BJ49" s="1" t="s">
        <v>2031</v>
      </c>
      <c r="BK49" s="1" t="s">
        <v>2098</v>
      </c>
      <c r="BL49" s="1" t="s">
        <v>1875</v>
      </c>
      <c r="BM49" s="2" t="s">
        <v>2481</v>
      </c>
      <c r="BN49" s="1" t="s">
        <v>1865</v>
      </c>
      <c r="BO49" s="2" t="s">
        <v>2099</v>
      </c>
    </row>
    <row r="50" spans="1:71" ht="126" x14ac:dyDescent="0.45">
      <c r="A50" s="5">
        <v>49</v>
      </c>
      <c r="B50" s="8" t="s">
        <v>82</v>
      </c>
      <c r="C50" s="6" t="s">
        <v>6850</v>
      </c>
      <c r="D50" s="7" t="s">
        <v>9752</v>
      </c>
      <c r="E50" s="1" t="s">
        <v>27</v>
      </c>
      <c r="F50" s="1" t="s">
        <v>6240</v>
      </c>
      <c r="G50" s="1" t="s">
        <v>1895</v>
      </c>
      <c r="J50" s="1" t="s">
        <v>9753</v>
      </c>
      <c r="K50" s="2" t="s">
        <v>7163</v>
      </c>
      <c r="L50" s="9" t="s">
        <v>7986</v>
      </c>
      <c r="M50" s="1" t="s">
        <v>12132</v>
      </c>
      <c r="P50" s="7" t="s">
        <v>1241</v>
      </c>
      <c r="Q50" s="14" t="str">
        <f>INDEX($L:$L, MATCH("flow", $B:$B, 0))</f>
        <v>&lt;span class="w"&gt;&lt;b&gt;【334.flow：流れる, 生じる】&lt;/b&gt;&lt;/span&gt;
&lt;span class="ml"&gt;印欧祖語*pleu-（流れる, 流動する）に由来する。
&lt;span class="spacer"&gt;&lt;/span&gt;印欧祖語から意味の変化はほとんどない。&lt;/span&gt;</v>
      </c>
      <c r="R50" s="13" t="str">
        <f>INDEX($L:$L, MATCH("float", $B:$B, 0))</f>
        <v>&lt;span class="w"&gt;&lt;b&gt;【908.float：漂う, 浮かぶ, 〜を浮かべる】&lt;/b&gt;&lt;/span&gt;
&lt;span class="ml"&gt;古英語flotian（水面に浮かぶ）にさかのぼる。
&lt;span class="spacer"&gt;&lt;/span&gt;fl-で始まる単語は、flow / fly / flee / floodなど、風や水にふわりと乗って動いていくイメージ。ここから「漂う, 浮かぶ, 浮かべる」という意味になる。&lt;/span&gt;</v>
      </c>
      <c r="S50" s="13" t="str">
        <f>INDEX($L:$L, MATCH("flee", $B:$B, 0))</f>
        <v>&lt;span class="w"&gt;&lt;b&gt;【1312.flee：逃げる】&lt;/b&gt;&lt;/span&gt;
&lt;span class="ml"&gt;印欧祖語*pleu-（流れる）にさかのぼる。
&lt;span class="spacer"&gt;&lt;/span&gt;この印欧祖語からはflyやflowも生まれている。この語の核は「流れるような素早い動き」。流れるようにスッと危険や脅威から離れることから「逃げる」という意味になった。&lt;/span&gt;</v>
      </c>
      <c r="T50" s="13" t="str">
        <f>INDEX($L:$L, MATCH("fluent", $B:$B, 0))</f>
        <v>&lt;span class="w"&gt;&lt;b&gt;【988.fluent：流ちょうな】&lt;/b&gt;&lt;/span&gt;
&lt;span class="ml"&gt;ラテン語fluere（流れる, 流れ出る）に由来する。
&lt;span class="spacer"&gt;&lt;/span&gt;もともとは物理的な流れるという意味だったが、そこから水が流れるように言葉が出てくることから「流ちょうな」という意味になった。
&lt;span class="spacer"&gt;&lt;/span&gt;このfl部分の「流れる」というイメージは、fluid（液体）やinfluence（影響）、インフルエンザのfluにも見られる。&lt;/span&gt;</v>
      </c>
      <c r="U50" s="13" t="str">
        <f>INDEX($L:$L, MATCH("fluid", $B:$B, 0))</f>
        <v>&lt;span class="w"&gt;&lt;b&gt;【1254.fluid：流動体, 液体, 気体】&lt;/b&gt;&lt;/span&gt;
&lt;span class="ml"&gt;ラテン語に由来する語で、以下の2つの要素から成る。
&lt;span class="spacer"&gt;&lt;/span&gt;fluere（流れる）
idus（形容詞化）
&lt;span class="spacer"&gt;&lt;/span&gt;この語の核は「形が定まらず流れるような感じ」。もともとは、流れるような様子を表す形容詞だったが、それが名詞として使われるようになり、流れるもの、すなわち「流動体, 液体, 気体」という意味になった。fluidは現在でも形容詞としても使われる。&lt;/span&gt;</v>
      </c>
      <c r="AU50" s="15"/>
      <c r="AV50" s="1" t="s">
        <v>1502</v>
      </c>
      <c r="BG50" s="7" t="s">
        <v>1503</v>
      </c>
      <c r="BH50" s="1" t="s">
        <v>2034</v>
      </c>
      <c r="BI50" s="2" t="s">
        <v>2100</v>
      </c>
      <c r="BJ50" s="1" t="s">
        <v>1967</v>
      </c>
      <c r="BK50" s="2" t="s">
        <v>2101</v>
      </c>
      <c r="BL50" s="1" t="s">
        <v>2031</v>
      </c>
      <c r="BM50" s="1" t="s">
        <v>2102</v>
      </c>
      <c r="BN50" s="1" t="s">
        <v>1875</v>
      </c>
      <c r="BO50" s="2" t="s">
        <v>7164</v>
      </c>
      <c r="BP50" s="1" t="s">
        <v>1865</v>
      </c>
      <c r="BQ50" s="2" t="s">
        <v>2103</v>
      </c>
    </row>
    <row r="51" spans="1:71" ht="90" x14ac:dyDescent="0.45">
      <c r="A51" s="5">
        <v>50</v>
      </c>
      <c r="B51" s="8" t="s">
        <v>1892</v>
      </c>
      <c r="C51" s="6" t="s">
        <v>6850</v>
      </c>
      <c r="D51" s="7" t="s">
        <v>9752</v>
      </c>
      <c r="E51" s="1" t="s">
        <v>7165</v>
      </c>
      <c r="F51" s="1" t="s">
        <v>1584</v>
      </c>
      <c r="G51" s="1"/>
      <c r="J51" s="1" t="s">
        <v>9753</v>
      </c>
      <c r="K51" s="2" t="s">
        <v>7166</v>
      </c>
      <c r="L51" s="4" t="s">
        <v>7987</v>
      </c>
      <c r="P51" s="7" t="s">
        <v>1241</v>
      </c>
      <c r="AU51" s="15"/>
      <c r="AV51" s="1" t="s">
        <v>1502</v>
      </c>
      <c r="BG51" s="7" t="s">
        <v>1503</v>
      </c>
      <c r="BH51" s="1" t="s">
        <v>2034</v>
      </c>
      <c r="BI51" s="2" t="s">
        <v>2104</v>
      </c>
      <c r="BJ51" s="1" t="s">
        <v>1967</v>
      </c>
      <c r="BK51" s="2" t="s">
        <v>2105</v>
      </c>
      <c r="BL51" s="1" t="s">
        <v>2031</v>
      </c>
      <c r="BM51" s="1" t="s">
        <v>2106</v>
      </c>
      <c r="BN51" s="1" t="s">
        <v>1875</v>
      </c>
      <c r="BO51" s="2" t="s">
        <v>7167</v>
      </c>
      <c r="BP51" s="1" t="s">
        <v>1865</v>
      </c>
      <c r="BQ51" s="2" t="s">
        <v>2107</v>
      </c>
    </row>
    <row r="52" spans="1:71" ht="216" x14ac:dyDescent="0.45">
      <c r="A52" s="5">
        <v>51</v>
      </c>
      <c r="B52" s="8" t="s">
        <v>1266</v>
      </c>
      <c r="C52" s="6" t="s">
        <v>6850</v>
      </c>
      <c r="D52" s="7" t="s">
        <v>9752</v>
      </c>
      <c r="E52" s="1" t="s">
        <v>1447</v>
      </c>
      <c r="F52" s="1" t="s">
        <v>8858</v>
      </c>
      <c r="G52" s="1" t="s">
        <v>1517</v>
      </c>
      <c r="J52" s="1" t="s">
        <v>9753</v>
      </c>
      <c r="K52" s="2" t="s">
        <v>7193</v>
      </c>
      <c r="L52" s="3" t="s">
        <v>7988</v>
      </c>
      <c r="P52" s="7" t="s">
        <v>1241</v>
      </c>
      <c r="AU52" s="15"/>
      <c r="AV52" s="1" t="s">
        <v>1502</v>
      </c>
      <c r="BG52" s="7" t="s">
        <v>1503</v>
      </c>
      <c r="BH52" s="1" t="s">
        <v>1504</v>
      </c>
      <c r="BI52" s="2" t="s">
        <v>2108</v>
      </c>
      <c r="BJ52" s="1" t="s">
        <v>1875</v>
      </c>
      <c r="BK52" s="2" t="s">
        <v>2109</v>
      </c>
      <c r="BL52" s="1" t="s">
        <v>1883</v>
      </c>
      <c r="BM52" s="2" t="s">
        <v>7168</v>
      </c>
    </row>
    <row r="53" spans="1:71" ht="108" x14ac:dyDescent="0.45">
      <c r="A53" s="5">
        <v>52</v>
      </c>
      <c r="B53" s="8" t="s">
        <v>83</v>
      </c>
      <c r="C53" s="6" t="s">
        <v>6850</v>
      </c>
      <c r="D53" s="7" t="s">
        <v>9752</v>
      </c>
      <c r="E53" s="1" t="s">
        <v>83</v>
      </c>
      <c r="F53" s="1"/>
      <c r="G53" s="1"/>
      <c r="J53" s="1" t="s">
        <v>9753</v>
      </c>
      <c r="K53" s="2" t="s">
        <v>7194</v>
      </c>
      <c r="L53" s="9" t="s">
        <v>7989</v>
      </c>
      <c r="P53" s="7" t="s">
        <v>1241</v>
      </c>
      <c r="AV53" s="1" t="s">
        <v>1502</v>
      </c>
      <c r="BG53" s="7" t="s">
        <v>1503</v>
      </c>
      <c r="BH53" s="1" t="s">
        <v>2110</v>
      </c>
      <c r="BI53" s="1" t="s">
        <v>2111</v>
      </c>
      <c r="BJ53" s="1" t="s">
        <v>1875</v>
      </c>
      <c r="BK53" s="2" t="s">
        <v>2482</v>
      </c>
    </row>
    <row r="54" spans="1:71" ht="180" x14ac:dyDescent="0.45">
      <c r="A54" s="5">
        <v>53</v>
      </c>
      <c r="B54" s="8" t="s">
        <v>84</v>
      </c>
      <c r="C54" s="6" t="s">
        <v>6850</v>
      </c>
      <c r="D54" s="7" t="s">
        <v>9752</v>
      </c>
      <c r="E54" s="1" t="s">
        <v>84</v>
      </c>
      <c r="F54" s="1"/>
      <c r="G54" s="1"/>
      <c r="J54" s="1" t="s">
        <v>9753</v>
      </c>
      <c r="K54" s="2" t="s">
        <v>7195</v>
      </c>
      <c r="L54" s="4" t="s">
        <v>7990</v>
      </c>
      <c r="P54" s="7" t="s">
        <v>1241</v>
      </c>
      <c r="Q54" s="13" t="str">
        <f>INDEX($L:$L, MATCH("material", $B:$B, 0))</f>
        <v>&lt;span class="w"&gt;&lt;b&gt;【73.material：素材, 材料】&lt;/b&gt;&lt;/span&gt;
&lt;span class="ml"&gt;ラテン語mater（母, 起源, 源）に由来する。このラテン語は、英語mother（母）と同じで印欧祖語*mater-（母）にさかのぼる。
&lt;span class="spacer"&gt;&lt;/span&gt;「母」は生命の源であることから、起源や根源といった何かの「中心」というイメージと結びつく。このイメージから、materialは何かを作るときの中心となるもの＝「材料, 素材」という意味になる。&lt;/span&gt;</v>
      </c>
      <c r="AU54" s="15"/>
      <c r="AV54" s="1" t="s">
        <v>1502</v>
      </c>
      <c r="BG54" s="7" t="s">
        <v>1503</v>
      </c>
      <c r="BH54" s="1" t="s">
        <v>2034</v>
      </c>
      <c r="BI54" s="2" t="s">
        <v>7196</v>
      </c>
      <c r="BJ54" s="1" t="s">
        <v>1504</v>
      </c>
      <c r="BK54" s="1" t="s">
        <v>2113</v>
      </c>
      <c r="BL54" s="1" t="s">
        <v>2114</v>
      </c>
      <c r="BM54" s="1" t="s">
        <v>2115</v>
      </c>
      <c r="BN54" s="1" t="s">
        <v>1875</v>
      </c>
      <c r="BO54" s="2" t="s">
        <v>7197</v>
      </c>
    </row>
    <row r="55" spans="1:71" ht="252" x14ac:dyDescent="0.45">
      <c r="A55" s="5">
        <v>54</v>
      </c>
      <c r="B55" s="8" t="s">
        <v>85</v>
      </c>
      <c r="C55" s="6" t="s">
        <v>6850</v>
      </c>
      <c r="D55" s="7" t="s">
        <v>9752</v>
      </c>
      <c r="E55" s="1" t="s">
        <v>85</v>
      </c>
      <c r="F55" s="1"/>
      <c r="G55" s="1"/>
      <c r="J55" s="1" t="s">
        <v>9753</v>
      </c>
      <c r="K55" s="2" t="s">
        <v>7198</v>
      </c>
      <c r="L55" s="4" t="s">
        <v>7991</v>
      </c>
      <c r="M55" s="1" t="s">
        <v>12133</v>
      </c>
      <c r="P55" s="7" t="s">
        <v>1241</v>
      </c>
      <c r="Q55" s="14" t="str">
        <f>INDEX($L:$L, MATCH("review", $B:$B, 0))</f>
        <v>&lt;span class="w"&gt;&lt;b&gt;【454.review：論評, 復習】&lt;/b&gt;&lt;/span&gt;
&lt;span class="ml"&gt;ラテン語に由来する語で、以下の2つの要素から成る。
&lt;span class="spacer"&gt;&lt;/span&gt;re（再び）
videre（見る）
&lt;span class="spacer"&gt;&lt;/span&gt;このまま日本語にすると「再び見る」となる。15世紀半ばには、軍事において、訓練を繰り返し見てその有効性を評価することを表した。そこから書籍や何かを評価すること＝「論評」という意味になる。
&lt;span class="spacer"&gt;&lt;/span&gt;また過去を繰り返し振り返ることから「復習」という意味にもなる。&lt;/span&gt;</v>
      </c>
      <c r="R55" s="14" t="str">
        <f>INDEX($L:$L, MATCH("advise", $B:$B, 0))</f>
        <v>&lt;span class="w"&gt;&lt;b&gt;【620.advise：〜に/を助言（忠告）する】&lt;/b&gt;&lt;/span&gt;
&lt;span class="ml"&gt;ラテン語videre（見る）から派生した名詞visum（見解）に由来する。
&lt;span class="spacer"&gt;&lt;/span&gt;「見る」ことから「見解」という思考系の意味に派生することは、seeとI see.（なるほど）の関係からわかる。見ることと知ることは密接に結びついている。
&lt;span class="spacer"&gt;&lt;/span&gt;「見解」から自分の見解を出すという行為になって、「助言する, 忠告する」という意味になった。&lt;/span&gt;</v>
      </c>
      <c r="S55" s="14" t="str">
        <f>INDEX($L:$L, MATCH("revise", $B:$B, 0))</f>
        <v>&lt;span class="w"&gt;&lt;b&gt;【1231.revise：〜を修正する, 〜を改訂する】&lt;/b&gt;&lt;/span&gt;
&lt;span class="ml"&gt;ラテン語に由来する語で、以下の2つの要素から成る。
&lt;span class="spacer"&gt;&lt;/span&gt;re（再び）
videre（見る）
&lt;span class="spacer"&gt;&lt;/span&gt;このまま日本語にすると「再び見る」となる。一度出来上がったものを見直し、間違いを直したりアップデートしたりすることから「改訂する, 修正する」という意味になる。
&lt;div class="sample_image revise"&gt;&lt;/div&gt;&lt;/span&gt;</v>
      </c>
      <c r="T55" s="14" t="str">
        <f>INDEX($L:$L, MATCH("visible", $B:$B, 0))</f>
        <v>&lt;span class="w"&gt;&lt;b&gt;【593.visible：目に見える】&lt;/b&gt;&lt;/span&gt;
&lt;span class="ml"&gt;ラテン語に由来する語で、以下の2つの要素から成る。
&lt;span class="spacer"&gt;&lt;/span&gt;videre（見る）
bilis（できる）
&lt;span class="spacer"&gt;&lt;/span&gt;このまま日本語にすると「見ることができる」つまり「目に見える」という意味になる。&lt;/span&gt;</v>
      </c>
      <c r="U55" s="14" t="str">
        <f>INDEX($L:$L, MATCH("visual", $B:$B, 0))</f>
        <v>&lt;span class="w"&gt;&lt;b&gt;【393.visual：視覚の, 目に見える】&lt;/b&gt;&lt;/span&gt;
&lt;span class="ml"&gt;ラテン語に由来する語で、以下の2つの要素から成る。
&lt;span class="spacer"&gt;&lt;/span&gt;videre（見る）
alis（形容詞化）
&lt;span class="spacer"&gt;&lt;/span&gt;見るという視覚に関する形容詞となり、「視覚の, 目に見える」という意味になる。&lt;/span&gt;</v>
      </c>
      <c r="V55" s="14" t="str">
        <f>INDEX($L:$L, MATCH("evidence", $B:$B, 0))</f>
        <v>&lt;span class="w"&gt;&lt;b&gt;【74.evidence：証拠】&lt;/b&gt;&lt;/span&gt;
&lt;span class="ml"&gt;ラテン語に由来する語で、以下の2つの要素から成る。
&lt;span class="spacer"&gt;&lt;/span&gt;ex（外へ）
videre（見る）
&lt;span class="spacer"&gt;&lt;/span&gt;このまま日本語にすると「外に見える」となる。つまり隠れているのではなく「はっきり目に見える」というイメージ。ここからはっきり見える物＝明らかな物＝「証拠」という意味になる。
&lt;span class="spacer"&gt;&lt;/span&gt;「はっきり目に見える」というイメージを持っておくと、形容詞evidentが「明らかな」という意味になることも理解できる。&lt;/span&gt;</v>
      </c>
      <c r="W55" s="13" t="str">
        <f>INDEX($L:$L, MATCH("survey", $B:$B, 0))</f>
        <v>&lt;span class="w"&gt;&lt;b&gt;【207.survey：～を調査する, ～を概観する】&lt;/b&gt;&lt;/span&gt;
&lt;span class="ml"&gt;ラテン語に由来する語で、以下の2つの要素から成る。
&lt;span class="spacer"&gt;&lt;/span&gt;super（上に, 超えて）
videre（見る）
&lt;span class="spacer"&gt;&lt;/span&gt;このまま日本語にすると「上から見る」となる。俯瞰視点で全体に目を配ることから「調査する, 概観する」という意味になる。
&lt;div class="sample_image survey"&gt;&lt;/div&gt;&lt;/span&gt;</v>
      </c>
      <c r="AV55" s="1" t="s">
        <v>1502</v>
      </c>
      <c r="BG55" s="7" t="s">
        <v>1503</v>
      </c>
      <c r="BH55" s="1" t="s">
        <v>1976</v>
      </c>
      <c r="BI55" s="1" t="s">
        <v>2116</v>
      </c>
      <c r="BJ55" s="1" t="s">
        <v>2034</v>
      </c>
      <c r="BK55" s="2" t="s">
        <v>2117</v>
      </c>
      <c r="BL55" s="1" t="s">
        <v>1504</v>
      </c>
      <c r="BM55" s="2" t="s">
        <v>2118</v>
      </c>
      <c r="BN55" s="1" t="s">
        <v>2114</v>
      </c>
      <c r="BO55" s="1" t="s">
        <v>2119</v>
      </c>
      <c r="BP55" s="1" t="s">
        <v>1875</v>
      </c>
      <c r="BQ55" s="2" t="s">
        <v>2120</v>
      </c>
      <c r="BR55" s="1" t="s">
        <v>1883</v>
      </c>
      <c r="BS55" s="2" t="s">
        <v>2121</v>
      </c>
    </row>
    <row r="56" spans="1:71" ht="216" x14ac:dyDescent="0.45">
      <c r="A56" s="5">
        <v>55</v>
      </c>
      <c r="B56" s="8" t="s">
        <v>86</v>
      </c>
      <c r="C56" s="6" t="s">
        <v>6850</v>
      </c>
      <c r="D56" s="7" t="s">
        <v>9752</v>
      </c>
      <c r="E56" s="1" t="s">
        <v>86</v>
      </c>
      <c r="F56" s="1"/>
      <c r="G56" s="1"/>
      <c r="J56" s="1" t="s">
        <v>9753</v>
      </c>
      <c r="K56" s="2" t="s">
        <v>7199</v>
      </c>
      <c r="L56" s="4" t="s">
        <v>7992</v>
      </c>
      <c r="M56" s="1" t="s">
        <v>12134</v>
      </c>
      <c r="P56" s="7" t="s">
        <v>1241</v>
      </c>
      <c r="Q56" s="14" t="str">
        <f>INDEX($L:$L, MATCH("available", $B:$B, 0))</f>
        <v>&lt;span class="w"&gt;&lt;b&gt;【93.available：利用できる, 手に入る】&lt;/b&gt;&lt;/span&gt;
&lt;span class="ml"&gt;ラテン語と古フランス語に由来する語で、以下の3つの要素から成る。
&lt;span class="spacer"&gt;&lt;/span&gt;a（〜へ）
valoir（価値がある：ラテン語valere）
&lt;span class="obsolete"&gt;able（できる）は英語段階で付いた&lt;/span&gt;
&lt;span class="spacer"&gt;&lt;/span&gt;aとvaloirから「何かに対して価値がある」つまり「何かに役立つ, 有用である（avail）」となる。役立つということは、必要なときに使える状態でなければならない（使えなければ役立たない）。ここから「手に入る」そして「利用できる」という意味になる。&lt;/span&gt;</v>
      </c>
      <c r="R56" s="14" t="str">
        <f>INDEX($L:$L, MATCH("equivalent", $B:$B, 0))</f>
        <v>&lt;span class="w"&gt;&lt;b&gt;【685.equivalent：同等の, 相当する】&lt;/b&gt;&lt;/span&gt;
&lt;span class="ml"&gt;ラテン語に由来する語で、以下の2つの要素から成る。
&lt;span class="spacer"&gt;&lt;/span&gt;aequus（等しい）
valere（価値がある）
&lt;span class="spacer"&gt;&lt;/span&gt;このまま日本語にすると「等しい価値がある」となる。ここから「同等の, 相当する」という意味になる。
&lt;span class="spacer"&gt;&lt;/span&gt;equal：AとBが完全に一致
equivalent：AとBは別物だが同等/span&gt;</v>
      </c>
      <c r="S56" s="14" t="str">
        <f>INDEX($L:$L, MATCH("evaluate", $B:$B, 0))</f>
        <v>&lt;span class="w"&gt;&lt;b&gt;【719.evaluate：〜を評価する, 〜を査定する】&lt;/b&gt;&lt;/span&gt;
&lt;span class="ml"&gt;古フランス語に由来し、以下の2つの要素から成る。
&lt;span class="spacer"&gt;&lt;/span&gt;é（外へ）
valuer（価値を置く）
&lt;span class="spacer"&gt;&lt;/span&gt;このまま日本語にすると「外へ価値を置く」となる。つまり何かの価値を見出すことを表して「評価する, 査定する」という意味になる。&lt;/span&gt;</v>
      </c>
      <c r="T56" s="14" t="str">
        <f>INDEX($L:$L, MATCH("valid", $B:$B, 0))</f>
        <v>&lt;span class="w"&gt;&lt;b&gt;【1080.valid：妥当な, 正当な, 有効な】&lt;/b&gt;&lt;/span&gt;
&lt;span class="ml"&gt;ラテン語に由来する語で、以下の2つの要素から成る。
&lt;span class="spacer"&gt;&lt;/span&gt;valere（強い, 力がある）
idus（形容詞化）
&lt;span class="spacer"&gt;&lt;/span&gt;この語の核は「強い状態にある」「力を持っている」。法律・ルール・条件などを満たして力を持っている状態から「有効な」という意味になる。また、意見や主張などが論理的に頑丈で崩れることのない強い状態にあることから「正当な, 妥当な」という意味になる。
&lt;div class="sample_image valid"&gt;&lt;/div&gt;&lt;/span&gt;</v>
      </c>
      <c r="U56" s="13" t="str">
        <f>INDEX($L:$L, MATCH("prevail", $B:$B, 0))</f>
        <v>&lt;span class="w"&gt;&lt;b&gt;【1340.prevail：普及している, 支配的である, 圧倒している, 打ち勝つ】&lt;/b&gt;&lt;/span&gt;
&lt;span class="ml"&gt;ラテン語に由来する語で、以下の2つの要素から成る。
&lt;span class="spacer"&gt;&lt;/span&gt;prae（前に）
valere（力を持つ, 強い）
&lt;span class="spacer"&gt;&lt;/span&gt;この語の核は「他者の前へ立って力を見せつける」イメージ。そこから、物理的に力で相手を「圧倒している, 打ち勝つ」という意味になる。
&lt;span class="spacer"&gt;&lt;/span&gt;また、強い力を持って社会全体を覆い尽くすイメージから、考え方や習慣、あるいは病気などが「支配的である, 普及している」という意味にもなる。
&lt;div class="sample_image prevail"&gt;&lt;/div&gt;&lt;/span&gt;</v>
      </c>
      <c r="AV56" s="1" t="s">
        <v>1502</v>
      </c>
      <c r="BG56" s="7" t="s">
        <v>1503</v>
      </c>
      <c r="BH56" s="1" t="s">
        <v>2034</v>
      </c>
      <c r="BI56" s="1" t="s">
        <v>2122</v>
      </c>
      <c r="BJ56" s="1" t="s">
        <v>1504</v>
      </c>
      <c r="BK56" s="2" t="s">
        <v>2123</v>
      </c>
      <c r="BL56" s="1" t="s">
        <v>1875</v>
      </c>
      <c r="BM56" s="2" t="s">
        <v>2124</v>
      </c>
    </row>
    <row r="57" spans="1:71" ht="409.6" x14ac:dyDescent="0.45">
      <c r="A57" s="5">
        <v>56</v>
      </c>
      <c r="B57" s="8" t="s">
        <v>1267</v>
      </c>
      <c r="C57" s="6" t="s">
        <v>6850</v>
      </c>
      <c r="D57" s="7" t="s">
        <v>9752</v>
      </c>
      <c r="E57" s="1" t="s">
        <v>8859</v>
      </c>
      <c r="F57" s="1"/>
      <c r="G57" s="1"/>
      <c r="J57" s="1" t="s">
        <v>9753</v>
      </c>
      <c r="K57" s="2" t="s">
        <v>7200</v>
      </c>
      <c r="L57" s="4" t="s">
        <v>7993</v>
      </c>
      <c r="M57" s="1" t="s">
        <v>12135</v>
      </c>
      <c r="P57" s="7" t="s">
        <v>1241</v>
      </c>
      <c r="Q57" s="14" t="str">
        <f>INDEX($L:$L, MATCH("respect", $B:$B, 0))</f>
        <v>&lt;span class="w"&gt;&lt;b&gt;【133.respect：〜を尊敬する】&lt;/b&gt;&lt;/span&gt;
&lt;span class="ml"&gt;ラテン語に由来する語で、以下の2つの要素から成る。
&lt;span class="spacer"&gt;&lt;/span&gt;re（後ろへ）
specere（見る）
&lt;span class="spacer"&gt;&lt;/span&gt;このまま日本語にすると「後ろを見る」となる。振り返って見る、1度見たものを何度もよく見るというイメージから、対象に注意、配慮、敬意を向ける、つまり「尊敬する」という意味になる。
&lt;span class="spacer"&gt;&lt;/span&gt;名詞respectは、ある事柄に何度も目を向けることから、目を向ける先の「ポイント」や「関係」を意味する。&lt;/span&gt;</v>
      </c>
      <c r="R57" s="14" t="str">
        <f>INDEX($L:$L, MATCH("aspect", $B:$B, 0))</f>
        <v>&lt;span class="w"&gt;&lt;b&gt;【174.aspect：側面, 観点】&lt;/b&gt;&lt;/span&gt;
&lt;span class="ml"&gt;ラテン語に由来する語で、以下の3つの要素から成る。
&lt;span class="spacer"&gt;&lt;/span&gt;ad（～へ）
specere（見る）
tus（名詞化）
&lt;span class="spacer"&gt;&lt;/span&gt;このまま日本語にすると「～へ見ること」となる。もともとは占星術用語として使われ、地球と他の惑星がどのように見えるかを意味した。たとえば地球から月を見るとき、地球上の観測点からは月のひとつの面しか見えない。
&lt;span class="spacer"&gt;&lt;/span&gt;ここから、自分から相手、相手から自分を見るそれぞれの「観点」や、見ている相手の「側面」という意味になる。
&lt;div class="sample_image aspect"&gt;&lt;/div&gt;&lt;/span&gt;</v>
      </c>
      <c r="S57" s="14" t="str">
        <f>INDEX($L:$L, MATCH("suspect", $B:$B, 0))</f>
        <v>&lt;span class="w"&gt;&lt;b&gt;【630.suspect：〜を疑う, 〜ではないかと思う】&lt;/b&gt;&lt;/span&gt;
&lt;span class="ml"&gt;ラテン語に由来する語で、以下の2つの要素から成る。
&lt;span class="spacer"&gt;&lt;/span&gt;sub（下から）
specere（見る）
&lt;span class="spacer"&gt;&lt;/span&gt;このまま日本語にすると「下から見る」となる。これは、下からこっそり見上げて疑いの目を向けるイメージ。ここから「疑う」という意味になる。
&lt;div class="sample_image suspect"&gt;&lt;/div&gt;&lt;/span&gt;</v>
      </c>
      <c r="T57" s="14" t="str">
        <f>INDEX($L:$L, MATCH("prospect", $B:$B, 0))</f>
        <v>&lt;span class="w"&gt;&lt;b&gt;【860.prospect：見込み, 未来への展望, 有望な人】&lt;/b&gt;&lt;/span&gt;
&lt;span class="ml"&gt;ラテン語に由来する語で、以下の2つの要素から成る。
&lt;span class="spacer"&gt;&lt;/span&gt;pro（前へ）
specere（見る）
&lt;span class="spacer"&gt;&lt;/span&gt;このまま日本語にすると「前方を見る」となる。物理的に遠くを見ることから、時間的に遠い将来を見ることへと発展して「見込み, 未来への展望」という意味になった。また未来を期待される人＝「将来有望な人」という意味にもなった。&lt;/span&gt;</v>
      </c>
      <c r="U57" s="14" t="str">
        <f>INDEX($L:$L, MATCH("perspective", $B:$B, 0))</f>
        <v>&lt;span class="w"&gt;&lt;b&gt;【365.perspective：観点（≒立場）, 大局観, 遠近法】&lt;/b&gt;&lt;/span&gt;
&lt;span class="ml"&gt;ラテン語に由来する語で、以下の2つの要素から成る。
&lt;span class="spacer"&gt;&lt;/span&gt;per（通して）
specere（見る）
&lt;span class="spacer"&gt;&lt;/span&gt;このまま日本語にすると「見通す」となる。これは「ある視点から対象の奥側まで全体を見通す」というイメージで、次の3つのポイントがある。①見る視点・②全体を見ること・③奥まで見ること。
&lt;span class="spacer"&gt;&lt;/span&gt;「見る視点」からは、物事を見るときの視点＝「観点, 立場」という意味になる。
&lt;span class="spacer"&gt;&lt;/span&gt;「全体を見る」からは、対局を見通す「大局観」という意味になる。
&lt;span class="spacer"&gt;&lt;/span&gt;「奥まで見る」からは、空間を見通して奥行や距離を正しく把握する「遠近法」という意味になる。
&lt;div class="sample_image perspective"&gt;&lt;/div&gt;
&lt;span class="spacer"&gt;&lt;/span&gt;perspectiveは、ある「観点, 立場」から「全体を見ること」。そしてその見方の一例が「遠近法」だと覚えればよい。&lt;/span&gt;</v>
      </c>
      <c r="V57" s="13" t="str">
        <f>INDEX($L:$L, MATCH("spectator", $B:$B, 0))</f>
        <v>&lt;span class="w"&gt;&lt;b&gt;【1465.spectator：観客】&lt;/b&gt;&lt;/span&gt;
&lt;span class="ml"&gt;ラテン語に由来する語で、以下の2つの要素から成る。
&lt;span class="spacer"&gt;&lt;/span&gt;spectare（繰り返し見る, 観察する）
or（〜する人）
&lt;span class="spacer"&gt;&lt;/span&gt;このまま日本語にすると「しっかり見る人, 観察する人」すなわち「観客」という意味になる。
&lt;span class="spacer"&gt;&lt;/span&gt;spectを見たら「見る」系の意味だと覚えておくとよい。&lt;/span&gt;</v>
      </c>
      <c r="W57" s="14" t="str">
        <f>INDEX($L:$L, MATCH("specific", $B:$B, 0))</f>
        <v>&lt;span class="w"&gt;&lt;b&gt;【184.specific：特定の, 明確な, 具体的な, ～に特有の】&lt;/b&gt;&lt;/span&gt;
&lt;span class="ml"&gt;ラテン語に由来する語で、以下の2つの要素から成る。
&lt;span class="spacer"&gt;&lt;/span&gt;species（種類）
facere（作る, する）
&lt;span class="spacer"&gt;&lt;/span&gt;このまま日本語にすると「ある種類を作る」となる。何かの種類を作るとは、他の種類にはない特定の性質を持たせるということ。ここから「特定の, 特有の」という意味になる。
&lt;span class="spacer"&gt;&lt;/span&gt;また特定という意味から曖昧ではなく「明確な, 具体的な」という意味になる。&lt;/span&gt;</v>
      </c>
      <c r="X57" s="14" t="str">
        <f>INDEX($L:$L, MATCH("unexpected", $B:$B, 0))</f>
        <v>&lt;span class="w"&gt;&lt;b&gt;【594.unexpected：思いがけない】&lt;/b&gt;&lt;/span&gt;
&lt;span class="ml"&gt;［expectの語源］
ラテン語に由来する語で、以下の2つの要素から成る。
&lt;span class="spacer"&gt;&lt;/span&gt;ex（外に, 徹底的に）
specere（見る）
&lt;span class="spacer"&gt;&lt;/span&gt;このまま日本語にすると「外を徹底的に見る」となる。これが頭の中で未来の出来事に目を向けることへと発展し、未来に起こることを「期待する」という意味になった。
&lt;span class="spacer"&gt;&lt;/span&gt;［unexpectedの語源］
近代英語にさかのぼり、以下の2つの要素から成る。
&lt;span class="spacer"&gt;&lt;/span&gt;un（否定）
expectの過去分詞expected
&lt;span class="spacer"&gt;&lt;/span&gt;ここから、起きることを期待して見ていなかった、つまり「思いがけない」という意味になる。&lt;/span&gt;</v>
      </c>
      <c r="Y57" s="14" t="str">
        <f>INDEX($L:$L, MATCH("spectrum", $B:$B, 0))</f>
        <v>&lt;span class="w"&gt;&lt;b&gt;【1369.spectrum：スペクトル, （波動・変動の）範囲】&lt;/b&gt;&lt;/span&gt;
&lt;span class="ml"&gt;ラテン語に由来する語で、以下の2つの要素から成る。
&lt;span class="spacer"&gt;&lt;/span&gt;specere（見る, 眺める）
um（名詞化）
&lt;span class="spacer"&gt;&lt;/span&gt;このまま日本語にすると「見えるもの」となり、核は「本来は見えないものが目の前に現れたもの」。
&lt;span class="spacer"&gt;&lt;/span&gt;物理学者のアイザック・ニュートンが、プリズムを通した太陽光が虹色に分かれる現象を発表した際、この暗闇に浮かび上がる光の帯を光が現れた姿と見立ててspectrumと名付けた。そこから目に見える光の色帯＝「スペクトル」という意味になった。
&lt;span class="spacer"&gt;&lt;/span&gt;さらに、光の波長が途切れることなく連続して広がっている様子から、光や音だけではなく事象や意見など、様々な物事が連続的に存在する「範囲」という意味にもなった。
&lt;div class="sample_image spectrum"&gt;&lt;/div&gt;&lt;/span&gt;</v>
      </c>
      <c r="Z57" s="13" t="str">
        <f>INDEX($L:$L, MATCH("despite", $B:$B, 0))</f>
        <v>&lt;span class="w"&gt;&lt;b&gt;【100.despite：～にもかかわらず】&lt;/b&gt;&lt;/span&gt;
&lt;span class="ml"&gt;ラテン語に由来する語で、以下の2つの要素から成る。
&lt;span class="spacer"&gt;&lt;/span&gt;de（下に）
specere（見る）
&lt;span class="spacer"&gt;&lt;/span&gt;このまま日本語にすると「下に見る」となる。これは見下すという対象の存在を軽く見る行為。「対象があってもなくても関係ない」から「～にもかかわらず」という意味になる。
&lt;span class="spacer"&gt;&lt;/span&gt;ターゲットの例文 "They went hiking despite the fact a storm was coming" は「嵐が来ている事実を、それが事実であろうとなかろうと関係なくハイキングに行った」ということを伝えている。この日本語訳を「嵐が来ているという事実&lt;strong&gt;にもかかわらず&lt;/strong&gt;」と表現しているだけ。&lt;/span&gt;</v>
      </c>
      <c r="AA57" s="15"/>
      <c r="AB57" s="15"/>
      <c r="AC57" s="15"/>
      <c r="AD57" s="15"/>
      <c r="AE57" s="15"/>
      <c r="AF57" s="15"/>
      <c r="AG57" s="15"/>
      <c r="AU57" s="15"/>
      <c r="AV57" s="1" t="s">
        <v>1502</v>
      </c>
      <c r="BG57" s="7" t="s">
        <v>1503</v>
      </c>
      <c r="BH57" s="1" t="s">
        <v>2034</v>
      </c>
      <c r="BI57" s="2" t="s">
        <v>2125</v>
      </c>
      <c r="BJ57" s="1" t="s">
        <v>2036</v>
      </c>
      <c r="BK57" s="1" t="s">
        <v>2126</v>
      </c>
      <c r="BL57" s="1" t="s">
        <v>1875</v>
      </c>
      <c r="BM57" s="2" t="s">
        <v>2127</v>
      </c>
      <c r="BN57" s="1" t="s">
        <v>1883</v>
      </c>
      <c r="BO57" s="2" t="s">
        <v>2128</v>
      </c>
    </row>
    <row r="58" spans="1:71" ht="72" x14ac:dyDescent="0.45">
      <c r="A58" s="5">
        <v>57</v>
      </c>
      <c r="B58" s="8" t="s">
        <v>87</v>
      </c>
      <c r="C58" s="6" t="s">
        <v>6850</v>
      </c>
      <c r="D58" s="7" t="s">
        <v>9752</v>
      </c>
      <c r="E58" s="1" t="s">
        <v>87</v>
      </c>
      <c r="F58" s="1"/>
      <c r="G58" s="1"/>
      <c r="J58" s="1" t="s">
        <v>9753</v>
      </c>
      <c r="K58" s="2" t="s">
        <v>7201</v>
      </c>
      <c r="L58" s="9" t="s">
        <v>7994</v>
      </c>
      <c r="P58" s="7" t="s">
        <v>1241</v>
      </c>
      <c r="AU58" s="15"/>
      <c r="AV58" s="1" t="s">
        <v>1502</v>
      </c>
      <c r="BG58" s="7" t="s">
        <v>1503</v>
      </c>
      <c r="BH58" s="1" t="s">
        <v>2129</v>
      </c>
      <c r="BI58" s="2" t="s">
        <v>7202</v>
      </c>
    </row>
    <row r="59" spans="1:71" ht="144" x14ac:dyDescent="0.45">
      <c r="A59" s="5">
        <v>58</v>
      </c>
      <c r="B59" s="8" t="s">
        <v>1268</v>
      </c>
      <c r="C59" s="6" t="s">
        <v>6850</v>
      </c>
      <c r="D59" s="7" t="s">
        <v>9752</v>
      </c>
      <c r="E59" s="1" t="s">
        <v>4244</v>
      </c>
      <c r="F59" s="1" t="s">
        <v>4245</v>
      </c>
      <c r="G59" s="1"/>
      <c r="J59" s="1" t="s">
        <v>9753</v>
      </c>
      <c r="K59" s="2" t="s">
        <v>7203</v>
      </c>
      <c r="L59" s="4" t="s">
        <v>7995</v>
      </c>
      <c r="M59" s="1" t="s">
        <v>12136</v>
      </c>
      <c r="P59" s="7" t="s">
        <v>1241</v>
      </c>
      <c r="Q59" s="13" t="str">
        <f>INDEX($L:$L, MATCH("acknowledge", $B:$B, 0))</f>
        <v>&lt;span class="w"&gt;&lt;b&gt;【717.acknowledge：〜を認める】&lt;/b&gt;&lt;/span&gt;
&lt;span class="ml"&gt;以下の中英語の2語がひとつになってできた語。
&lt;span class="spacer"&gt;&lt;/span&gt;aknowen（知っていることを認める）
knowlechen（認める）
&lt;span class="spacer"&gt;&lt;/span&gt;この語は、対象を示すac（〜に）とknow（知っている）が合わさったと考えればよい。「何かに対して知っていると認める」というイメージで覚える。&lt;/span&gt;</v>
      </c>
      <c r="R59" s="14" t="str">
        <f>INDEX($L:$L, MATCH("unknown", $B:$B, 0))</f>
        <v>&lt;span class="w"&gt;&lt;b&gt;【492.unknown：不明の, 知られていない】&lt;/b&gt;&lt;/span&gt;
&lt;span class="ml"&gt;中英語にさかのぼり、以下の2つの要素から成る。
&lt;span class="spacer"&gt;&lt;/span&gt;un（否定）
knowの過去分詞known
&lt;span class="spacer"&gt;&lt;/span&gt;このまま「知られていない」という意味になる。&lt;/span&gt;</v>
      </c>
      <c r="S59" s="13" t="str">
        <f>INDEX($L:$L, MATCH("notice", $B:$B, 0))</f>
        <v>&lt;span class="w"&gt;&lt;b&gt;【101.notice：（動）～に気づく, （名）通知】&lt;/b&gt;&lt;/span&gt;
&lt;span class="ml"&gt;印欧祖語*gno-（知る）から生まれたラテン語(g)nōscere（知るようになる, 認識する）
&lt;span class="spacer"&gt;&lt;/span&gt;「知るようになる」から知られるきっかけである「通知, 知らせ」という名詞になる。そして知らせによって何かを認識するので、「気づく」という動詞になる。&lt;/span&gt;</v>
      </c>
      <c r="T59" s="13" t="str">
        <f>INDEX($L:$L, MATCH("notion", $B:$B, 0))</f>
        <v>&lt;span class="w"&gt;&lt;b&gt;【453.notion：概念, 考え】&lt;/b&gt;&lt;/span&gt;
&lt;span class="ml"&gt;ラテン語に由来する語で、以下の2つの要素から成る。
&lt;span class="spacer"&gt;&lt;/span&gt;noscere（知る）
io（名詞化）
&lt;span class="spacer"&gt;&lt;/span&gt;この語の核は「知られているもの」。ここから頭の中にある「考え, 概念」という意味になる。&lt;/span&gt;</v>
      </c>
      <c r="U59" s="13" t="str">
        <f>INDEX($L:$L, MATCH("noble", $B:$B, 0))</f>
        <v>&lt;span class="w"&gt;&lt;b&gt;【1184.noble：高貴な, 高潔な, 気高い】&lt;/b&gt;&lt;/span&gt;
&lt;span class="ml"&gt;ラテン語に由来する語で、以下の2つの要素から成る。
&lt;span class="spacer"&gt;&lt;/span&gt;gnoscere（知る）
bilis（できる）
&lt;span class="spacer"&gt;&lt;/span&gt;この語の核は「皆によく知られている＝知名度が高い」。当時の社会で、世間によく知られているということは身分が高い家、つまり貴族ということになる。そこから「高貴な」という意味になった。
&lt;span class="spacer"&gt;&lt;/span&gt;また高貴な人々にふさわしいとされる道徳心や立派な振る舞いから「高潔な, 気高い」という意味にもなった。
&lt;div class="sample_image noble"&gt;&lt;/div&gt;&lt;/span&gt;</v>
      </c>
      <c r="V59" s="13" t="str">
        <f>INDEX($L:$L, MATCH("ignore", $B:$B, 0))</f>
        <v>&lt;span class="w"&gt;&lt;b&gt;【224.ignore：～を無視する】&lt;/b&gt;&lt;/span&gt;
&lt;span class="ml"&gt;ラテン語に由来する語で、以下の2つの要素から成る。
&lt;span class="spacer"&gt;&lt;/span&gt;in（否定）
gnarus（知っている）
&lt;span class="spacer"&gt;&lt;/span&gt;このまま日本語にすると「知らない」となる。気に留めることなく知らないふりをすることから、「無視する」という意味になった。
&lt;span class="spacer"&gt;&lt;/span&gt;形容詞ignorant（無知な）,や名詞ignorance（無知）もセットで覚えておく。&lt;/span&gt;</v>
      </c>
      <c r="W59" s="13" t="str">
        <f>INDEX($L:$L, MATCH("cognitive", $B:$B, 0))</f>
        <v>&lt;span class="w"&gt;&lt;b&gt;【279.cognitive：認知の】&lt;/b&gt;&lt;/span&gt;
&lt;span class="ml"&gt;ラテン語に由来する語で、以下の2つの要素から成る。
&lt;span class="spacer"&gt;&lt;/span&gt;com（共に）
gnoscere（知る）
&lt;span class="obsolete"&gt;ive（形容詞化）は英語段階で付いた&lt;/span&gt;
&lt;span class="spacer"&gt;&lt;/span&gt;このまま日本語にすると「共に知る」となる。互いに認知することから「認知の」という意味になる。&lt;/span&gt;</v>
      </c>
      <c r="X59" s="13" t="str">
        <f>INDEX($L:$L, MATCH("recognize", $B:$B, 0))</f>
        <v>&lt;span class="w"&gt;&lt;b&gt;【106.recognize：～を認識する, ～を識別する】&lt;/b&gt;&lt;/span&gt;
&lt;span class="ml"&gt;ラテン語に由来する語で、以下の3つの要素から成る。
&lt;span class="spacer"&gt;&lt;/span&gt;re（再び）
com（強意）
gnoscere（知る）
&lt;span class="spacer"&gt;&lt;/span&gt;このまま日本語にすると「再びしっかり知る」となる。目の前の情報Aを既にある知識と照らし合わせ、情報Aは知識の中の情報Bと同一であると再び知る。つまり、情報Aは情報Bであると「識別する, 認識する」という意味になる。
&lt;div class="sample_image recognize"&gt;&lt;/div&gt;&lt;/span&gt;</v>
      </c>
      <c r="Y59" s="13" t="str">
        <f>INDEX($L:$L, MATCH("diagnose", $B:$B, 0))</f>
        <v>&lt;span class="w"&gt;&lt;b&gt;【1419.diagnose：診断する】&lt;/b&gt;&lt;/span&gt;
&lt;span class="ml"&gt;ギリシャ語に由来する語で、以下の2つの要素から成る。
&lt;span class="spacer"&gt;&lt;/span&gt;dia（間に）
gignōskein（学ぶ, 知るようになる）
&lt;span class="spacer"&gt;&lt;/span&gt;もともとは、様々な物事の間にある差異を知り、それぞれを区別する、識別することを表した。そこから医学において、症状を見分けて病名を特定することを意味するようになり、「診断する」という意味になった。
&lt;div class="sample_image diagnose"&gt;&lt;/div&gt;
&lt;span class="spacer"&gt;&lt;/span&gt;さらに現代では、医学に限らず、機械や技術、ビジネス、教育など様々な分野において「問題分析をする」という意味でも使われる。&lt;/span&gt;</v>
      </c>
      <c r="Z59" s="13" t="str">
        <f>INDEX($L:$L, MATCH("acquaintance", $B:$B, 0))</f>
        <v>&lt;span class="w"&gt;&lt;b&gt;【1257.acquaintance：知人, 面識, 知識】&lt;/b&gt;&lt;/span&gt;
&lt;span class="ml"&gt;ラテン語に由来する語で、以下の4つの要素から成る。
&lt;span class="spacer"&gt;&lt;/span&gt;ad（〜へ）
com（完全に）
gnoscere（知る）
&lt;span class="obsolete"&gt;ance（名詞化）はフランス語段階で付いた&lt;/span&gt;
&lt;span class="spacer"&gt;&lt;/span&gt;この語の核は「何かをしっかり知っていること」。そこから、ある分野に通じているという意味での「知識」や、相手と初対面ではなくて顔を見て知っているという「面識」、そして面識がある人、すなわち「知人」などの意味になる。
&lt;span class="spacer"&gt;&lt;/span&gt;acquaintanceというスペルはもとのラテン語から大きく変わってしまったが、印欧祖語*gno-（知る）そしてラテン語gnoscere（知る）から生まれた語。&lt;/span&gt;</v>
      </c>
      <c r="AV59" s="1" t="s">
        <v>1502</v>
      </c>
      <c r="BG59" s="7" t="s">
        <v>1503</v>
      </c>
      <c r="BH59" s="1" t="s">
        <v>1976</v>
      </c>
      <c r="BI59" s="1" t="s">
        <v>2130</v>
      </c>
      <c r="BJ59" s="1" t="s">
        <v>2129</v>
      </c>
      <c r="BK59" s="1" t="s">
        <v>2131</v>
      </c>
      <c r="BL59" s="1" t="s">
        <v>1875</v>
      </c>
      <c r="BM59" s="2" t="s">
        <v>2132</v>
      </c>
    </row>
    <row r="60" spans="1:71" ht="108" x14ac:dyDescent="0.45">
      <c r="A60" s="5">
        <v>59</v>
      </c>
      <c r="B60" s="8" t="s">
        <v>1269</v>
      </c>
      <c r="C60" s="6" t="s">
        <v>6850</v>
      </c>
      <c r="D60" s="7" t="s">
        <v>9752</v>
      </c>
      <c r="E60" s="1" t="s">
        <v>7231</v>
      </c>
      <c r="F60" s="1" t="s">
        <v>1946</v>
      </c>
      <c r="G60" s="1"/>
      <c r="J60" s="1" t="s">
        <v>9753</v>
      </c>
      <c r="K60" s="2" t="s">
        <v>7204</v>
      </c>
      <c r="L60" s="9" t="s">
        <v>7996</v>
      </c>
      <c r="P60" s="7" t="s">
        <v>1241</v>
      </c>
      <c r="AU60" s="15"/>
      <c r="AV60" s="1" t="s">
        <v>1502</v>
      </c>
      <c r="BG60" s="7" t="s">
        <v>1503</v>
      </c>
      <c r="BH60" s="1" t="s">
        <v>2034</v>
      </c>
      <c r="BI60" s="2" t="s">
        <v>2133</v>
      </c>
      <c r="BJ60" s="1" t="s">
        <v>1504</v>
      </c>
      <c r="BK60" s="1" t="s">
        <v>2134</v>
      </c>
      <c r="BL60" s="1" t="s">
        <v>2114</v>
      </c>
      <c r="BM60" s="1" t="s">
        <v>2135</v>
      </c>
      <c r="BN60" s="1" t="s">
        <v>1875</v>
      </c>
      <c r="BO60" s="2" t="s">
        <v>2136</v>
      </c>
      <c r="BQ60" s="2"/>
    </row>
    <row r="61" spans="1:71" ht="108" x14ac:dyDescent="0.45">
      <c r="A61" s="5">
        <v>60</v>
      </c>
      <c r="B61" s="8" t="s">
        <v>88</v>
      </c>
      <c r="C61" s="6" t="s">
        <v>6850</v>
      </c>
      <c r="D61" s="7" t="s">
        <v>9752</v>
      </c>
      <c r="E61" s="1" t="s">
        <v>88</v>
      </c>
      <c r="F61" s="1"/>
      <c r="G61" s="1"/>
      <c r="J61" s="1" t="s">
        <v>9753</v>
      </c>
      <c r="K61" s="2" t="s">
        <v>7205</v>
      </c>
      <c r="L61" s="9" t="s">
        <v>10453</v>
      </c>
      <c r="P61" s="7" t="s">
        <v>1241</v>
      </c>
      <c r="AI61" s="15"/>
      <c r="AV61" s="1" t="s">
        <v>1502</v>
      </c>
      <c r="AW61" s="2"/>
      <c r="BG61" s="7" t="s">
        <v>1503</v>
      </c>
      <c r="BH61" s="1" t="s">
        <v>1980</v>
      </c>
      <c r="BI61" s="1" t="s">
        <v>2137</v>
      </c>
      <c r="BJ61" s="1" t="s">
        <v>1504</v>
      </c>
      <c r="BK61" s="1" t="s">
        <v>2138</v>
      </c>
      <c r="BL61" s="1" t="s">
        <v>2044</v>
      </c>
      <c r="BM61" s="2" t="s">
        <v>2139</v>
      </c>
      <c r="BN61" s="1" t="s">
        <v>1883</v>
      </c>
      <c r="BO61" s="2" t="s">
        <v>2140</v>
      </c>
    </row>
    <row r="62" spans="1:71" ht="108" x14ac:dyDescent="0.45">
      <c r="A62" s="5">
        <v>61</v>
      </c>
      <c r="B62" s="8" t="s">
        <v>1270</v>
      </c>
      <c r="C62" s="6" t="s">
        <v>6850</v>
      </c>
      <c r="D62" s="7" t="s">
        <v>9752</v>
      </c>
      <c r="E62" s="1" t="s">
        <v>8860</v>
      </c>
      <c r="F62" s="1" t="s">
        <v>1476</v>
      </c>
      <c r="G62" s="1"/>
      <c r="J62" s="1" t="s">
        <v>9753</v>
      </c>
      <c r="K62" s="2" t="s">
        <v>7206</v>
      </c>
      <c r="L62" s="9" t="s">
        <v>7997</v>
      </c>
      <c r="P62" s="7" t="s">
        <v>1241</v>
      </c>
      <c r="Q62" s="14" t="str">
        <f>INDEX($L:$L, MATCH("feature", $B:$B, 0))</f>
        <v>&lt;span class="w"&gt;&lt;b&gt;【167.feature：特徴, （〜sで）顔つき】&lt;/b&gt;&lt;/span&gt;
&lt;span class="ml"&gt;ラテン語facere（作る, 行う）から派生した名詞factura（形成, 作業, 作られた形）に由来する。
&lt;span class="spacer"&gt;&lt;/span&gt;何かを形作ること、特に身体の形成において他と差別化される「顔つき」という意味になる。顔はそれぞれに特徴があることから発展して、一般的に何かの際立った部分＝「特徴」という意味になる。&lt;/span&gt;</v>
      </c>
      <c r="R62" s="13" t="str">
        <f>INDEX($L:$L, MATCH("profit", $B:$B, 0))</f>
        <v>&lt;span class="w"&gt;&lt;b&gt;【349.profit：利益, 収益, 得】&lt;/b&gt;&lt;/span&gt;
&lt;span class="ml"&gt;ラテン語に由来する語で、以下の2つの要素から成る。
&lt;span class="spacer"&gt;&lt;/span&gt;pro（前へ）
facere（作る, する）
&lt;span class="spacer"&gt;&lt;/span&gt;何かを前へ進めて成果を作り出すことから、進展や成長という意味を経て、成果や収益などの具体的な「利益, 収益, 得」という意味になる。&lt;/span&gt;</v>
      </c>
      <c r="S62" s="13" t="str">
        <f>INDEX($L:$L, MATCH("artificial", $B:$B, 0))</f>
        <v>&lt;span class="w"&gt;&lt;b&gt;【384.artificial：人工の, 不自然な】&lt;/b&gt;&lt;/span&gt;
&lt;span class="ml"&gt;ラテン語に由来する語で、以下の3つの要素から成る。
ars（技術, 芸術）
facere（する, 作る）
alis（形容詞化）
&lt;span class="spacer"&gt;&lt;/span&gt;これは、自然ではなく人間の技術で作られた＝「人工的な」という意味になる。また明らかに人工的であることから「不自然な」という意味にもなる。&lt;/span&gt;</v>
      </c>
      <c r="AU62" s="15"/>
      <c r="AV62" s="1" t="s">
        <v>1502</v>
      </c>
      <c r="BG62" s="7" t="s">
        <v>1503</v>
      </c>
      <c r="BH62" s="1" t="s">
        <v>2034</v>
      </c>
      <c r="BI62" s="2" t="s">
        <v>2141</v>
      </c>
      <c r="BJ62" s="1" t="s">
        <v>1504</v>
      </c>
      <c r="BK62" s="1" t="s">
        <v>2142</v>
      </c>
      <c r="BL62" s="1" t="s">
        <v>2114</v>
      </c>
      <c r="BM62" s="1" t="s">
        <v>2143</v>
      </c>
      <c r="BN62" s="1" t="s">
        <v>2044</v>
      </c>
      <c r="BO62" s="2" t="s">
        <v>2144</v>
      </c>
    </row>
    <row r="63" spans="1:71" ht="198" x14ac:dyDescent="0.45">
      <c r="A63" s="5">
        <v>62</v>
      </c>
      <c r="B63" s="8" t="s">
        <v>1893</v>
      </c>
      <c r="C63" s="6" t="s">
        <v>6850</v>
      </c>
      <c r="D63" s="7" t="s">
        <v>9752</v>
      </c>
      <c r="E63" s="1" t="s">
        <v>1555</v>
      </c>
      <c r="F63" s="1" t="s">
        <v>3331</v>
      </c>
      <c r="G63" s="1"/>
      <c r="J63" s="1" t="s">
        <v>9753</v>
      </c>
      <c r="K63" s="2" t="s">
        <v>7207</v>
      </c>
      <c r="L63" s="9" t="s">
        <v>7998</v>
      </c>
      <c r="P63" s="7" t="s">
        <v>1241</v>
      </c>
      <c r="AI63" s="15"/>
      <c r="AU63" s="15"/>
      <c r="AV63" s="1" t="s">
        <v>1502</v>
      </c>
      <c r="AW63" s="2"/>
      <c r="BG63" s="7" t="s">
        <v>1503</v>
      </c>
      <c r="BH63" s="1" t="s">
        <v>2145</v>
      </c>
      <c r="BI63" s="2" t="s">
        <v>2146</v>
      </c>
      <c r="BJ63" s="1" t="s">
        <v>2147</v>
      </c>
      <c r="BK63" s="1" t="s">
        <v>2148</v>
      </c>
      <c r="BL63" s="1" t="s">
        <v>1883</v>
      </c>
      <c r="BM63" s="2" t="s">
        <v>2149</v>
      </c>
    </row>
    <row r="64" spans="1:71" ht="270" x14ac:dyDescent="0.45">
      <c r="A64" s="5">
        <v>63</v>
      </c>
      <c r="B64" s="8" t="s">
        <v>89</v>
      </c>
      <c r="C64" s="6" t="s">
        <v>6850</v>
      </c>
      <c r="D64" s="7" t="s">
        <v>9752</v>
      </c>
      <c r="E64" s="1" t="s">
        <v>8861</v>
      </c>
      <c r="F64" s="1" t="s">
        <v>1929</v>
      </c>
      <c r="G64" s="1"/>
      <c r="J64" s="1" t="s">
        <v>9753</v>
      </c>
      <c r="K64" s="2" t="s">
        <v>7208</v>
      </c>
      <c r="L64" s="4" t="s">
        <v>7999</v>
      </c>
      <c r="M64" s="1" t="s">
        <v>12137</v>
      </c>
      <c r="P64" s="7" t="s">
        <v>1241</v>
      </c>
      <c r="Q64" s="14" t="str">
        <f>INDEX($L:$L, MATCH("ambition", $B:$B, 0))</f>
        <v>&lt;span class="w"&gt;&lt;b&gt;【978.ambition：願望, 野望】&lt;/b&gt;&lt;/span&gt;
&lt;span class="ml"&gt;ラテン語に由来する語で、以下の3つの要素から成る。
&lt;span class="spacer"&gt;&lt;/span&gt;amb（周囲に）
ire（行く）
io（名詞化）
&lt;span class="spacer"&gt;&lt;/span&gt;このまま日本語にすると「周囲を行くこと」となる。もともとは選挙で票を得るためにあちこち行くことを表し、名誉や権力を求めて走るという政治的な活動を指していた。そこから一般的に、何かを成し遂げようとする前向きな気持ちを表すようになって「願望, 野望」という意味になった。
&lt;div class="sample_image ambition"&gt;&lt;/div&gt;&lt;/span&gt;</v>
      </c>
      <c r="R64" s="14" t="str">
        <f>INDEX($L:$L, MATCH("initial", $B:$B, 0))</f>
        <v>&lt;span class="w"&gt;&lt;b&gt;【597.initial：初めの】&lt;/b&gt;&lt;/span&gt;
&lt;span class="ml"&gt;ラテン語に由来する語で、以下の4つの要素から成る。
&lt;span class="spacer"&gt;&lt;/span&gt;in（中に）
ire（行く）
ium（名詞化）
alis（形容詞化）
&lt;span class="spacer"&gt;&lt;/span&gt;この語の核は「中へ入って行く」こと。もともとは物理的にどこかの場所へ足を踏み入れる動作から、その「入り口」を表していた。やがて、その空間的な入口という概念が時間やプロセスへと拡張され、物事の「始まり」や行動の「開始」も意味するようになった。つまり、空間・時間・プロセスのすべてにおける「一番最初」を指すことから、「初めの」という意味へと繋がっていった。&lt;/span&gt;</v>
      </c>
      <c r="S64" s="13" t="str">
        <f>INDEX($L:$L, MATCH("transition", $B:$B, 0))</f>
        <v>&lt;span class="w"&gt;&lt;b&gt;【964.transition：移り変わり, 移行】&lt;/b&gt;&lt;/span&gt;
&lt;span class="ml"&gt;ラテン語に由来する語で、以下の2つの要素から成る。
&lt;span class="spacer"&gt;&lt;/span&gt;trans（越えて, 向こう）
ire（行く）
io（名詞化）
&lt;span class="spacer"&gt;&lt;/span&gt;このまま日本語にすると「越えて行くこと」となる。そこからある状態から別の状態へ越えて行くこと、つまり「移行, 移り変わり」という意味になる。
&lt;div class="sample_image transition"&gt;&lt;/div&gt;&lt;/span&gt;</v>
      </c>
      <c r="AU64" s="15"/>
      <c r="AV64" s="1" t="s">
        <v>1502</v>
      </c>
      <c r="BG64" s="7" t="s">
        <v>1503</v>
      </c>
      <c r="BH64" s="1" t="s">
        <v>2034</v>
      </c>
      <c r="BI64" s="2" t="s">
        <v>2150</v>
      </c>
      <c r="BJ64" s="1" t="s">
        <v>1504</v>
      </c>
      <c r="BK64" s="2" t="s">
        <v>2151</v>
      </c>
      <c r="BL64" s="1" t="s">
        <v>2044</v>
      </c>
      <c r="BM64" s="2" t="s">
        <v>2152</v>
      </c>
      <c r="BN64" s="1" t="s">
        <v>1877</v>
      </c>
      <c r="BO64" s="2" t="s">
        <v>2153</v>
      </c>
    </row>
    <row r="65" spans="1:69" ht="126" x14ac:dyDescent="0.45">
      <c r="A65" s="5">
        <v>64</v>
      </c>
      <c r="B65" s="8" t="s">
        <v>1271</v>
      </c>
      <c r="C65" s="6" t="s">
        <v>6850</v>
      </c>
      <c r="D65" s="7" t="s">
        <v>9752</v>
      </c>
      <c r="E65" s="1" t="s">
        <v>1413</v>
      </c>
      <c r="F65" s="1" t="s">
        <v>8862</v>
      </c>
      <c r="G65" s="1" t="s">
        <v>1517</v>
      </c>
      <c r="J65" s="1" t="s">
        <v>9753</v>
      </c>
      <c r="K65" s="2" t="s">
        <v>7209</v>
      </c>
      <c r="L65" s="9" t="s">
        <v>8000</v>
      </c>
      <c r="P65" s="7" t="s">
        <v>1241</v>
      </c>
      <c r="AU65" s="15"/>
      <c r="AV65" s="1" t="s">
        <v>1502</v>
      </c>
      <c r="BG65" s="7" t="s">
        <v>1503</v>
      </c>
      <c r="BH65" s="1" t="s">
        <v>2034</v>
      </c>
      <c r="BI65" s="2" t="s">
        <v>2154</v>
      </c>
      <c r="BJ65" s="1" t="s">
        <v>1504</v>
      </c>
      <c r="BK65" s="1" t="s">
        <v>2155</v>
      </c>
      <c r="BL65" s="1" t="s">
        <v>2044</v>
      </c>
      <c r="BM65" s="2" t="s">
        <v>2156</v>
      </c>
    </row>
    <row r="66" spans="1:69" ht="216" x14ac:dyDescent="0.45">
      <c r="A66" s="5">
        <v>65</v>
      </c>
      <c r="B66" s="8" t="s">
        <v>1272</v>
      </c>
      <c r="C66" s="6" t="s">
        <v>6850</v>
      </c>
      <c r="D66" s="7" t="s">
        <v>9752</v>
      </c>
      <c r="E66" s="1" t="s">
        <v>1514</v>
      </c>
      <c r="F66" s="1" t="s">
        <v>3162</v>
      </c>
      <c r="G66" s="1"/>
      <c r="J66" s="1" t="s">
        <v>9753</v>
      </c>
      <c r="K66" s="2" t="s">
        <v>7210</v>
      </c>
      <c r="L66" s="9" t="s">
        <v>8001</v>
      </c>
      <c r="M66" s="1" t="s">
        <v>12138</v>
      </c>
      <c r="P66" s="7" t="s">
        <v>1241</v>
      </c>
      <c r="Q66" s="13" t="str">
        <f>INDEX($L:$L, MATCH("particle", $B:$B, 0))</f>
        <v>&lt;span class="w"&gt;&lt;b&gt;【1059.particle：（微）粒子, ほんのわずか】&lt;/b&gt;&lt;/span&gt;
&lt;span class="ml"&gt;ラテン語に由来する語で、以下の2つの要素から成る。
&lt;span class="spacer"&gt;&lt;/span&gt;pars（部分）
cula（小さいことを表す）
&lt;span class="spacer"&gt;&lt;/span&gt;このまま日本語にすると「小さい部分」となり、そこから「（微）粒子, ほんのわずか」という意味になった。&lt;/span&gt;</v>
      </c>
      <c r="R66" s="13" t="str">
        <f>INDEX($L:$L, MATCH("particular", $B:$B, 0))</f>
        <v>&lt;span class="w"&gt;&lt;b&gt;【90.particular：特定の, こだわる】&lt;/b&gt;&lt;/span&gt;
&lt;span class="ml"&gt;ラテン語に由来する語で、以下の3つの要素から成る。
&lt;span class="spacer"&gt;&lt;/span&gt;pars（部分：partの語源）
cula（小さいことを表す）
arius（形容詞化）
&lt;span class="spacer"&gt;&lt;/span&gt;このまま日本語にすると「小さな部分の」となる。全体ではなく、ある一部分に目を向けることから、「特定の」という意味になる。また全体ではなく、細かい部分に目がいくということから、「こだわる, 口うるさい」という意味になる。&lt;/span&gt;</v>
      </c>
      <c r="S66" s="13" t="str">
        <f>INDEX($L:$L, MATCH("molecule", $B:$B, 0))</f>
        <v>&lt;span class="w"&gt;&lt;b&gt;【1060.molecule：分子】&lt;/b&gt;&lt;/span&gt;
&lt;span class="ml"&gt;ラテン語に由来する語で、以下の2つの要素から成る。
&lt;span class="spacer"&gt;&lt;/span&gt;moles（塊）
cula（小さいことを表す）
&lt;span class="spacer"&gt;&lt;/span&gt;このまま日本語にすると「小さい塊」となる。近代の化学において、物質の化学的な性質を損なうことなく物質を分割できる最小の単位、つまり「分子」という意味になった。
&lt;div class="sample_image molecule"&gt;&lt;/div&gt;
&lt;span class="spacer"&gt;&lt;/span&gt;H₂OがH₂とOになれば、水という性質を失うことから、原子ではなく分子を意味する。&lt;/span&gt;</v>
      </c>
      <c r="T66" s="13" t="str">
        <f>INDEX($L:$L, MATCH("nuclear", $B:$B, 0))</f>
        <v>&lt;span class="w"&gt;&lt;b&gt;【389.nuclear：核の, 原子力の】&lt;/b&gt;&lt;/span&gt;
&lt;span class="ml"&gt;ラテン語に由来する語で、以下の2つの要素から成る。
&lt;span class="spacer"&gt;&lt;/span&gt;nux（ナッツ）
cula（小さいことを表す）
&lt;span class="obsolete"&gt;ar（形容詞化）は英語段階で付いた&lt;/span&gt;
&lt;span class="spacer"&gt;&lt;/span&gt;ナッツの中にある実の部分から比喩的に、何かの中心にある小さな核を表すようになった。そして近代から現代において、細胞核や原子核を指すようになり、「原子力の, 核の」という意味になった。&lt;/span&gt;</v>
      </c>
      <c r="AU66" s="15"/>
      <c r="AV66" s="1" t="s">
        <v>1502</v>
      </c>
      <c r="BG66" s="7" t="s">
        <v>1503</v>
      </c>
      <c r="BH66" s="1" t="s">
        <v>2034</v>
      </c>
      <c r="BI66" s="2" t="s">
        <v>7211</v>
      </c>
      <c r="BJ66" s="1" t="s">
        <v>1504</v>
      </c>
      <c r="BK66" s="1" t="s">
        <v>2157</v>
      </c>
      <c r="BL66" s="1" t="s">
        <v>2044</v>
      </c>
      <c r="BM66" s="2" t="s">
        <v>2158</v>
      </c>
      <c r="BN66" s="1" t="s">
        <v>1877</v>
      </c>
      <c r="BO66" s="2" t="s">
        <v>2159</v>
      </c>
    </row>
    <row r="67" spans="1:69" ht="72" x14ac:dyDescent="0.45">
      <c r="A67" s="5">
        <v>66</v>
      </c>
      <c r="B67" s="8" t="s">
        <v>1273</v>
      </c>
      <c r="C67" s="6" t="s">
        <v>6850</v>
      </c>
      <c r="D67" s="7" t="s">
        <v>9752</v>
      </c>
      <c r="E67" s="1" t="s">
        <v>90</v>
      </c>
      <c r="F67" s="1"/>
      <c r="G67" s="1"/>
      <c r="J67" s="1" t="s">
        <v>9753</v>
      </c>
      <c r="K67" s="2" t="s">
        <v>7212</v>
      </c>
      <c r="L67" s="4" t="s">
        <v>8002</v>
      </c>
      <c r="P67" s="7" t="s">
        <v>1241</v>
      </c>
      <c r="Q67" s="18" t="str">
        <f>INDEX($L:$L, MATCH("fuel", $B:$B, 0))</f>
        <v>&lt;span class="w"&gt;&lt;b&gt;【265.fuel：燃料】&lt;/b&gt;&lt;/span&gt;
&lt;span class="ml"&gt;ラテン語focus（暖炉）から派生した名詞focalia（燃料用の小枝）に由来する。
&lt;span class="spacer"&gt;&lt;/span&gt;暖炉にいれる燃料用の小枝から「燃料」という意味になる。
&lt;span class="spacer"&gt;&lt;/span&gt;ラテン語focus（暖炉）は火のイメージから、レンズで光を一点に集めてものを燃やす＝focus（焦点）になる。そしてfocusから派生したfocaliaからはfuel（燃料）になる。&lt;/span&gt;</v>
      </c>
      <c r="AU67" s="15"/>
      <c r="AV67" s="1" t="s">
        <v>1502</v>
      </c>
      <c r="BG67" s="7" t="s">
        <v>1503</v>
      </c>
      <c r="BH67" s="1" t="s">
        <v>2034</v>
      </c>
      <c r="BI67" s="2" t="s">
        <v>2160</v>
      </c>
      <c r="BJ67" s="1" t="s">
        <v>2147</v>
      </c>
      <c r="BK67" s="1" t="s">
        <v>2161</v>
      </c>
      <c r="BL67" s="1" t="s">
        <v>2162</v>
      </c>
      <c r="BM67" s="2" t="s">
        <v>2163</v>
      </c>
      <c r="BN67" s="1" t="s">
        <v>1877</v>
      </c>
      <c r="BO67" s="2" t="s">
        <v>2164</v>
      </c>
    </row>
    <row r="68" spans="1:69" ht="234" x14ac:dyDescent="0.45">
      <c r="A68" s="5">
        <v>67</v>
      </c>
      <c r="B68" s="8" t="s">
        <v>91</v>
      </c>
      <c r="C68" s="6" t="s">
        <v>6850</v>
      </c>
      <c r="D68" s="7" t="s">
        <v>9752</v>
      </c>
      <c r="E68" s="1" t="s">
        <v>4500</v>
      </c>
      <c r="F68" s="1" t="s">
        <v>8853</v>
      </c>
      <c r="G68" s="1"/>
      <c r="J68" s="1" t="s">
        <v>9753</v>
      </c>
      <c r="K68" s="2" t="s">
        <v>7213</v>
      </c>
      <c r="L68" s="4" t="s">
        <v>8003</v>
      </c>
      <c r="M68" s="1" t="s">
        <v>12128</v>
      </c>
      <c r="P68" s="7" t="s">
        <v>1241</v>
      </c>
      <c r="Q68" s="14" t="str">
        <f>INDEX($L:$L, MATCH("object", $B:$B, 0))</f>
        <v>&lt;span class="w"&gt;&lt;b&gt;【37.object：反対する】&lt;/b&gt;&lt;/span&gt;
&lt;span class="ml"&gt;ラテン語に由来する語で、以下の2つの要素から成る。
&lt;span class="spacer"&gt;&lt;/span&gt;ob（～に対して）
icere（投げる）
&lt;span class="spacer"&gt;&lt;/span&gt;このまま日本語にすると「何かに対して投げつける」となる。行為・提案・決定・状況などを受け入れるのではなく、それに対して投げつけるというイメージから「反対する」という意味になる。
&lt;div class="sample_image object"&gt;&lt;/div&gt;&lt;/span&gt;</v>
      </c>
      <c r="R68" s="14" t="str">
        <f>INDEX($L:$L, MATCH("reject", $B:$B, 0))</f>
        <v>&lt;span class="w"&gt;&lt;b&gt;【431.reject：〜を拒否する】&lt;/b&gt;&lt;/span&gt;
&lt;span class="ml"&gt;ラテン語に由来する語で、以下の2つの要素から成る。
&lt;span class="spacer"&gt;&lt;/span&gt;re（逆に, 後ろへ）
iacere（投げる）
&lt;span class="spacer"&gt;&lt;/span&gt;このまま日本語にすると「逆に投げる」となる。これは、相手が差し出したものを投げて返すイメージ。そこから申し出や考えを「拒否する」という意味になる。
&lt;span class="spacer"&gt;&lt;/span&gt;rejectは、基準に達していなかったり、不適切と判断されたりすることによる拒否。
&lt;div class="sample_image reject"&gt;&lt;/div&gt;&lt;/span&gt;</v>
      </c>
      <c r="S68" s="14" t="str">
        <f>INDEX($L:$L, MATCH("project", $B:$B, 0))</f>
        <v>&lt;span class="w"&gt;&lt;b&gt;【68.project：計画】&lt;/b&gt;&lt;/span&gt;
&lt;span class="ml"&gt;ラテン語に由来する語で、以下の2つの要素から成る。
&lt;span class="spacer"&gt;&lt;/span&gt;pro（前方に）
icere（投げる）
&lt;span class="spacer"&gt;&lt;/span&gt;このまま日本語にすると「前方に投げる」となる。この「前方」とは時間的な前方＝未来のことで、未来に投げられたもの＝「計画」という意味になる。&lt;/span&gt;</v>
      </c>
      <c r="AI68" s="15"/>
      <c r="AU68" s="15"/>
      <c r="AV68" s="1" t="s">
        <v>1502</v>
      </c>
      <c r="AW68" s="2"/>
      <c r="BG68" s="7" t="s">
        <v>1503</v>
      </c>
      <c r="BH68" s="1" t="s">
        <v>2034</v>
      </c>
      <c r="BI68" s="2" t="s">
        <v>2165</v>
      </c>
      <c r="BJ68" s="1" t="s">
        <v>1504</v>
      </c>
      <c r="BK68" s="2" t="s">
        <v>7214</v>
      </c>
      <c r="BL68" s="1" t="s">
        <v>2044</v>
      </c>
      <c r="BM68" s="2" t="s">
        <v>7215</v>
      </c>
      <c r="BN68" s="1" t="s">
        <v>1877</v>
      </c>
      <c r="BO68" s="2" t="s">
        <v>2166</v>
      </c>
    </row>
    <row r="69" spans="1:69" ht="234" x14ac:dyDescent="0.45">
      <c r="A69" s="5">
        <v>68</v>
      </c>
      <c r="B69" s="8" t="s">
        <v>92</v>
      </c>
      <c r="C69" s="6" t="s">
        <v>6850</v>
      </c>
      <c r="D69" s="7" t="s">
        <v>9752</v>
      </c>
      <c r="E69" s="1" t="s">
        <v>31</v>
      </c>
      <c r="F69" s="1" t="s">
        <v>8853</v>
      </c>
      <c r="G69" s="1"/>
      <c r="J69" s="1" t="s">
        <v>9753</v>
      </c>
      <c r="K69" s="2" t="s">
        <v>7216</v>
      </c>
      <c r="L69" s="4" t="s">
        <v>8004</v>
      </c>
      <c r="M69" s="1" t="s">
        <v>12128</v>
      </c>
      <c r="P69" s="7" t="s">
        <v>1241</v>
      </c>
      <c r="Q69" s="14" t="str">
        <f>INDEX($L:$L, MATCH("object", $B:$B, 0))</f>
        <v>&lt;span class="w"&gt;&lt;b&gt;【37.object：反対する】&lt;/b&gt;&lt;/span&gt;
&lt;span class="ml"&gt;ラテン語に由来する語で、以下の2つの要素から成る。
&lt;span class="spacer"&gt;&lt;/span&gt;ob（～に対して）
icere（投げる）
&lt;span class="spacer"&gt;&lt;/span&gt;このまま日本語にすると「何かに対して投げつける」となる。行為・提案・決定・状況などを受け入れるのではなく、それに対して投げつけるというイメージから「反対する」という意味になる。
&lt;div class="sample_image object"&gt;&lt;/div&gt;&lt;/span&gt;</v>
      </c>
      <c r="R69" s="14" t="str">
        <f>INDEX($L:$L, MATCH("reject", $B:$B, 0))</f>
        <v>&lt;span class="w"&gt;&lt;b&gt;【431.reject：〜を拒否する】&lt;/b&gt;&lt;/span&gt;
&lt;span class="ml"&gt;ラテン語に由来する語で、以下の2つの要素から成る。
&lt;span class="spacer"&gt;&lt;/span&gt;re（逆に, 後ろへ）
iacere（投げる）
&lt;span class="spacer"&gt;&lt;/span&gt;このまま日本語にすると「逆に投げる」となる。これは、相手が差し出したものを投げて返すイメージ。そこから申し出や考えを「拒否する」という意味になる。
&lt;span class="spacer"&gt;&lt;/span&gt;rejectは、基準に達していなかったり、不適切と判断されたりすることによる拒否。
&lt;div class="sample_image reject"&gt;&lt;/div&gt;&lt;/span&gt;</v>
      </c>
      <c r="S69" s="14" t="str">
        <f>INDEX($L:$L, MATCH("subject", $B:$B, 0))</f>
        <v>&lt;span class="w"&gt;&lt;b&gt;【67.subject：話題, 科目, 主語, 被験者】&lt;/b&gt;&lt;/span&gt;
&lt;span class="ml"&gt;ラテン語に由来する語で、以下の2つの要素から成る。
&lt;span class="spacer"&gt;&lt;/span&gt;sub（下に）
icere（投げる）
&lt;span class="spacer"&gt;&lt;/span&gt;このまま日本語にすると「下に投げる」となる。これは「上下関係の下に位置する」というイメージで、subjectは下記の下段のような意味になる。
&lt;span class="spacer"&gt;&lt;/span&gt;上位［会話］［教科］［一文］
下位［話題］［科目］［主語］&lt;/span&gt;</v>
      </c>
      <c r="AU69" s="15"/>
      <c r="AV69" s="1" t="s">
        <v>1502</v>
      </c>
      <c r="BG69" s="7" t="s">
        <v>1503</v>
      </c>
      <c r="BH69" s="1" t="s">
        <v>2034</v>
      </c>
      <c r="BI69" s="2" t="s">
        <v>2167</v>
      </c>
      <c r="BJ69" s="1" t="s">
        <v>2044</v>
      </c>
      <c r="BK69" s="2" t="s">
        <v>2168</v>
      </c>
      <c r="BL69" s="1" t="s">
        <v>1877</v>
      </c>
      <c r="BM69" s="2" t="s">
        <v>2169</v>
      </c>
    </row>
    <row r="70" spans="1:69" ht="144" x14ac:dyDescent="0.45">
      <c r="A70" s="5">
        <v>69</v>
      </c>
      <c r="B70" s="8" t="s">
        <v>1274</v>
      </c>
      <c r="C70" s="6" t="s">
        <v>6850</v>
      </c>
      <c r="D70" s="7" t="s">
        <v>9752</v>
      </c>
      <c r="E70" s="1" t="s">
        <v>8863</v>
      </c>
      <c r="F70" s="1"/>
      <c r="G70" s="1"/>
      <c r="J70" s="1" t="s">
        <v>9753</v>
      </c>
      <c r="K70" s="2" t="s">
        <v>7217</v>
      </c>
      <c r="L70" s="4" t="s">
        <v>8005</v>
      </c>
      <c r="P70" s="7" t="s">
        <v>1241</v>
      </c>
      <c r="Q70" s="14" t="str">
        <f>INDEX($L:$L, MATCH("quantity", $B:$B, 0))</f>
        <v>&lt;span class="w"&gt;&lt;b&gt;【471.quantity：量】&lt;/b&gt;&lt;/span&gt;
&lt;span class="ml"&gt;ラテン語に由来する語で、以下の2つの要素から成る。
&lt;span class="spacer"&gt;&lt;/span&gt;quantus（どれくらい大きいか, どれくらい多いか, どのくらいの量か）
tas（名詞化）
&lt;span class="spacer"&gt;&lt;/span&gt;英語で言えばhow muchやhow manyに近い、量・数・程度などを表すラテン語quantusが名詞化したことで、「量」という意味になった。&lt;/span&gt;</v>
      </c>
      <c r="AU70" s="15"/>
      <c r="AV70" s="1" t="s">
        <v>1502</v>
      </c>
      <c r="BG70" s="7" t="s">
        <v>1503</v>
      </c>
      <c r="BH70" s="1" t="s">
        <v>2034</v>
      </c>
      <c r="BI70" s="2" t="s">
        <v>2170</v>
      </c>
      <c r="BJ70" s="1" t="s">
        <v>1504</v>
      </c>
      <c r="BK70" s="1" t="s">
        <v>2171</v>
      </c>
      <c r="BL70" s="1" t="s">
        <v>2044</v>
      </c>
      <c r="BM70" s="2" t="s">
        <v>2172</v>
      </c>
      <c r="BN70" s="1" t="s">
        <v>1877</v>
      </c>
      <c r="BO70" s="2" t="s">
        <v>2173</v>
      </c>
    </row>
    <row r="71" spans="1:69" ht="162" x14ac:dyDescent="0.45">
      <c r="A71" s="5">
        <v>70</v>
      </c>
      <c r="B71" s="8" t="s">
        <v>93</v>
      </c>
      <c r="C71" s="6" t="s">
        <v>6850</v>
      </c>
      <c r="D71" s="7" t="s">
        <v>9752</v>
      </c>
      <c r="E71" s="1" t="s">
        <v>93</v>
      </c>
      <c r="F71" s="1"/>
      <c r="G71" s="1"/>
      <c r="J71" s="1" t="s">
        <v>9753</v>
      </c>
      <c r="K71" s="2" t="s">
        <v>7232</v>
      </c>
      <c r="L71" s="9" t="s">
        <v>8006</v>
      </c>
      <c r="P71" s="7" t="s">
        <v>1241</v>
      </c>
      <c r="AI71" s="15"/>
      <c r="AU71" s="15"/>
      <c r="AV71" s="1" t="s">
        <v>1502</v>
      </c>
      <c r="AW71" s="2"/>
      <c r="BG71" s="7" t="s">
        <v>1503</v>
      </c>
      <c r="BH71" s="1" t="s">
        <v>2034</v>
      </c>
      <c r="BI71" s="2" t="s">
        <v>7218</v>
      </c>
      <c r="BJ71" s="1" t="s">
        <v>1980</v>
      </c>
      <c r="BK71" s="1" t="s">
        <v>2174</v>
      </c>
      <c r="BL71" s="1" t="s">
        <v>1504</v>
      </c>
      <c r="BM71" s="1" t="s">
        <v>2175</v>
      </c>
      <c r="BN71" s="1" t="s">
        <v>2017</v>
      </c>
      <c r="BO71" s="1" t="s">
        <v>2176</v>
      </c>
      <c r="BP71" s="1" t="s">
        <v>1877</v>
      </c>
      <c r="BQ71" s="2" t="s">
        <v>2177</v>
      </c>
    </row>
    <row r="72" spans="1:69" ht="234" x14ac:dyDescent="0.45">
      <c r="A72" s="5">
        <v>71</v>
      </c>
      <c r="B72" s="8" t="s">
        <v>1275</v>
      </c>
      <c r="C72" s="6" t="s">
        <v>6850</v>
      </c>
      <c r="D72" s="7" t="s">
        <v>9752</v>
      </c>
      <c r="E72" s="1" t="s">
        <v>94</v>
      </c>
      <c r="F72" s="1"/>
      <c r="G72" s="1"/>
      <c r="J72" s="1" t="s">
        <v>9753</v>
      </c>
      <c r="K72" s="2" t="s">
        <v>7219</v>
      </c>
      <c r="L72" s="4" t="s">
        <v>8007</v>
      </c>
      <c r="M72" s="1" t="s">
        <v>12139</v>
      </c>
      <c r="P72" s="7" t="s">
        <v>1241</v>
      </c>
      <c r="Q72" s="13" t="str">
        <f>INDEX($L:$L, MATCH("determine", $B:$B, 0))</f>
        <v>&lt;span class="w"&gt;&lt;b&gt;【124.determine：～を決定する】&lt;/b&gt;&lt;/span&gt;
&lt;span class="ml"&gt;ラテン語に由来する語で、以下の2つの要素から成る。
&lt;span class="spacer"&gt;&lt;/span&gt;de（離れて）
terminus（終わり, 境界, 限界）
&lt;span class="spacer"&gt;&lt;/span&gt;離れたところに境界＝終わりを示すことから、何かの終着を決める＝何かを「決定する」という意味になる。
&lt;div class="sample_image determine"&gt;&lt;/div&gt;
&lt;span class="spacer"&gt;&lt;/span&gt;ラテン語terminus（終わり, 境界, 限界）は英語terminal（終わりの, 末期の）の語源でもある。ターミナルは日本語でもバスのターミナル（バスの終点）やターミナルケア（終末期医療）で使われる。&lt;/span&gt;</v>
      </c>
      <c r="AI72" s="15"/>
      <c r="AJ72" s="15"/>
      <c r="AV72" s="1" t="s">
        <v>1502</v>
      </c>
      <c r="AW72" s="2"/>
      <c r="AX72" s="2"/>
      <c r="BG72" s="7" t="s">
        <v>1503</v>
      </c>
      <c r="BH72" s="1" t="s">
        <v>2034</v>
      </c>
      <c r="BI72" s="1" t="s">
        <v>2178</v>
      </c>
      <c r="BJ72" s="1" t="s">
        <v>1980</v>
      </c>
      <c r="BK72" s="1" t="s">
        <v>2179</v>
      </c>
      <c r="BL72" s="1" t="s">
        <v>1504</v>
      </c>
      <c r="BM72" s="1" t="s">
        <v>2180</v>
      </c>
      <c r="BN72" s="1" t="s">
        <v>2044</v>
      </c>
      <c r="BO72" s="2" t="s">
        <v>2181</v>
      </c>
      <c r="BP72" s="1" t="s">
        <v>1877</v>
      </c>
      <c r="BQ72" s="2" t="s">
        <v>2182</v>
      </c>
    </row>
    <row r="73" spans="1:69" ht="234" x14ac:dyDescent="0.45">
      <c r="A73" s="5">
        <v>72</v>
      </c>
      <c r="B73" s="8" t="s">
        <v>1276</v>
      </c>
      <c r="C73" s="6" t="s">
        <v>6850</v>
      </c>
      <c r="D73" s="7" t="s">
        <v>9752</v>
      </c>
      <c r="E73" s="1" t="s">
        <v>8864</v>
      </c>
      <c r="F73" s="1" t="s">
        <v>1517</v>
      </c>
      <c r="G73" s="1"/>
      <c r="J73" s="1" t="s">
        <v>9753</v>
      </c>
      <c r="K73" s="2" t="s">
        <v>7220</v>
      </c>
      <c r="L73" s="2" t="s">
        <v>8008</v>
      </c>
      <c r="P73" s="7" t="s">
        <v>1241</v>
      </c>
      <c r="Q73" s="14"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R73" s="14"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S73" s="14" t="str">
        <f>INDEX($L:$L, MATCH("establish", $B:$B, 0))</f>
        <v>&lt;span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v>
      </c>
      <c r="T73" s="14" t="str">
        <f>INDEX($L:$L, MATCH("static", $B:$B, 0))</f>
        <v>&lt;span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v>
      </c>
      <c r="U73" s="14"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V73" s="14"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W73" s="14"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X73" s="13"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Y73" s="13"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Z73" s="13"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AA73" s="13" t="str">
        <f>INDEX($L:$L, MATCH("steady", $B:$B, 0))</f>
        <v>&lt;span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v>
      </c>
      <c r="AB73"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C73" s="13" t="str">
        <f>INDEX($L:$L, MATCH("restore", $B:$B, 0))</f>
        <v>&lt;span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v>
      </c>
      <c r="AD73" s="13"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AE73" s="13"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V73" s="1" t="s">
        <v>1502</v>
      </c>
      <c r="BG73" s="7" t="s">
        <v>1503</v>
      </c>
      <c r="BH73" s="1" t="s">
        <v>1976</v>
      </c>
      <c r="BI73" s="1" t="s">
        <v>2263</v>
      </c>
      <c r="BJ73" s="1" t="s">
        <v>2034</v>
      </c>
      <c r="BK73" s="2" t="s">
        <v>2183</v>
      </c>
      <c r="BL73" s="1" t="s">
        <v>1504</v>
      </c>
      <c r="BM73" s="1" t="s">
        <v>2184</v>
      </c>
      <c r="BN73" s="1" t="s">
        <v>2044</v>
      </c>
      <c r="BO73" s="2" t="s">
        <v>2185</v>
      </c>
      <c r="BP73" s="1" t="s">
        <v>1877</v>
      </c>
      <c r="BQ73" s="2" t="s">
        <v>2186</v>
      </c>
    </row>
    <row r="74" spans="1:69" ht="126" x14ac:dyDescent="0.45">
      <c r="A74" s="5">
        <v>73</v>
      </c>
      <c r="B74" s="8" t="s">
        <v>1277</v>
      </c>
      <c r="C74" s="6" t="s">
        <v>6850</v>
      </c>
      <c r="D74" s="7" t="s">
        <v>9752</v>
      </c>
      <c r="E74" s="1" t="s">
        <v>8865</v>
      </c>
      <c r="F74" s="1" t="s">
        <v>49</v>
      </c>
      <c r="G74" s="1"/>
      <c r="J74" s="1" t="s">
        <v>9753</v>
      </c>
      <c r="K74" s="2" t="s">
        <v>7221</v>
      </c>
      <c r="L74" s="4" t="s">
        <v>8009</v>
      </c>
      <c r="P74" s="7" t="s">
        <v>1241</v>
      </c>
      <c r="Q74" s="13" t="str">
        <f>INDEX($L:$L, MATCH("matter", $B:$B, 0))</f>
        <v>&lt;span class="w"&gt;&lt;b&gt;【53.matter：重要な事柄, 肝心なこと, 問題, 物質】&lt;/b&gt;&lt;/span&gt;
&lt;span class="ml"&gt;ラテン語mater（母, 起源, 源）に由来する。このラテン語は、英語mother（母）と同じで印欧祖語*mater-（母）にさかのぼる。
&lt;span class="spacer"&gt;&lt;/span&gt;「母」は生命の源であることから、起源や根源といった何かの「中心」というイメージと結びつく。このイメージからmatterは、中心となる事柄＝「重要な事柄, 肝心なこと, 問題」という意味になる。
&lt;span class="spacer"&gt;&lt;/span&gt;また物体を構成する中心となるもの＝「物質」という意味になる。&lt;/span&gt;</v>
      </c>
      <c r="AU74" s="15"/>
      <c r="AV74" s="1" t="s">
        <v>1502</v>
      </c>
      <c r="BG74" s="7" t="s">
        <v>1503</v>
      </c>
      <c r="BH74" s="1" t="s">
        <v>2034</v>
      </c>
      <c r="BI74" s="2" t="s">
        <v>2112</v>
      </c>
      <c r="BJ74" s="1" t="s">
        <v>2147</v>
      </c>
      <c r="BK74" s="2" t="s">
        <v>2187</v>
      </c>
      <c r="BL74" s="1" t="s">
        <v>1504</v>
      </c>
      <c r="BM74" s="1" t="s">
        <v>2188</v>
      </c>
      <c r="BN74" s="1" t="s">
        <v>2044</v>
      </c>
      <c r="BO74" s="2" t="s">
        <v>2189</v>
      </c>
    </row>
    <row r="75" spans="1:69" ht="270" x14ac:dyDescent="0.45">
      <c r="A75" s="5">
        <v>74</v>
      </c>
      <c r="B75" s="8" t="s">
        <v>1405</v>
      </c>
      <c r="C75" s="6" t="s">
        <v>6850</v>
      </c>
      <c r="D75" s="7" t="s">
        <v>9752</v>
      </c>
      <c r="E75" s="1" t="s">
        <v>1454</v>
      </c>
      <c r="F75" s="1" t="s">
        <v>1894</v>
      </c>
      <c r="G75" s="1" t="s">
        <v>1895</v>
      </c>
      <c r="J75" s="1" t="s">
        <v>9753</v>
      </c>
      <c r="K75" s="2" t="s">
        <v>7222</v>
      </c>
      <c r="L75" s="4" t="s">
        <v>8010</v>
      </c>
      <c r="M75" s="1" t="s">
        <v>12133</v>
      </c>
      <c r="P75" s="7" t="s">
        <v>1241</v>
      </c>
      <c r="Q75" s="14" t="str">
        <f>INDEX($L:$L, MATCH("view", $B:$B, 0))</f>
        <v>&lt;span class="w"&gt;&lt;b&gt;【54.view：眺め, 見解】&lt;/b&gt;&lt;/span&gt;
&lt;span class="ml"&gt;ラテン語videre（見る）に由来する。
&lt;span class="spacer"&gt;&lt;/span&gt;見るという動詞から「眺め」という名詞になった。また視覚的に見えるものから発展して「見解, 考え」という意味になる。
&lt;span class="spacer"&gt;&lt;/span&gt;日本語でも考え方や思考力が独特な人に対して「見ている世界が違う」と表現することがあるように、視覚と思考は密接に結びついている。
&lt;span class="spacer"&gt;&lt;/span&gt;印欧祖語*weid-（見る）から生まれた語は、おおむね視覚系の意味と思考系の意味に分かれる。
&lt;span class="spacer"&gt;&lt;/span&gt;視覚系：video, visit, vision, evidence
&lt;span class="spacer"&gt;&lt;/span&gt;思考系：wise, wisdom, wit, advice
&lt;span class="spacer"&gt;&lt;/span&gt;しかし完全にどちらかに分かれるわけではく、viewのように視覚系の意味「眺め」と、思考系の意味「見解」を持つことがある。
&lt;span class="spacer"&gt;&lt;/span&gt;視覚と思考が結びついていることは、see（見る）とI see（なるほど, 理解）からもわかる。&lt;/span&gt;</v>
      </c>
      <c r="R75" s="14" t="str">
        <f>INDEX($L:$L, MATCH("review", $B:$B, 0))</f>
        <v>&lt;span class="w"&gt;&lt;b&gt;【454.review：論評, 復習】&lt;/b&gt;&lt;/span&gt;
&lt;span class="ml"&gt;ラテン語に由来する語で、以下の2つの要素から成る。
&lt;span class="spacer"&gt;&lt;/span&gt;re（再び）
videre（見る）
&lt;span class="spacer"&gt;&lt;/span&gt;このまま日本語にすると「再び見る」となる。15世紀半ばには、軍事において、訓練を繰り返し見てその有効性を評価することを表した。そこから書籍や何かを評価すること＝「論評」という意味になる。
&lt;span class="spacer"&gt;&lt;/span&gt;また過去を繰り返し振り返ることから「復習」という意味にもなる。&lt;/span&gt;</v>
      </c>
      <c r="S75" s="14" t="str">
        <f>INDEX($L:$L, MATCH("advise", $B:$B, 0))</f>
        <v>&lt;span class="w"&gt;&lt;b&gt;【620.advise：〜に/を助言（忠告）する】&lt;/b&gt;&lt;/span&gt;
&lt;span class="ml"&gt;ラテン語videre（見る）から派生した名詞visum（見解）に由来する。
&lt;span class="spacer"&gt;&lt;/span&gt;「見る」ことから「見解」という思考系の意味に派生することは、seeとI see.（なるほど）の関係からわかる。見ることと知ることは密接に結びついている。
&lt;span class="spacer"&gt;&lt;/span&gt;「見解」から自分の見解を出すという行為になって、「助言する, 忠告する」という意味になった。&lt;/span&gt;</v>
      </c>
      <c r="T75" s="14" t="str">
        <f>INDEX($L:$L, MATCH("revise", $B:$B, 0))</f>
        <v>&lt;span class="w"&gt;&lt;b&gt;【1231.revise：〜を修正する, 〜を改訂する】&lt;/b&gt;&lt;/span&gt;
&lt;span class="ml"&gt;ラテン語に由来する語で、以下の2つの要素から成る。
&lt;span class="spacer"&gt;&lt;/span&gt;re（再び）
videre（見る）
&lt;span class="spacer"&gt;&lt;/span&gt;このまま日本語にすると「再び見る」となる。一度出来上がったものを見直し、間違いを直したりアップデートしたりすることから「改訂する, 修正する」という意味になる。
&lt;div class="sample_image revise"&gt;&lt;/div&gt;&lt;/span&gt;</v>
      </c>
      <c r="U75" s="14" t="str">
        <f>INDEX($L:$L, MATCH("visible", $B:$B, 0))</f>
        <v>&lt;span class="w"&gt;&lt;b&gt;【593.visible：目に見える】&lt;/b&gt;&lt;/span&gt;
&lt;span class="ml"&gt;ラテン語に由来する語で、以下の2つの要素から成る。
&lt;span class="spacer"&gt;&lt;/span&gt;videre（見る）
bilis（できる）
&lt;span class="spacer"&gt;&lt;/span&gt;このまま日本語にすると「見ることができる」つまり「目に見える」という意味になる。&lt;/span&gt;</v>
      </c>
      <c r="V75" s="14" t="str">
        <f>INDEX($L:$L, MATCH("visual", $B:$B, 0))</f>
        <v>&lt;span class="w"&gt;&lt;b&gt;【393.visual：視覚の, 目に見える】&lt;/b&gt;&lt;/span&gt;
&lt;span class="ml"&gt;ラテン語に由来する語で、以下の2つの要素から成る。
&lt;span class="spacer"&gt;&lt;/span&gt;videre（見る）
alis（形容詞化）
&lt;span class="spacer"&gt;&lt;/span&gt;見るという視覚に関する形容詞となり、「視覚の, 目に見える」という意味になる。&lt;/span&gt;</v>
      </c>
      <c r="W75" s="13" t="str">
        <f>INDEX($L:$L, MATCH("survey", $B:$B, 0))</f>
        <v>&lt;span class="w"&gt;&lt;b&gt;【207.survey：～を調査する, ～を概観する】&lt;/b&gt;&lt;/span&gt;
&lt;span class="ml"&gt;ラテン語に由来する語で、以下の2つの要素から成る。
&lt;span class="spacer"&gt;&lt;/span&gt;super（上に, 超えて）
videre（見る）
&lt;span class="spacer"&gt;&lt;/span&gt;このまま日本語にすると「上から見る」となる。俯瞰視点で全体に目を配ることから「調査する, 概観する」という意味になる。
&lt;div class="sample_image survey"&gt;&lt;/div&gt;&lt;/span&gt;</v>
      </c>
      <c r="AU75" s="15"/>
      <c r="AV75" s="1" t="s">
        <v>1502</v>
      </c>
      <c r="BG75" s="7" t="s">
        <v>1503</v>
      </c>
      <c r="BH75" s="1" t="s">
        <v>2034</v>
      </c>
      <c r="BI75" s="2" t="s">
        <v>2190</v>
      </c>
      <c r="BJ75" s="1" t="s">
        <v>2147</v>
      </c>
      <c r="BK75" s="2" t="s">
        <v>2191</v>
      </c>
      <c r="BL75" s="1" t="s">
        <v>2044</v>
      </c>
      <c r="BM75" s="2" t="s">
        <v>2192</v>
      </c>
    </row>
    <row r="76" spans="1:69" ht="270" x14ac:dyDescent="0.45">
      <c r="A76" s="5">
        <v>75</v>
      </c>
      <c r="B76" s="8" t="s">
        <v>7223</v>
      </c>
      <c r="C76" s="6" t="s">
        <v>6850</v>
      </c>
      <c r="D76" s="7" t="s">
        <v>9752</v>
      </c>
      <c r="E76" s="1" t="s">
        <v>7223</v>
      </c>
      <c r="F76" s="1"/>
      <c r="G76" s="1"/>
      <c r="J76" s="1" t="s">
        <v>9753</v>
      </c>
      <c r="K76" s="2" t="s">
        <v>7224</v>
      </c>
      <c r="L76" s="4" t="s">
        <v>8011</v>
      </c>
      <c r="M76" s="1" t="s">
        <v>12140</v>
      </c>
      <c r="P76" s="7" t="s">
        <v>1241</v>
      </c>
      <c r="Q76" s="14" t="str">
        <f>INDEX($L:$L, MATCH("resource", $B:$B, 0))</f>
        <v>&lt;span class="w"&gt;&lt;b&gt;【163.resource：資源, 資金】&lt;/b&gt;&lt;/span&gt;
&lt;span class="ml"&gt;ラテン語に由来する語で、以下の3つの要素から成る。
&lt;span class="spacer"&gt;&lt;/span&gt;re（再び）
sub（下から）
regere（まっすぐ導く）
&lt;span class="spacer"&gt;&lt;/span&gt;このまま日本語にすると「再び下からまっすぐ導く」となる。崩れたものをを再び立て直すことから、困ったときに立ち直らせる源＝「資源, 資金」という意味になる。&lt;/span&gt;</v>
      </c>
      <c r="R76" s="14" t="str">
        <f>INDEX($L:$L, MATCH("region", $B:$B, 0))</f>
        <v>&lt;span class="w"&gt;&lt;b&gt;【164.region：地域, 領域, 部位】&lt;/b&gt;&lt;/span&gt;
&lt;span class="ml"&gt;ラテン語に由来する語で、以下の2つの要素から成る。
&lt;span class="spacer"&gt;&lt;/span&gt;regere（まっすぐ導く, 支配する）
io（名詞化）
&lt;span class="spacer"&gt;&lt;/span&gt;このまま日本語にすると「まっすぐ導くこと, 支配する者」となる。支配者が領土に線を引いて区分けするイメージから「地域, 領域, 部位」という意味になる。
&lt;div class="sample_image region"&gt;&lt;/div&gt;&lt;/span&gt;</v>
      </c>
      <c r="S76" s="14" t="str">
        <f>INDEX($L:$L, MATCH("correct", $B:$B, 0))</f>
        <v>&lt;span class="w"&gt;&lt;b&gt;【99.correct：正しい】&lt;/b&gt;&lt;/span&gt;
&lt;span class="ml"&gt;ラテン語に由来する語で、以下の2つの要素から成る。
&lt;span class="spacer"&gt;&lt;/span&gt;com（強意）
regere（まっすぐ導く）
&lt;span class="spacer"&gt;&lt;/span&gt;このまま日本語にすると「しっかりとまっすぐ導く」となる。間違いにそれることなくまっすぐに正すことから「正しい」という意味になる。&lt;/span&gt;</v>
      </c>
      <c r="T76" s="14" t="str">
        <f>INDEX($L:$L, MATCH("address", $B:$B, 0))</f>
        <v>&lt;span class="w"&gt;&lt;b&gt;【330.address：問題に対処する, 演説する, ～宛てに出す】&lt;/b&gt;&lt;/span&gt;
&lt;span class="ml"&gt;ラテン語に由来する語で、以下の2つの要素から成る。
&lt;span class="spacer"&gt;&lt;/span&gt;ad（～へ）
dis（強意）
regere（まっすぐ導く）
&lt;span class="spacer"&gt;&lt;/span&gt;このまま日本語にすると「ある方向へしっかりまっすぐ導く」となる。ここから問題に対して自分の意識をまっすぐ向けて、問題を解消してまっすぐな状態＝正常な状態にしようとする＝「対処する」という意味になる。
&lt;span class="spacer"&gt;&lt;/span&gt;また対象へまっすぐ届けることから、手紙などを「～へ宛てて送る」となる。手紙ではなく言葉を直接届ける場合は「演説をする」となる。
&lt;div class="sample_image address"&gt;&lt;/div&gt;&lt;/span&gt;</v>
      </c>
      <c r="U76" s="13" t="str">
        <f>INDEX($L:$L, MATCH("alert", $B:$B, 0))</f>
        <v>&lt;span class="w"&gt;&lt;b&gt;【985.alert：警戒して】&lt;/b&gt;&lt;/span&gt;
&lt;span class="ml"&gt;［ert部分］
ラテン語に由来する語で、以下の2つの要素から成る。
&lt;span class="spacer"&gt;&lt;/span&gt;ex（外に, 上に）
regere（導く）
&lt;span class="spacer"&gt;&lt;/span&gt;［al+ert］
イタリア語に由来する語で、以下の3つの要素から成る。
&lt;span class="spacer"&gt;&lt;/span&gt;a（〜へ）
la（＝the）
erta（高い塔, 見張り台）
&lt;span class="spacer"&gt;&lt;/span&gt;ラテン語の「上に導く（erigere）」から派生した言葉が「高く持ち上げられた場所（erta）」となり、それがイタリア語で「高台」や「見張り台」を表すようになった。そして、兵士に対する「見張り台へ！（all'erta）」という軍事的な呼びかけの言葉が、フランス語を経由して英語に取り入れられ、alert「警戒して」という意味になった。&lt;/span&gt;</v>
      </c>
      <c r="AU76" s="15"/>
      <c r="AV76" s="1" t="s">
        <v>1502</v>
      </c>
      <c r="BG76" s="7" t="s">
        <v>1503</v>
      </c>
      <c r="BH76" s="1" t="s">
        <v>2034</v>
      </c>
      <c r="BI76" s="2" t="s">
        <v>2193</v>
      </c>
      <c r="BJ76" s="1" t="s">
        <v>1504</v>
      </c>
      <c r="BK76" s="2" t="s">
        <v>2194</v>
      </c>
      <c r="BL76" s="1" t="s">
        <v>2044</v>
      </c>
      <c r="BM76" s="2" t="s">
        <v>2195</v>
      </c>
    </row>
    <row r="77" spans="1:69" ht="162" x14ac:dyDescent="0.45">
      <c r="A77" s="5">
        <v>76</v>
      </c>
      <c r="B77" s="8" t="s">
        <v>1278</v>
      </c>
      <c r="C77" s="6" t="s">
        <v>6850</v>
      </c>
      <c r="D77" s="7" t="s">
        <v>9752</v>
      </c>
      <c r="E77" s="1" t="s">
        <v>1467</v>
      </c>
      <c r="F77" s="1" t="s">
        <v>8866</v>
      </c>
      <c r="G77" s="1" t="s">
        <v>1522</v>
      </c>
      <c r="J77" s="1" t="s">
        <v>9753</v>
      </c>
      <c r="K77" s="2" t="s">
        <v>7225</v>
      </c>
      <c r="L77" s="4" t="s">
        <v>8012</v>
      </c>
      <c r="M77" s="1" t="s">
        <v>12141</v>
      </c>
      <c r="P77" s="7" t="s">
        <v>1241</v>
      </c>
      <c r="Q77" s="14" t="str">
        <f>INDEX($L:$L, MATCH("common", $B:$B, 0))</f>
        <v>&lt;span class="w"&gt;&lt;b&gt;【84.common：共通の, 普通の, ありふれた】&lt;/b&gt;&lt;/span&gt;
&lt;span class="ml"&gt;ラテン語に由来する語で、以下の2つの要素から成る。
&lt;span class="spacer"&gt;&lt;/span&gt;com（共に）
munis（義務）
&lt;span class="spacer"&gt;&lt;/span&gt;このまま日本語にすると「義務を共にする」となる。つまりみんなが同じ義務を共有しているということ。ここから多くが何かを共有している＝「共通の」という意味になる。またみんな共通だから特別なことではなく「普通の, ありふれた」となる。&lt;/span&gt;</v>
      </c>
      <c r="R77" s="13" t="str">
        <f>INDEX($L:$L, MATCH("communicate", $B:$B, 0))</f>
        <v>&lt;span class="w"&gt;&lt;b&gt;【129.communicate：情報交換する, 意思疎通する】&lt;/b&gt;&lt;/span&gt;
&lt;span class="ml"&gt;ラテン語に由来する語で、以下の2つの要素から成る。
&lt;span class="spacer"&gt;&lt;/span&gt;com（共に）
munis（義務）
&lt;span class="spacer"&gt;&lt;/span&gt;このまま日本語にすると「義務を共に」となる。つまり義務を共有するというコミュニケーション行為から「情報交換する, 意思疎通する」という意味になる。&lt;/span&gt;</v>
      </c>
      <c r="S77" s="13" t="str">
        <f>INDEX($L:$L, MATCH("immune", $B:$B, 0))</f>
        <v>&lt;span class="w"&gt;&lt;b&gt;【893.immune：免疫を持つ, 免れた】&lt;/b&gt;&lt;/span&gt;
&lt;span class="ml"&gt;ラテン語に由来する語で、以下の2つの要素から成る。
&lt;span class="spacer"&gt;&lt;/span&gt;in（否定）
munis（奉仕を行っている, 義務の）
&lt;span class="spacer"&gt;&lt;/span&gt;もともとは、公共の義務や税などから免除されていることを表した。そこから医学的な意味へと発展し、病気を免れている、つまり「免疫をもつ」という意味になった。&lt;/span&gt;</v>
      </c>
      <c r="AU77" s="15"/>
      <c r="AV77" s="1" t="s">
        <v>1502</v>
      </c>
      <c r="BG77" s="7" t="s">
        <v>1503</v>
      </c>
      <c r="BH77" s="1" t="s">
        <v>2034</v>
      </c>
      <c r="BI77" s="2" t="s">
        <v>7226</v>
      </c>
      <c r="BJ77" s="1" t="s">
        <v>1980</v>
      </c>
      <c r="BK77" s="1" t="s">
        <v>2196</v>
      </c>
      <c r="BL77" s="1" t="s">
        <v>1504</v>
      </c>
      <c r="BM77" s="2" t="s">
        <v>2197</v>
      </c>
      <c r="BN77" s="1" t="s">
        <v>2044</v>
      </c>
      <c r="BO77" s="2" t="s">
        <v>2198</v>
      </c>
    </row>
    <row r="78" spans="1:69" ht="144" x14ac:dyDescent="0.45">
      <c r="A78" s="5">
        <v>77</v>
      </c>
      <c r="B78" s="8" t="s">
        <v>1279</v>
      </c>
      <c r="C78" s="6" t="s">
        <v>6850</v>
      </c>
      <c r="D78" s="7" t="s">
        <v>9752</v>
      </c>
      <c r="E78" s="1" t="s">
        <v>8867</v>
      </c>
      <c r="F78" s="1" t="s">
        <v>1508</v>
      </c>
      <c r="G78" s="1"/>
      <c r="J78" s="1" t="s">
        <v>9753</v>
      </c>
      <c r="K78" s="2" t="s">
        <v>7227</v>
      </c>
      <c r="L78" s="9" t="s">
        <v>8013</v>
      </c>
      <c r="P78" s="7" t="s">
        <v>1241</v>
      </c>
      <c r="Q78" s="16" t="str">
        <f>INDEX($L:$L, MATCH("technique", $B:$B, 0))</f>
        <v>&lt;span class="w"&gt;&lt;b&gt;【255.technique：技術, 技巧, 手法】&lt;/b&gt;&lt;/span&gt;
&lt;span class="ml"&gt;ギリシャ語tekhnē（技術）に由来する。これはそのまま「技術, 技巧, 手法」となった。&lt;/span&gt;</v>
      </c>
      <c r="AU78" s="15"/>
      <c r="AV78" s="1" t="s">
        <v>1502</v>
      </c>
      <c r="BG78" s="7" t="s">
        <v>1503</v>
      </c>
      <c r="BH78" s="1" t="s">
        <v>2199</v>
      </c>
      <c r="BI78" s="2" t="s">
        <v>2200</v>
      </c>
      <c r="BJ78" s="1" t="s">
        <v>1877</v>
      </c>
      <c r="BK78" s="2" t="s">
        <v>2201</v>
      </c>
    </row>
    <row r="79" spans="1:69" ht="198" x14ac:dyDescent="0.45">
      <c r="A79" s="5">
        <v>78</v>
      </c>
      <c r="B79" s="8" t="s">
        <v>1280</v>
      </c>
      <c r="C79" s="6" t="s">
        <v>6850</v>
      </c>
      <c r="D79" s="7" t="s">
        <v>9752</v>
      </c>
      <c r="E79" s="1" t="s">
        <v>8868</v>
      </c>
      <c r="F79" s="1" t="s">
        <v>1525</v>
      </c>
      <c r="G79" s="1"/>
      <c r="J79" s="1" t="s">
        <v>9753</v>
      </c>
      <c r="K79" s="2" t="s">
        <v>7228</v>
      </c>
      <c r="L79" s="4" t="s">
        <v>8014</v>
      </c>
      <c r="M79" s="1" t="s">
        <v>12142</v>
      </c>
      <c r="P79" s="7" t="s">
        <v>1241</v>
      </c>
      <c r="Q79" s="14" t="str">
        <f>INDEX($L:$L, MATCH("agriculture", $B:$B, 0))</f>
        <v>&lt;span class="w"&gt;&lt;b&gt;【375.agriculture：農業】&lt;/b&gt;&lt;/span&gt;
&lt;span class="ml"&gt;ラテン語に由来する語で、以下の2つの要素から成る。
&lt;span class="spacer"&gt;&lt;/span&gt;ager（畑）
cultura（耕すこと, 耕作）
&lt;span class="spacer"&gt;&lt;/span&gt;このまま日本語にすると「畑を耕すこと」となる。ここから「農業」という意味になる。
&lt;span class="spacer"&gt;&lt;/span&gt;culture部分を見ると「文化」という意味が思い浮かぶが、cultureの語源は「耕作」。土地を耕して成熟させるように、人々が発展させてきたものとして「文化」という意味になった。&lt;/span&gt;</v>
      </c>
      <c r="R79" s="14" t="str">
        <f>INDEX($L:$L, MATCH("colony", $B:$B, 0))</f>
        <v>&lt;span class="w"&gt;&lt;b&gt;【572.colony：植民地】&lt;/b&gt;&lt;/span&gt;
&lt;span class="ml"&gt;ラテン語colere（耕す, 住む）から派生したcolonia（農地, 定住地）に由来する。もともとの耕すという行為から、耕す人、そしてその人々が開拓した新しい定住地へと意味が発展した。
&lt;span class="spacer"&gt;&lt;/span&gt;この「開拓した地に住む」ということが、支配した国や地域に自国民を移住させて開拓を行うという概念と結びつき、「植民地」という意味になった。
&lt;div class="sample_image colony"&gt;&lt;/div&gt;&lt;/span&gt;</v>
      </c>
      <c r="S79" s="13" t="str">
        <f>INDEX($L:$L, MATCH("cultivate", $B:$B, 0))</f>
        <v>&lt;span class="w"&gt;&lt;b&gt;【921.cultivate：〜を栽培する, 〜を養う】&lt;/b&gt;&lt;/span&gt;
&lt;span class="ml"&gt;ラテン語colere（耕作する）に由来する。
&lt;span class="spacer"&gt;&lt;/span&gt;この語の核は「時間をかけて作物が育つ土壌を作り上げる」。そこから、畑を耕作して何かを「栽培する」という意味になり、さらに発展して能力や習慣などを「養う」という意味になった。
&lt;span class="spacer"&gt;&lt;/span&gt;ラテン語colereからは、土を育てるように、人々が時間をかけて作り上げるculture（文化）という語も生まれている。&lt;/span&gt;</v>
      </c>
      <c r="AU79" s="15"/>
      <c r="AV79" s="1" t="s">
        <v>1502</v>
      </c>
      <c r="BG79" s="7" t="s">
        <v>1503</v>
      </c>
      <c r="BH79" s="1" t="s">
        <v>2034</v>
      </c>
      <c r="BI79" s="2" t="s">
        <v>2202</v>
      </c>
      <c r="BJ79" s="1" t="s">
        <v>2044</v>
      </c>
      <c r="BK79" s="2" t="s">
        <v>2203</v>
      </c>
      <c r="BL79" s="1" t="s">
        <v>1877</v>
      </c>
      <c r="BM79" s="2" t="s">
        <v>2204</v>
      </c>
    </row>
    <row r="80" spans="1:69" ht="180" x14ac:dyDescent="0.45">
      <c r="A80" s="5">
        <v>79</v>
      </c>
      <c r="B80" s="8" t="s">
        <v>1281</v>
      </c>
      <c r="C80" s="6" t="s">
        <v>6851</v>
      </c>
      <c r="D80" s="7" t="s">
        <v>9752</v>
      </c>
      <c r="E80" s="1" t="s">
        <v>1329</v>
      </c>
      <c r="F80" s="1" t="s">
        <v>31</v>
      </c>
      <c r="G80" s="1" t="s">
        <v>1282</v>
      </c>
      <c r="J80" s="1" t="s">
        <v>9753</v>
      </c>
      <c r="K80" s="2" t="s">
        <v>7233</v>
      </c>
      <c r="L80" s="3" t="s">
        <v>8015</v>
      </c>
      <c r="P80" s="7" t="s">
        <v>1241</v>
      </c>
      <c r="Q80" s="13" t="str">
        <f>INDEX($L:$L, MATCH("proper", $B:$B, 0))</f>
        <v>&lt;span class="w"&gt;&lt;b&gt;【484.proper：適切な, 正式の, 固有の】&lt;/b&gt;&lt;/span&gt;
&lt;span class="ml"&gt;ラテン語に由来する語で、以下の2つの要素から成る。
&lt;span class="spacer"&gt;&lt;/span&gt;pro（〜のために）
privus（個人的な, 個別の：privateの語源）
&lt;span class="spacer"&gt;&lt;/span&gt;このまま日本語にすると「個人のための」となる。もともとは「自分専用の」「自分に属している」ということを表していた。そこから「特定の人物や目的にぴったりと合っている」というニュアンスに広がり、現在の「固有の, 適切な, 正式な」という意味へと発展した。
&lt;span class="spacer"&gt;&lt;/span&gt;名詞propertyは「自分自身のもの」から「財産, 所有物」という意味になる。&lt;/span&gt;</v>
      </c>
      <c r="AU80" s="15"/>
      <c r="AV80" s="1" t="s">
        <v>1502</v>
      </c>
      <c r="BG80" s="7" t="s">
        <v>1503</v>
      </c>
      <c r="BH80" s="1" t="s">
        <v>2034</v>
      </c>
      <c r="BI80" s="2" t="s">
        <v>2205</v>
      </c>
      <c r="BJ80" s="1" t="s">
        <v>2147</v>
      </c>
      <c r="BK80" s="2" t="s">
        <v>2206</v>
      </c>
      <c r="BL80" s="1" t="s">
        <v>2044</v>
      </c>
      <c r="BM80" s="2" t="s">
        <v>2207</v>
      </c>
    </row>
    <row r="81" spans="1:69" ht="252" x14ac:dyDescent="0.45">
      <c r="A81" s="5">
        <v>80</v>
      </c>
      <c r="B81" s="8" t="s">
        <v>1283</v>
      </c>
      <c r="C81" s="6" t="s">
        <v>6851</v>
      </c>
      <c r="D81" s="7" t="s">
        <v>9752</v>
      </c>
      <c r="E81" s="1" t="s">
        <v>4920</v>
      </c>
      <c r="F81" s="1" t="s">
        <v>1457</v>
      </c>
      <c r="G81" s="1"/>
      <c r="J81" s="1" t="s">
        <v>9753</v>
      </c>
      <c r="K81" s="2" t="s">
        <v>7234</v>
      </c>
      <c r="L81" s="9" t="s">
        <v>8016</v>
      </c>
      <c r="P81" s="7" t="s">
        <v>1241</v>
      </c>
      <c r="Q81" s="13" t="str">
        <f>INDEX($L:$L, MATCH("likewise", $B:$B, 0))</f>
        <v>&lt;span class="w"&gt;&lt;b&gt;【900.likewise：同様に】&lt;/b&gt;&lt;/span&gt;
&lt;span class="ml"&gt;古英語にさかのぼり、以下の2つの要素から成る。
&lt;span class="spacer"&gt;&lt;/span&gt;gelic（似ている, 同様の）
wise（方法, やり方）
&lt;span class="spacer"&gt;&lt;/span&gt;このまま日本語にすると「似ているやり方」、つまり「同様に」という意味になる。
&lt;span class="spacer"&gt;&lt;/span&gt;~wiseは「〜な方法」という意味になる。
clockwise（時計の方法, 時計回り）
otherwise（他の方法で, そうでなければ）&lt;/span&gt;</v>
      </c>
      <c r="AI81" s="15"/>
      <c r="AU81" s="15"/>
      <c r="AV81" s="1" t="s">
        <v>1502</v>
      </c>
      <c r="AW81" s="2"/>
      <c r="BG81" s="7" t="s">
        <v>1503</v>
      </c>
      <c r="BH81" s="1" t="s">
        <v>2129</v>
      </c>
      <c r="BI81" s="2" t="s">
        <v>7229</v>
      </c>
      <c r="BJ81" s="1" t="s">
        <v>2044</v>
      </c>
      <c r="BK81" s="2" t="s">
        <v>2208</v>
      </c>
    </row>
    <row r="82" spans="1:69" ht="162" x14ac:dyDescent="0.45">
      <c r="A82" s="5">
        <v>81</v>
      </c>
      <c r="B82" s="8" t="s">
        <v>1284</v>
      </c>
      <c r="C82" s="6" t="s">
        <v>6851</v>
      </c>
      <c r="D82" s="7" t="s">
        <v>9752</v>
      </c>
      <c r="E82" s="1" t="s">
        <v>4191</v>
      </c>
      <c r="F82" s="1" t="s">
        <v>7235</v>
      </c>
      <c r="G82" s="1" t="s">
        <v>4531</v>
      </c>
      <c r="J82" s="1" t="s">
        <v>9753</v>
      </c>
      <c r="K82" s="2" t="s">
        <v>7236</v>
      </c>
      <c r="L82" s="4" t="s">
        <v>12255</v>
      </c>
      <c r="P82" s="7" t="s">
        <v>1241</v>
      </c>
      <c r="Q82" s="13" t="str">
        <f>INDEX($L:$L, MATCH("potential", $B:$B, 0))</f>
        <v>&lt;span class="w"&gt;&lt;b&gt;【192.potential：潜在的な, 可能性を秘めた】&lt;/b&gt;&lt;/span&gt;
&lt;span class="ml"&gt;ラテン語に由来する語で、以下の3つの要素から成る。
&lt;span class="spacer"&gt;&lt;/span&gt;potis（力のある）
ia（名詞化）
alis（形容詞化）
&lt;span class="spacer"&gt;&lt;/span&gt;力のある状態というのは、現実にはなっていないが、何かを現実にすることができるというイメージ。ここから「潜在的な, 可能性を秘めた」という意味になる。&lt;/span&gt;</v>
      </c>
      <c r="R82" s="13" t="str">
        <f>INDEX($L:$L, MATCH("possess", $B:$B, 0))</f>
        <v>&lt;span class="w"&gt;&lt;b&gt;【701.possess：〜を所有する, 心をとらえる】&lt;/b&gt;&lt;/span&gt;
&lt;span class="ml"&gt;ラテン語に由来する語で、以下の2つの要素から成る。
&lt;span class="spacer"&gt;&lt;/span&gt;potis（力をもつ, 可能な）
sedere（座る）
&lt;span class="spacer"&gt;&lt;/span&gt;このまま日本語にすると「力をもった状態で座る」となる。ある場所に支配的に居座るイメージから、その場所を占有する、そして何かのものを「所有する」という意味になる。
&lt;span class="spacer"&gt;&lt;/span&gt;また比喩的に、相手の心を所有することから「心をとらえる」という意味にもなる。
&lt;div class="sample_image possess"&gt;&lt;/div&gt;&lt;/span&gt;</v>
      </c>
      <c r="AU82" s="15"/>
      <c r="AV82" s="1" t="s">
        <v>1502</v>
      </c>
      <c r="BG82" s="7" t="s">
        <v>1503</v>
      </c>
      <c r="BH82" s="1" t="s">
        <v>2034</v>
      </c>
      <c r="BI82" s="2" t="s">
        <v>7237</v>
      </c>
      <c r="BJ82" s="1" t="s">
        <v>1504</v>
      </c>
      <c r="BK82" s="1" t="s">
        <v>2209</v>
      </c>
      <c r="BL82" s="1" t="s">
        <v>2044</v>
      </c>
      <c r="BM82" s="2" t="s">
        <v>2210</v>
      </c>
    </row>
    <row r="83" spans="1:69" ht="216" x14ac:dyDescent="0.45">
      <c r="A83" s="5">
        <v>82</v>
      </c>
      <c r="B83" s="8" t="s">
        <v>1285</v>
      </c>
      <c r="C83" s="6" t="s">
        <v>6851</v>
      </c>
      <c r="D83" s="7" t="s">
        <v>9752</v>
      </c>
      <c r="E83" s="1" t="s">
        <v>27</v>
      </c>
      <c r="F83" s="1" t="s">
        <v>8869</v>
      </c>
      <c r="G83" s="1" t="s">
        <v>49</v>
      </c>
      <c r="J83" s="1" t="s">
        <v>9753</v>
      </c>
      <c r="K83" s="2" t="s">
        <v>7238</v>
      </c>
      <c r="L83" s="4" t="s">
        <v>12254</v>
      </c>
      <c r="P83" s="7" t="s">
        <v>1241</v>
      </c>
      <c r="Q83" s="13" t="str">
        <f>INDEX($L:$L, MATCH("divide", $B:$B, 0))</f>
        <v>&lt;span class="w"&gt;&lt;b&gt;【308.divide：～を分ける】&lt;/b&gt;&lt;/span&gt;
&lt;span class="ml"&gt;ラテン語に由来する語で、以下の2つの要素から成る。
&lt;span class="spacer"&gt;&lt;/span&gt;dis（離れて）
videre（分ける）
&lt;span class="spacer"&gt;&lt;/span&gt;このまま日本語にすると「分けて離す」となる。ここから分離する＝「分ける, 分かれる」という意味になる。&lt;/span&gt;</v>
      </c>
      <c r="R83" s="14" t="str">
        <f>INDEX($L:$L, MATCH("device", $B:$B, 0))</f>
        <v>&lt;span class="w"&gt;&lt;b&gt;【243.device：装置, 機器, デバイス】&lt;/b&gt;&lt;/span&gt;
&lt;span class="ml"&gt;ラテン語に由来する語で、以下の2つの要素から成る。
&lt;span class="spacer"&gt;&lt;/span&gt;dis（離れて）
videre（分ける）
&lt;span class="spacer"&gt;&lt;/span&gt;この語の核は「分けて離す」ということ。目的に合うようにそれぞれ作られた「装置, 機器」という意味になる。&lt;/span&gt;</v>
      </c>
      <c r="AU83" s="15"/>
      <c r="AV83" s="1" t="s">
        <v>1502</v>
      </c>
      <c r="BG83" s="7" t="s">
        <v>1503</v>
      </c>
      <c r="BH83" s="1" t="s">
        <v>2034</v>
      </c>
      <c r="BI83" s="2" t="s">
        <v>2211</v>
      </c>
      <c r="BJ83" s="1" t="s">
        <v>1980</v>
      </c>
      <c r="BK83" s="2" t="s">
        <v>2212</v>
      </c>
      <c r="BL83" s="1" t="s">
        <v>2044</v>
      </c>
      <c r="BM83" s="2" t="s">
        <v>2213</v>
      </c>
      <c r="BN83" s="1" t="s">
        <v>1877</v>
      </c>
      <c r="BO83" s="2" t="s">
        <v>2214</v>
      </c>
    </row>
    <row r="84" spans="1:69" ht="144" x14ac:dyDescent="0.45">
      <c r="A84" s="5">
        <v>83</v>
      </c>
      <c r="B84" s="8" t="s">
        <v>1286</v>
      </c>
      <c r="C84" s="6" t="s">
        <v>6851</v>
      </c>
      <c r="D84" s="7" t="s">
        <v>9752</v>
      </c>
      <c r="E84" s="1" t="s">
        <v>1896</v>
      </c>
      <c r="F84" s="1" t="s">
        <v>1551</v>
      </c>
      <c r="G84" s="1"/>
      <c r="J84" s="1" t="s">
        <v>9753</v>
      </c>
      <c r="K84" s="2" t="s">
        <v>7239</v>
      </c>
      <c r="L84" s="4" t="s">
        <v>8017</v>
      </c>
      <c r="P84" s="7" t="s">
        <v>1241</v>
      </c>
      <c r="Q84" s="13" t="str">
        <f>INDEX($L:$L, MATCH("publish", $B:$B, 0))</f>
        <v>&lt;span class="w"&gt;&lt;b&gt;【140.publish：〜を出版する, 〜を公にする】&lt;/b&gt;&lt;/span&gt;
&lt;span class="ml"&gt;ラテン語populus（民衆）から派生した動詞publicare（公にする）に由来する。
&lt;span class="spacer"&gt;&lt;/span&gt;民衆という語から情報を民衆に対して広める＝「公にする」という動詞になる。また本や新聞などにして情報を民衆に広めるという場合は「出版する」という意味になる。&lt;/span&gt;</v>
      </c>
      <c r="R84" s="13" t="str">
        <f>INDEX($L:$L, MATCH("republic", $B:$B, 0))</f>
        <v>&lt;span class="w"&gt;&lt;b&gt;【1267.republic：共和国, 共和制】&lt;/b&gt;&lt;/span&gt;
&lt;span class="ml"&gt;ラテン語に由来する語で、以下の2つの要素から成る。
&lt;span class="spacer"&gt;&lt;/span&gt;res（事柄, 物）
publica（公共の, 人々の）
&lt;span class="spacer"&gt;&lt;/span&gt;このまま日本語にすると「公共の事柄, 人々の事柄」となる。これは、王の私物・王の私的な事柄と対になる概念だと考えればよい。
&lt;span class="spacer"&gt;&lt;/span&gt;古代ローマは当初、王が国を統治し、政治や軍事、領土、財産、法律などあらゆるものが王の私物に近かった。そのため王家による専制的な支配や暴政に対する人々の不満が膨らみ、最終的にローマ人たちは王を追放し、王政廃止へと至った。
&lt;span class="spacer"&gt;&lt;/span&gt;そうすると、王が所有していたものはすべてローマ市民全体で共有し、管理すべき公共の事柄となる。国家の運営は、一部の権力者の私事ではなく、市民全体の公共の事柄であるという理念が定着すると、公共の事柄という概念そのものが、やがて国家は国民のものだとする「共和制」や、その理念に基づく「共和国」を意味するようになった。&lt;/span&gt;</v>
      </c>
      <c r="AU84" s="15"/>
      <c r="AV84" s="1" t="s">
        <v>1502</v>
      </c>
      <c r="BG84" s="7" t="s">
        <v>1503</v>
      </c>
      <c r="BH84" s="1" t="s">
        <v>4019</v>
      </c>
      <c r="BI84" s="2" t="s">
        <v>7240</v>
      </c>
      <c r="BJ84" s="1" t="s">
        <v>2034</v>
      </c>
      <c r="BK84" s="2" t="s">
        <v>7241</v>
      </c>
      <c r="BL84" s="1" t="s">
        <v>1504</v>
      </c>
      <c r="BM84" s="1" t="s">
        <v>2215</v>
      </c>
      <c r="BN84" s="1" t="s">
        <v>2044</v>
      </c>
      <c r="BO84" s="2" t="s">
        <v>2216</v>
      </c>
      <c r="BP84" s="1" t="s">
        <v>1877</v>
      </c>
      <c r="BQ84" s="2" t="s">
        <v>2217</v>
      </c>
    </row>
    <row r="85" spans="1:69" ht="180" x14ac:dyDescent="0.45">
      <c r="A85" s="5">
        <v>84</v>
      </c>
      <c r="B85" s="8" t="s">
        <v>95</v>
      </c>
      <c r="C85" s="6" t="s">
        <v>6851</v>
      </c>
      <c r="D85" s="7" t="s">
        <v>9752</v>
      </c>
      <c r="E85" s="1" t="s">
        <v>1467</v>
      </c>
      <c r="F85" s="1" t="s">
        <v>8870</v>
      </c>
      <c r="G85" s="1"/>
      <c r="J85" s="1" t="s">
        <v>9753</v>
      </c>
      <c r="K85" s="2" t="s">
        <v>7242</v>
      </c>
      <c r="L85" s="4" t="s">
        <v>8018</v>
      </c>
      <c r="M85" s="1" t="s">
        <v>12141</v>
      </c>
      <c r="P85" s="7" t="s">
        <v>1241</v>
      </c>
      <c r="Q85" s="14" t="str">
        <f>INDEX($L:$L, MATCH("community", $B:$B, 0))</f>
        <v>&lt;span class="w"&gt;&lt;b&gt;【76.community：共同社会, ～界, 地域社会】&lt;/b&gt;&lt;/span&gt;
&lt;span class="ml"&gt;ラテン語に由来する語で、以下の3つの要素から成る。
&lt;span class="spacer"&gt;&lt;/span&gt;com（共に）
munis（義務）
tas（名詞化）
&lt;span class="spacer"&gt;&lt;/span&gt;このまま日本語にすると「共に義務を果たすもの」となる。つまり義務を共有していてそれを果たす集団＝「共同社会, 地域社会」という意味になる。また義務に限らず、趣味や職業などを共有している人の集まりだと「〜界」という訳になる。&lt;/span&gt;</v>
      </c>
      <c r="R85" s="13" t="str">
        <f>INDEX($L:$L, MATCH("communicate", $B:$B, 0))</f>
        <v>&lt;span class="w"&gt;&lt;b&gt;【129.communicate：情報交換する, 意思疎通する】&lt;/b&gt;&lt;/span&gt;
&lt;span class="ml"&gt;ラテン語に由来する語で、以下の2つの要素から成る。
&lt;span class="spacer"&gt;&lt;/span&gt;com（共に）
munis（義務）
&lt;span class="spacer"&gt;&lt;/span&gt;このまま日本語にすると「義務を共に」となる。つまり義務を共有するというコミュニケーション行為から「情報交換する, 意思疎通する」という意味になる。&lt;/span&gt;</v>
      </c>
      <c r="S85" s="13" t="str">
        <f>INDEX($L:$L, MATCH("immune", $B:$B, 0))</f>
        <v>&lt;span class="w"&gt;&lt;b&gt;【893.immune：免疫を持つ, 免れた】&lt;/b&gt;&lt;/span&gt;
&lt;span class="ml"&gt;ラテン語に由来する語で、以下の2つの要素から成る。
&lt;span class="spacer"&gt;&lt;/span&gt;in（否定）
munis（奉仕を行っている, 義務の）
&lt;span class="spacer"&gt;&lt;/span&gt;もともとは、公共の義務や税などから免除されていることを表した。そこから医学的な意味へと発展し、病気を免れている、つまり「免疫をもつ」という意味になった。&lt;/span&gt;</v>
      </c>
      <c r="AI85" s="15"/>
      <c r="AU85" s="15"/>
      <c r="AV85" s="1" t="s">
        <v>1502</v>
      </c>
      <c r="AW85" s="2"/>
      <c r="BG85" s="7" t="s">
        <v>1503</v>
      </c>
      <c r="BH85" s="1" t="s">
        <v>2034</v>
      </c>
      <c r="BI85" s="2" t="s">
        <v>2218</v>
      </c>
      <c r="BJ85" s="1" t="s">
        <v>1504</v>
      </c>
      <c r="BK85" s="1" t="s">
        <v>2219</v>
      </c>
      <c r="BL85" s="1" t="s">
        <v>2044</v>
      </c>
      <c r="BM85" s="2" t="s">
        <v>2220</v>
      </c>
    </row>
    <row r="86" spans="1:69" ht="270" x14ac:dyDescent="0.45">
      <c r="A86" s="5">
        <v>85</v>
      </c>
      <c r="B86" s="8" t="s">
        <v>1296</v>
      </c>
      <c r="C86" s="6" t="s">
        <v>6851</v>
      </c>
      <c r="D86" s="7" t="s">
        <v>9752</v>
      </c>
      <c r="E86" s="1" t="s">
        <v>96</v>
      </c>
      <c r="F86" s="1"/>
      <c r="G86" s="1"/>
      <c r="J86" s="1" t="s">
        <v>9753</v>
      </c>
      <c r="K86" s="2" t="s">
        <v>7243</v>
      </c>
      <c r="L86" s="3" t="s">
        <v>8019</v>
      </c>
      <c r="M86" s="1" t="s">
        <v>12118</v>
      </c>
      <c r="P86" s="7" t="s">
        <v>1241</v>
      </c>
      <c r="Q86" s="14" t="str">
        <f>INDEX($L:$L, MATCH("concern", $B:$B, 0))</f>
        <v>&lt;span class="w"&gt;&lt;b&gt;【17.concern：（受け身で）心配している, 関係する】&lt;/b&gt;&lt;/span&gt;
&lt;span class="ml"&gt;ラテン語に由来する語で、以下の2つの要素から成る。
&lt;span class="spacer"&gt;&lt;/span&gt;com（共に）
cernere（ふるいにかける）
&lt;span class="spacer"&gt;&lt;/span&gt;このまま日本語にすると「共にふるいにかける」となる。ふるいにかけ&lt;strong&gt;られる&lt;/strong&gt;と似たような関係のあるものが残るので、ふるいにかけられる側の目線（受け身）で「関係する」という意味になる。
&lt;span class="spacer"&gt;&lt;/span&gt;be concerned &lt;strong&gt;with&lt;/strong&gt; Aは、Aと一緒にふるいにかけられて残るイメージから「Aと関係する」となる。
&lt;span class="spacer"&gt;&lt;/span&gt;また関係ある物事の中でも、特に自分自身の利益に関係することはどうしても気になってしまうことから、be concerned &lt;strong&gt;about&lt;/strong&gt;で「心配する」へと発展する。
&lt;div class="sample_image concern"&gt;&lt;/div&gt;&lt;/span&gt;</v>
      </c>
      <c r="R86" s="14" t="str">
        <f>INDEX($L:$L, MATCH("discrimination", $B:$B, 0))</f>
        <v>&lt;span class="w"&gt;&lt;b&gt;【865.discrimination：差別, 区別】&lt;/b&gt;&lt;/span&gt;
&lt;span class="ml"&gt;ラテン語に由来する語で、以下の3つの要素から成る。
&lt;span class="spacer"&gt;&lt;/span&gt;dis（離れて）
cernere（ふるいにかける）
io（名詞化）
&lt;span class="spacer"&gt;&lt;/span&gt;このまま日本語にすると「ふるいにかけて離すこと」となる。もともとは「区別」を意味していたが、近代において、特定の集団に対する不当な区別を表すようになり、不当な「差別」という意味にもなった。
&lt;div class="sample_image discrimination"&gt;&lt;/div&gt;&lt;/span&gt;</v>
      </c>
      <c r="AV86" s="1" t="s">
        <v>1502</v>
      </c>
      <c r="BG86" s="7" t="s">
        <v>1503</v>
      </c>
      <c r="BH86" s="1" t="s">
        <v>1976</v>
      </c>
      <c r="BI86" s="1" t="s">
        <v>1977</v>
      </c>
      <c r="BJ86" s="1" t="s">
        <v>1947</v>
      </c>
      <c r="BK86" s="2" t="s">
        <v>7244</v>
      </c>
      <c r="BL86" s="1" t="s">
        <v>2026</v>
      </c>
      <c r="BM86" s="1" t="s">
        <v>2221</v>
      </c>
      <c r="BN86" s="1" t="s">
        <v>1504</v>
      </c>
      <c r="BO86" s="1" t="s">
        <v>2222</v>
      </c>
      <c r="BP86" s="1" t="s">
        <v>2044</v>
      </c>
      <c r="BQ86" s="2" t="s">
        <v>2223</v>
      </c>
    </row>
    <row r="87" spans="1:69" ht="162" x14ac:dyDescent="0.45">
      <c r="A87" s="5">
        <v>86</v>
      </c>
      <c r="B87" s="8" t="s">
        <v>1287</v>
      </c>
      <c r="C87" s="6" t="s">
        <v>6851</v>
      </c>
      <c r="D87" s="7" t="s">
        <v>9752</v>
      </c>
      <c r="E87" s="1" t="s">
        <v>1897</v>
      </c>
      <c r="F87" s="1" t="s">
        <v>1898</v>
      </c>
      <c r="G87" s="1"/>
      <c r="J87" s="1" t="s">
        <v>9753</v>
      </c>
      <c r="K87" s="2" t="s">
        <v>7245</v>
      </c>
      <c r="L87" s="9" t="s">
        <v>8020</v>
      </c>
      <c r="M87" s="1" t="s">
        <v>12143</v>
      </c>
      <c r="P87" s="7" t="s">
        <v>1241</v>
      </c>
      <c r="Q87" s="14" t="str">
        <f>INDEX($L:$L, MATCH("resemble", $B:$B, 0))</f>
        <v>&lt;span class="w"&gt;&lt;b&gt;【731.resemble：〜に似ている】&lt;/b&gt;&lt;/span&gt;
&lt;span class="ml"&gt;古フランス語に由来する語で、以下の2つの要素から成る。
&lt;span class="spacer"&gt;&lt;/span&gt;re（強意）
sembler（〜に似ている）
&lt;span class="spacer"&gt;&lt;/span&gt;このまま日本語にすると「〜に似ている」という意味になる。resembleのsemble部分＝古フランス語semblerは、印欧祖語*sem-（一つ, 共に）にさかのぼる。この印欧祖語からは、same（同じ）やsimilar（似た）
&lt;div class="sample_image resemble"&gt;&lt;/div&gt;&lt;/span&gt;</v>
      </c>
      <c r="R87" s="13" t="str">
        <f>INDEX($L:$L, MATCH("assemble", $B:$B, 0))</f>
        <v>&lt;span class="w"&gt;&lt;b&gt;【1333.assemble：〜を集める, 〜を組み立てる, 集まる】&lt;/b&gt;&lt;/span&gt;
&lt;span class="ml"&gt;ラテン語に由来する語で、以下の2つの要素から成る。
&lt;span class="spacer"&gt;&lt;/span&gt;ad（〜へ）
similis（似ている）
&lt;span class="spacer"&gt;&lt;/span&gt;sem部分の語源であるラテン語similisは、sameやsimilarと同じ印欧祖語*sem-（1つ, 同じ）にさかのぼる。
&lt;span class="spacer"&gt;&lt;/span&gt;これにad（〜へ）が付いたassembleの核は「バラバラのものをある方向へ向かわせてひとつにする」。そこから「集める, 集まる」や、物を「組み立てる」という意味になる。
&lt;div class="sample_image assemble"&gt;&lt;/div&gt;
&lt;span class="spacer"&gt;&lt;/span&gt;resembleはre（強意）とsembleから、完全に同じに見えるから「似ている」となる。&lt;/span&gt;</v>
      </c>
      <c r="S87" s="13" t="str">
        <f>INDEX($L:$L, MATCH("simultaneously", $B:$B, 0))</f>
        <v>&lt;span class="w"&gt;&lt;b&gt;【1099.simultaneously：同時に】&lt;/b&gt;&lt;/span&gt;
&lt;span class="ml"&gt;ラテン語に由来する語で、以下の3つの要素から成る。
&lt;span class="spacer"&gt;&lt;/span&gt;simul（同時に）
taneus
&lt;span class="obsolete"&gt;ly（副詞化）は英語段階で付いた&lt;/span&gt;
&lt;span class="spacer"&gt;&lt;/span&gt;このまま日本語にすると「同時に」という意味になる。
&lt;span class="spacer"&gt;&lt;/span&gt;ラテン語simulは、similarやsameと共通の印欧祖語にさかのぼり「同じ」を意味する。
&lt;span class="spacer"&gt;&lt;/span&gt;taneusは、おそらく他の語（spontaneousのもとになったラテン語）から取って付けられたもので、特別な意味はない。&lt;/span&gt;</v>
      </c>
      <c r="AI87" s="15"/>
      <c r="AU87" s="15"/>
      <c r="AV87" s="1" t="s">
        <v>1502</v>
      </c>
      <c r="AW87" s="2"/>
      <c r="BG87" s="7" t="s">
        <v>1503</v>
      </c>
      <c r="BH87" s="1" t="s">
        <v>2224</v>
      </c>
      <c r="BI87" s="2" t="s">
        <v>2225</v>
      </c>
      <c r="BJ87" s="1" t="s">
        <v>2034</v>
      </c>
      <c r="BK87" s="2" t="s">
        <v>2226</v>
      </c>
      <c r="BL87" s="1" t="s">
        <v>1967</v>
      </c>
      <c r="BM87" s="1" t="s">
        <v>2227</v>
      </c>
      <c r="BN87" s="1" t="s">
        <v>2017</v>
      </c>
      <c r="BO87" s="1" t="s">
        <v>2228</v>
      </c>
      <c r="BP87" s="1" t="s">
        <v>1877</v>
      </c>
      <c r="BQ87" s="2" t="s">
        <v>2229</v>
      </c>
    </row>
    <row r="88" spans="1:69" ht="90" x14ac:dyDescent="0.45">
      <c r="A88" s="5">
        <v>87</v>
      </c>
      <c r="B88" s="8" t="s">
        <v>1288</v>
      </c>
      <c r="C88" s="6" t="s">
        <v>6851</v>
      </c>
      <c r="D88" s="7" t="s">
        <v>9752</v>
      </c>
      <c r="E88" s="1" t="s">
        <v>1251</v>
      </c>
      <c r="F88" s="1" t="s">
        <v>8871</v>
      </c>
      <c r="G88" s="1"/>
      <c r="J88" s="1" t="s">
        <v>9753</v>
      </c>
      <c r="K88" s="2"/>
      <c r="L88" s="9" t="s">
        <v>8021</v>
      </c>
      <c r="P88" s="7" t="s">
        <v>1241</v>
      </c>
      <c r="Q88" s="15"/>
      <c r="AU88" s="15"/>
      <c r="AV88" s="1" t="s">
        <v>1502</v>
      </c>
      <c r="BG88" s="7" t="s">
        <v>1503</v>
      </c>
      <c r="BH88" s="1" t="s">
        <v>2034</v>
      </c>
      <c r="BI88" s="2" t="s">
        <v>2230</v>
      </c>
      <c r="BJ88" s="1" t="s">
        <v>2044</v>
      </c>
      <c r="BK88" s="2" t="s">
        <v>2231</v>
      </c>
      <c r="BL88" s="1" t="s">
        <v>1877</v>
      </c>
      <c r="BM88" s="2" t="s">
        <v>2232</v>
      </c>
    </row>
    <row r="89" spans="1:69" ht="180" x14ac:dyDescent="0.45">
      <c r="A89" s="5">
        <v>88</v>
      </c>
      <c r="B89" s="8" t="s">
        <v>97</v>
      </c>
      <c r="C89" s="6" t="s">
        <v>6851</v>
      </c>
      <c r="D89" s="7" t="s">
        <v>9752</v>
      </c>
      <c r="E89" s="1" t="s">
        <v>1899</v>
      </c>
      <c r="F89" s="1" t="s">
        <v>1900</v>
      </c>
      <c r="G89" s="1"/>
      <c r="J89" s="1" t="s">
        <v>9753</v>
      </c>
      <c r="K89" s="2" t="s">
        <v>7246</v>
      </c>
      <c r="L89" s="4" t="s">
        <v>8022</v>
      </c>
      <c r="P89" s="7" t="s">
        <v>1241</v>
      </c>
      <c r="Q89" s="14" t="str">
        <f>INDEX($L:$L, MATCH("maximum", $B:$B, 0))</f>
        <v>&lt;span class="w"&gt;&lt;b&gt;【965.maximum：最大限】&lt;/b&gt;&lt;/span&gt;
&lt;span class="ml"&gt;ラテン語に由来する語で、以下の2つの要素から成る。
&lt;span class="spacer"&gt;&lt;/span&gt;magnus（大きな, 多い, 偉大な）
imus（最上級を作る）
um（名詞化）
&lt;span class="spacer"&gt;&lt;/span&gt;このまま日本語にすると「最も大きいこと」、つまり「最大限」という意味になる。&lt;/span&gt;</v>
      </c>
      <c r="R89" s="13" t="str">
        <f>INDEX($L:$L, MATCH("magnificent", $B:$B, 0))</f>
        <v>&lt;span class="w"&gt;&lt;b&gt;【1298.magnificent：壮大な, 見事な】&lt;/b&gt;&lt;/span&gt;
&lt;span class="ml"&gt;ラテン語に由来する語で、以下の2つの要素から成る。
&lt;span class="spacer"&gt;&lt;/span&gt;magnus（大きい）
facere（作る, 行う）
&lt;span class="spacer"&gt;&lt;/span&gt;もともとは、人が規模の大きいことを成し遂げることを表した。そこから人物の行動だけでなく、その人たちが建てた豪華絢爛な宮殿や、圧倒されるような大自然の風景など、視覚的にスケールが大きくて素晴らしいもの全体を表現するようになって「壮大な, 見事な」という意味になった。
&lt;div class="sample_image magnificent"&gt;&lt;/div&gt;
&lt;span class="spacer"&gt;&lt;/span&gt;magni部分は、地震の規模を示すマグニチュード（magnitudo）と同じ。&lt;/span&gt;</v>
      </c>
      <c r="S89" s="15"/>
      <c r="AI89" s="15"/>
      <c r="AV89" s="1" t="s">
        <v>1502</v>
      </c>
      <c r="AW89" s="2"/>
      <c r="BG89" s="7" t="s">
        <v>1503</v>
      </c>
      <c r="BH89" s="1" t="s">
        <v>1976</v>
      </c>
      <c r="BI89" s="1" t="s">
        <v>2233</v>
      </c>
      <c r="BJ89" s="1" t="s">
        <v>2034</v>
      </c>
      <c r="BK89" s="2" t="s">
        <v>2234</v>
      </c>
      <c r="BL89" s="1" t="s">
        <v>2044</v>
      </c>
      <c r="BM89" s="2" t="s">
        <v>2235</v>
      </c>
      <c r="BO89" s="2"/>
    </row>
    <row r="90" spans="1:69" ht="342" x14ac:dyDescent="0.45">
      <c r="A90" s="5">
        <v>89</v>
      </c>
      <c r="B90" s="8" t="s">
        <v>1289</v>
      </c>
      <c r="C90" s="6" t="s">
        <v>6851</v>
      </c>
      <c r="D90" s="7" t="s">
        <v>9752</v>
      </c>
      <c r="E90" s="1" t="s">
        <v>1901</v>
      </c>
      <c r="F90" s="1" t="s">
        <v>1698</v>
      </c>
      <c r="G90" s="1"/>
      <c r="J90" s="1" t="s">
        <v>9753</v>
      </c>
      <c r="K90" s="2" t="s">
        <v>7247</v>
      </c>
      <c r="L90" s="9" t="s">
        <v>8023</v>
      </c>
      <c r="M90" s="1" t="s">
        <v>12144</v>
      </c>
      <c r="P90" s="7" t="s">
        <v>1241</v>
      </c>
      <c r="Q90" s="14" t="str">
        <f>INDEX($L:$L, MATCH("passive", $B:$B, 0))</f>
        <v>&lt;span class="w"&gt;&lt;b&gt;【990.passive：受動的な, 消極的な】&lt;/b&gt;&lt;/span&gt;
&lt;span class="ml"&gt;ラテン語に由来する語で、以下の2つの要素から成る。
&lt;span class="spacer"&gt;&lt;/span&gt;pati（苦しむ, 耐える）
ivus（形容詞化）
&lt;span class="spacer"&gt;&lt;/span&gt;この語の核は「外部から苦痛や困難を受ける」。これはpassion（情熱）やpatient（忍耐強い, 患者）といった語にも共通しており、自らの主体的行為ではなく、外部から何かを受けることを表す。そこから「受動的な」という意味になり、さらに積極的ではないため「消極的な」という意味になった。&lt;/span&gt;</v>
      </c>
      <c r="R90" s="14" t="str">
        <f>INDEX($L:$L, MATCH("passion", $B:$B, 0))</f>
        <v>&lt;span class="w"&gt;&lt;b&gt;【841.passion：情熱, 激怒】&lt;/b&gt;&lt;/span&gt;
&lt;span class="ml"&gt;ラテン語に由来する語で、以下の2つの要素から成る。
&lt;span class="spacer"&gt;&lt;/span&gt;pati（耐える, 受ける, 経験する）
io（名詞化）
&lt;span class="spacer"&gt;&lt;/span&gt;このまま日本語にすると「受けること, 耐えること」となる。この語の核は、自分の意思で行うのではなく、外部から何かを受けるということ。この核となる意味は、patient（患者, 忍耐強い）やpassive（受動的な）にも残っている。
&lt;span class="spacer"&gt;&lt;/span&gt;このラテン語は、理性によるコントロールが効かないほど人を突き動かす、非常に強い感情を表すギリシャ語pathosの翻訳語として使われるようになった。感情というのは、自らの意思で引き起こすものではなく、外部からの刺激によって生じる受動的なものだからである。そこから単なる感情ではなく、強い感情を表す「情熱, 激怒」という意味になった。&lt;/span&gt;</v>
      </c>
      <c r="S90" s="13" t="str">
        <f>INDEX($L:$L, MATCH("compassion", $B:$B, 0))</f>
        <v>&lt;span class="w"&gt;&lt;b&gt;【1450.compassion：同情】&lt;/b&gt;&lt;/span&gt;
&lt;span class="ml"&gt;ラテン語に由来する語で、以下の3つの要素から成る。
&lt;span class="spacer"&gt;&lt;/span&gt;com（共に）
pati（苦しむ, 耐える）
io（名詞化）
&lt;span class="spacer"&gt;&lt;/span&gt;このまま日本語にすると「共に苦しむこと」となる。相手の苦しみに寄り添うことから「同情」という意味になる。
&lt;span class="spacer"&gt;&lt;/span&gt;ラテン語compassioは、キリスト教の文脈でギリシャ語sympatheia（sympathyの語源）を翻訳する際に用いられた。
&lt;span class="spacer"&gt;&lt;/span&gt;compassionはキリスト教的な慈悲や哀れみの文脈で発展したことから、単なる感情的な同情ではなく、相手の苦しみを共に感じ、助けたい・苦痛を和らげたいといった気持ちを含んだ同情となる。
&lt;div class="sample_image compassion"&gt;&lt;/div&gt;&lt;/span&gt;</v>
      </c>
      <c r="AU90" s="15"/>
      <c r="AV90" s="1" t="s">
        <v>1502</v>
      </c>
      <c r="BG90" s="7" t="s">
        <v>1503</v>
      </c>
      <c r="BH90" s="1" t="s">
        <v>2034</v>
      </c>
      <c r="BI90" s="2" t="s">
        <v>2236</v>
      </c>
      <c r="BJ90" s="1" t="s">
        <v>1504</v>
      </c>
      <c r="BK90" s="1" t="s">
        <v>2237</v>
      </c>
      <c r="BL90" s="1" t="s">
        <v>2044</v>
      </c>
      <c r="BM90" s="2" t="s">
        <v>2238</v>
      </c>
    </row>
    <row r="91" spans="1:69" ht="324" x14ac:dyDescent="0.45">
      <c r="A91" s="5">
        <v>90</v>
      </c>
      <c r="B91" s="8" t="s">
        <v>1291</v>
      </c>
      <c r="C91" s="6" t="s">
        <v>6851</v>
      </c>
      <c r="D91" s="7" t="s">
        <v>9752</v>
      </c>
      <c r="E91" s="1" t="s">
        <v>5538</v>
      </c>
      <c r="F91" s="1" t="s">
        <v>8872</v>
      </c>
      <c r="G91" s="1" t="s">
        <v>1542</v>
      </c>
      <c r="J91" s="1" t="s">
        <v>9753</v>
      </c>
      <c r="K91" s="2" t="s">
        <v>7248</v>
      </c>
      <c r="L91" s="4" t="s">
        <v>12256</v>
      </c>
      <c r="M91" s="1" t="s">
        <v>12138</v>
      </c>
      <c r="P91" s="7" t="s">
        <v>1241</v>
      </c>
      <c r="Q91" s="14" t="str">
        <f>INDEX($L:$L, MATCH("proportion", $B:$B, 0))</f>
        <v>&lt;span class="w"&gt;&lt;b&gt;【464.proportion：割合, つり合い, 比例】&lt;/b&gt;&lt;/span&gt;
&lt;span class="ml"&gt;ラテン語に由来する語で、以下の2つの要素から成る。
&lt;span class="spacer"&gt;&lt;/span&gt;pro（〜に対して）
pars（部分）から派生した*portio（部分）
&lt;span class="spacer"&gt;&lt;/span&gt;この二つが合わさることで、「全体や他の要素に対して（pro）、ある部分（portio）がどのような関係にあるか」を表すようになる。
&lt;span class="spacer"&gt;&lt;/span&gt;具体的には、全体と部分、あるいは部分同士の大きさを比較する考え方から、主に以下の3つの意味へと派生した。
&lt;span class="spacer"&gt;&lt;/span&gt;「割合」： 全体と部分の大きさの比較。全体（100）に対して、ある部分（10）なら10％という割合になる。
&lt;span class="spacer"&gt;&lt;/span&gt;「比例」： ある部分と全体・他の部分との比較。ある部分が変化した際、同じ比率で全体や他の部分も連動して変化する。
&lt;span class="spacer"&gt;&lt;/span&gt;「つり合い」： ある部分と全体・他の部分との比較。全体や他の部分に対して、ある部分の大きさやバランスが適切に保たれている状態。
&lt;div class="sample_image proportion"&gt;&lt;/div&gt;&lt;/span&gt;</v>
      </c>
      <c r="R91" s="13" t="str">
        <f>INDEX($L:$L, MATCH("portion", $B:$B, 0))</f>
        <v>&lt;span class="w"&gt;&lt;b&gt;【869.portion：部分, 1人前, 割り当て】&lt;/b&gt;&lt;/span&gt;
&lt;span class="ml"&gt;ラテン語portio（部分, 分け前）に由来する。
&lt;span class="spacer"&gt;&lt;/span&gt;この語の核は「全体を分けて何かに割り当てた部分」。そこから「1人前, 割り当て, 部分」という意味になる。&lt;/span&gt;</v>
      </c>
      <c r="S91" s="13" t="str">
        <f>INDEX($L:$L, MATCH("particle", $B:$B, 0))</f>
        <v>&lt;span class="w"&gt;&lt;b&gt;【1059.particle：（微）粒子, ほんのわずか】&lt;/b&gt;&lt;/span&gt;
&lt;span class="ml"&gt;ラテン語に由来する語で、以下の2つの要素から成る。
&lt;span class="spacer"&gt;&lt;/span&gt;pars（部分）
cula（小さいことを表す）
&lt;span class="spacer"&gt;&lt;/span&gt;このまま日本語にすると「小さい部分」となり、そこから「（微）粒子, ほんのわずか」という意味になった。&lt;/span&gt;</v>
      </c>
      <c r="T91" s="13" t="str">
        <f>INDEX($L:$L, MATCH("partial", $B:$B, 0))</f>
        <v>&lt;span class="w"&gt;&lt;b&gt;【1491.partial：部分的な, 不公平な】&lt;/b&gt;&lt;/span&gt;
&lt;span class="ml"&gt;ラテン語に由来する語で、以下の2つの要素から成る。
&lt;span class="spacer"&gt;&lt;/span&gt;pars（部分）
alis（形容詞化）
&lt;span class="spacer"&gt;&lt;/span&gt;これはpart（部分）の形容詞として考えればよい。「部分的な」という意味だけではなく、全体的に公平ではなくある一部分に偏っているという発想から「不公平な」という意味にもなる。&lt;/span&gt;</v>
      </c>
      <c r="U91" s="14" t="str">
        <f>INDEX($L:$L, MATCH("depart", $B:$B, 0))</f>
        <v>&lt;span class="w"&gt;&lt;b&gt;【1415.depart：出発する, それる】&lt;/b&gt;&lt;/span&gt;
&lt;span class="ml"&gt;ラテン語に由来する語で、以下の2つの要素から成る。
&lt;span class="spacer"&gt;&lt;/span&gt;de（〜から）
pars（部分, 分け前）から派生したpartire（分ける）
&lt;span class="spacer"&gt;&lt;/span&gt;このまま日本語にすると「〜から分ける」となる。くっついてまとまっている状態から分かれて離れるイメージ。そこから、今いる場所から離れる＝「出発する」や、本来の流れから「それる」という意味になる。
&lt;div class="sample_image depart"&gt;&lt;/div&gt;&lt;/span&gt;</v>
      </c>
      <c r="V91" s="14" t="str">
        <f>INDEX($L:$L, MATCH("counterpart", $B:$B, 0))</f>
        <v>&lt;span class="w"&gt;&lt;b&gt;【969.counterpart：相当する物や人】&lt;/b&gt;&lt;/span&gt;
&lt;span class="ml"&gt;フランス語に由来する語で、以下の2つの要素から成る。
&lt;span class="spacer"&gt;&lt;/span&gt;contra（対して）
partie（分けられたもの, 部分, 写し）
&lt;span class="spacer"&gt;&lt;/span&gt;このまま日本語にすると「何かに対応させて分けられたもの」となる。もともとは法的な文書を写して分けたものを表した。法的文書の写しは元の文書と同等のものであることから、一般的な意味に発展し、何かに「相当する物や人」という意味になった。&lt;/span&gt;</v>
      </c>
      <c r="W91" s="14" t="str">
        <f>INDEX($L:$L, MATCH("article", $B:$B, 0))</f>
        <v>&lt;span class="w"&gt;&lt;b&gt;【65.article：記事, 憲法などの条項, 品物】&lt;/b&gt;&lt;/span&gt;
&lt;span class="ml"&gt;ラテン語に由来する語で、以下の2つの要素から成る。
&lt;span class="spacer"&gt;&lt;/span&gt;artus（関節）
culus（小さいことを表す要素）
&lt;span class="spacer"&gt;&lt;/span&gt;このまま日本語にすると「小さな関節」となる。関節というのは全体を小さなパーツ＝構成要素に分けるもの。ここから次のような意味になる。
&lt;span class="spacer"&gt;&lt;/span&gt;①雑誌全体の構成要素
＝「記事」
②憲法全体の構成要素
＝「条項」
&lt;span class="spacer"&gt;&lt;/span&gt;また盗賊が盗んだ物の一つひとつをarticleと言ったことから「品物」という意味にもなる。&lt;/span&gt;</v>
      </c>
      <c r="X91" s="14" t="str">
        <f>INDEX($L:$L, MATCH("molecule", $B:$B, 0))</f>
        <v>&lt;span class="w"&gt;&lt;b&gt;【1060.molecule：分子】&lt;/b&gt;&lt;/span&gt;
&lt;span class="ml"&gt;ラテン語に由来する語で、以下の2つの要素から成る。
&lt;span class="spacer"&gt;&lt;/span&gt;moles（塊）
cula（小さいことを表す）
&lt;span class="spacer"&gt;&lt;/span&gt;このまま日本語にすると「小さい塊」となる。近代の化学において、物質の化学的な性質を損なうことなく物質を分割できる最小の単位、つまり「分子」という意味になった。
&lt;div class="sample_image molecule"&gt;&lt;/div&gt;
&lt;span class="spacer"&gt;&lt;/span&gt;H₂OがH₂とOになれば、水という性質を失うことから、原子ではなく分子を意味する。&lt;/span&gt;</v>
      </c>
      <c r="Y91" s="13" t="str">
        <f>INDEX($L:$L, MATCH("nuclear", $B:$B, 0))</f>
        <v>&lt;span class="w"&gt;&lt;b&gt;【389.nuclear：核の, 原子力の】&lt;/b&gt;&lt;/span&gt;
&lt;span class="ml"&gt;ラテン語に由来する語で、以下の2つの要素から成る。
&lt;span class="spacer"&gt;&lt;/span&gt;nux（ナッツ）
cula（小さいことを表す）
&lt;span class="obsolete"&gt;ar（形容詞化）は英語段階で付いた&lt;/span&gt;
&lt;span class="spacer"&gt;&lt;/span&gt;ナッツの中にある実の部分から比喩的に、何かの中心にある小さな核を表すようになった。そして近代から現代において、細胞核や原子核を指すようになり、「原子力の, 核の」という意味になった。&lt;/span&gt;</v>
      </c>
      <c r="AI91" s="15"/>
      <c r="AJ91" s="15"/>
      <c r="AU91" s="15"/>
      <c r="AV91" s="1" t="s">
        <v>1502</v>
      </c>
      <c r="AW91" s="2"/>
      <c r="AX91" s="2"/>
      <c r="BG91" s="7" t="s">
        <v>1503</v>
      </c>
      <c r="BH91" s="1" t="s">
        <v>2034</v>
      </c>
      <c r="BI91" s="2" t="s">
        <v>2239</v>
      </c>
      <c r="BJ91" s="1" t="s">
        <v>2147</v>
      </c>
      <c r="BK91" s="2" t="s">
        <v>2240</v>
      </c>
      <c r="BL91" s="1" t="s">
        <v>1504</v>
      </c>
      <c r="BM91" s="1" t="s">
        <v>2241</v>
      </c>
      <c r="BN91" s="1" t="s">
        <v>2044</v>
      </c>
      <c r="BO91" s="2" t="s">
        <v>2242</v>
      </c>
      <c r="BP91" s="1" t="s">
        <v>1865</v>
      </c>
      <c r="BQ91" s="2" t="s">
        <v>2243</v>
      </c>
    </row>
    <row r="92" spans="1:69" ht="180" x14ac:dyDescent="0.45">
      <c r="A92" s="5">
        <v>91</v>
      </c>
      <c r="B92" s="8" t="s">
        <v>1292</v>
      </c>
      <c r="C92" s="6" t="s">
        <v>6851</v>
      </c>
      <c r="D92" s="7" t="s">
        <v>9752</v>
      </c>
      <c r="E92" s="1" t="s">
        <v>8873</v>
      </c>
      <c r="F92" s="1" t="s">
        <v>49</v>
      </c>
      <c r="G92" s="1"/>
      <c r="J92" s="1" t="s">
        <v>9753</v>
      </c>
      <c r="K92" s="2" t="s">
        <v>7249</v>
      </c>
      <c r="L92" s="4" t="s">
        <v>8024</v>
      </c>
      <c r="P92" s="7" t="s">
        <v>1241</v>
      </c>
      <c r="Q92" s="19" t="str">
        <f>INDEX($L:$L, MATCH("physician", $B:$B, 0))</f>
        <v>&lt;span class="w"&gt;&lt;b&gt;【570.physician：医師, 内科医】&lt;/b&gt;&lt;/span&gt;
&lt;span class="ml"&gt;ギリシャ語physis（自然）に由来する。
&lt;span class="spacer"&gt;&lt;/span&gt;ここでいう自然とは、人工の対義語となる森や川などの自然ではなく、あるものに生まれつき備わった成長や変化の原理を意味する。
&lt;span class="spacer"&gt;&lt;/span&gt;大昔の医師は自然の法則や体液のバランスを理解し、その摂理によって健康を回復させる学者であったため、「自然」から「医師, 内科医」という意味が生まれた。
&lt;span class="spacer"&gt;&lt;/span&gt;一方で外科医（surgeon）は、語源的に「手で行う仕事」を意味する。自然の力や理論に基づく内科的治療に対し、実際に刃物を握って物理的な手作業で治療を行う職人であったためphysicianとは明確に区別され、現在でもその区別が残っている。&lt;/span&gt;</v>
      </c>
      <c r="AU92" s="15"/>
      <c r="AV92" s="1" t="s">
        <v>1502</v>
      </c>
      <c r="BG92" s="7" t="s">
        <v>1503</v>
      </c>
      <c r="BH92" s="1" t="s">
        <v>6700</v>
      </c>
      <c r="BI92" s="2" t="s">
        <v>2244</v>
      </c>
      <c r="BJ92" s="1" t="s">
        <v>1947</v>
      </c>
      <c r="BK92" s="2" t="s">
        <v>2245</v>
      </c>
      <c r="BL92" s="1" t="s">
        <v>1980</v>
      </c>
      <c r="BM92" s="2" t="s">
        <v>2246</v>
      </c>
      <c r="BN92" s="1" t="s">
        <v>2044</v>
      </c>
      <c r="BO92" s="2" t="s">
        <v>2247</v>
      </c>
      <c r="BP92" s="1" t="s">
        <v>1865</v>
      </c>
      <c r="BQ92" s="2" t="s">
        <v>2248</v>
      </c>
    </row>
    <row r="93" spans="1:69" ht="90" x14ac:dyDescent="0.45">
      <c r="A93" s="5">
        <v>92</v>
      </c>
      <c r="B93" s="8" t="s">
        <v>1294</v>
      </c>
      <c r="C93" s="6" t="s">
        <v>6851</v>
      </c>
      <c r="D93" s="7" t="s">
        <v>9752</v>
      </c>
      <c r="E93" s="1" t="s">
        <v>1902</v>
      </c>
      <c r="F93" s="1" t="s">
        <v>1775</v>
      </c>
      <c r="G93" s="1"/>
      <c r="J93" s="1" t="s">
        <v>9753</v>
      </c>
      <c r="K93" s="2" t="s">
        <v>7250</v>
      </c>
      <c r="L93" s="4" t="s">
        <v>8025</v>
      </c>
      <c r="P93" s="7" t="s">
        <v>1241</v>
      </c>
      <c r="Q93" s="20" t="str">
        <f>INDEX($L:$L, MATCH("vary", $B:$B, 0))</f>
        <v>&lt;span class="w"&gt;&lt;b&gt;【306.vary：様々である, 変わる】&lt;/b&gt;&lt;/span&gt;
&lt;span class="ml"&gt;ラテン語varius（様々な）に由来する。
&lt;span class="spacer"&gt;&lt;/span&gt;「様々な」が動詞になって「様々である, （いろいろと）変わる, 異なる」といった意味になる。&lt;/span&gt;</v>
      </c>
      <c r="R93" s="21" t="s">
        <v>12093</v>
      </c>
      <c r="AV93" s="1" t="s">
        <v>1502</v>
      </c>
      <c r="BG93" s="7" t="s">
        <v>1503</v>
      </c>
      <c r="BH93" s="1" t="s">
        <v>1947</v>
      </c>
      <c r="BI93" s="1" t="s">
        <v>2249</v>
      </c>
      <c r="BJ93" s="1" t="s">
        <v>2044</v>
      </c>
      <c r="BK93" s="2" t="s">
        <v>2250</v>
      </c>
      <c r="BL93" s="1" t="s">
        <v>1877</v>
      </c>
      <c r="BM93" s="2" t="s">
        <v>2251</v>
      </c>
    </row>
    <row r="94" spans="1:69" ht="216" x14ac:dyDescent="0.45">
      <c r="A94" s="5">
        <v>93</v>
      </c>
      <c r="B94" s="8" t="s">
        <v>1295</v>
      </c>
      <c r="C94" s="6" t="s">
        <v>6851</v>
      </c>
      <c r="D94" s="7" t="s">
        <v>9752</v>
      </c>
      <c r="E94" s="1" t="s">
        <v>1621</v>
      </c>
      <c r="F94" s="1" t="s">
        <v>1903</v>
      </c>
      <c r="G94" s="1" t="s">
        <v>1456</v>
      </c>
      <c r="J94" s="1" t="s">
        <v>9753</v>
      </c>
      <c r="K94" s="2" t="s">
        <v>7251</v>
      </c>
      <c r="L94" s="4" t="s">
        <v>8026</v>
      </c>
      <c r="M94" s="1" t="s">
        <v>12145</v>
      </c>
      <c r="P94" s="7" t="s">
        <v>1241</v>
      </c>
      <c r="Q94" s="14" t="str">
        <f>INDEX($L:$L, MATCH("value", $B:$B, 0))</f>
        <v>&lt;span class="w"&gt;&lt;b&gt;【55.value：価値, 評価, 値】&lt;/b&gt;&lt;/span&gt;
&lt;span class="ml"&gt;ラテン語valere（価値がある, 強い）に由来する。
&lt;span class="spacer"&gt;&lt;/span&gt;価値があるという動詞から名詞になり、「価値, 評価, 値」という意味になる。&lt;/span&gt;</v>
      </c>
      <c r="R94" s="14" t="str">
        <f>INDEX($L:$L, MATCH("equivalent", $B:$B, 0))</f>
        <v>&lt;span class="w"&gt;&lt;b&gt;【685.equivalent：同等の, 相当する】&lt;/b&gt;&lt;/span&gt;
&lt;span class="ml"&gt;ラテン語に由来する語で、以下の2つの要素から成る。
&lt;span class="spacer"&gt;&lt;/span&gt;aequus（等しい）
valere（価値がある）
&lt;span class="spacer"&gt;&lt;/span&gt;このまま日本語にすると「等しい価値がある」となる。ここから「同等の, 相当する」という意味になる。
&lt;span class="spacer"&gt;&lt;/span&gt;equal：AとBが完全に一致
equivalent：AとBは別物だが同等/span&gt;</v>
      </c>
      <c r="S94" s="14" t="str">
        <f>INDEX($L:$L, MATCH("evaluate", $B:$B, 0))</f>
        <v>&lt;span class="w"&gt;&lt;b&gt;【719.evaluate：〜を評価する, 〜を査定する】&lt;/b&gt;&lt;/span&gt;
&lt;span class="ml"&gt;古フランス語に由来し、以下の2つの要素から成る。
&lt;span class="spacer"&gt;&lt;/span&gt;é（外へ）
valuer（価値を置く）
&lt;span class="spacer"&gt;&lt;/span&gt;このまま日本語にすると「外へ価値を置く」となる。つまり何かの価値を見出すことを表して「評価する, 査定する」という意味になる。&lt;/span&gt;</v>
      </c>
      <c r="T94" s="14" t="str">
        <f>INDEX($L:$L, MATCH("valid", $B:$B, 0))</f>
        <v>&lt;span class="w"&gt;&lt;b&gt;【1080.valid：妥当な, 正当な, 有効な】&lt;/b&gt;&lt;/span&gt;
&lt;span class="ml"&gt;ラテン語に由来する語で、以下の2つの要素から成る。
&lt;span class="spacer"&gt;&lt;/span&gt;valere（強い, 力がある）
idus（形容詞化）
&lt;span class="spacer"&gt;&lt;/span&gt;この語の核は「強い状態にある」「力を持っている」。法律・ルール・条件などを満たして力を持っている状態から「有効な」という意味になる。また、意見や主張などが論理的に頑丈で崩れることのない強い状態にあることから「正当な, 妥当な」という意味になる。
&lt;div class="sample_image valid"&gt;&lt;/div&gt;&lt;/span&gt;</v>
      </c>
      <c r="U94" s="13" t="str">
        <f>INDEX($L:$L, MATCH("prevail", $B:$B, 0))</f>
        <v>&lt;span class="w"&gt;&lt;b&gt;【1340.prevail：普及している, 支配的である, 圧倒している, 打ち勝つ】&lt;/b&gt;&lt;/span&gt;
&lt;span class="ml"&gt;ラテン語に由来する語で、以下の2つの要素から成る。
&lt;span class="spacer"&gt;&lt;/span&gt;prae（前に）
valere（力を持つ, 強い）
&lt;span class="spacer"&gt;&lt;/span&gt;この語の核は「他者の前へ立って力を見せつける」イメージ。そこから、物理的に力で相手を「圧倒している, 打ち勝つ」という意味になる。
&lt;span class="spacer"&gt;&lt;/span&gt;また、強い力を持って社会全体を覆い尽くすイメージから、考え方や習慣、あるいは病気などが「支配的である, 普及している」という意味にもなる。
&lt;div class="sample_image prevail"&gt;&lt;/div&gt;&lt;/span&gt;</v>
      </c>
      <c r="AU94" s="15"/>
      <c r="AV94" s="1" t="s">
        <v>1502</v>
      </c>
      <c r="BG94" s="7" t="s">
        <v>1503</v>
      </c>
      <c r="BH94" s="1" t="s">
        <v>1947</v>
      </c>
      <c r="BI94" s="2" t="s">
        <v>7252</v>
      </c>
      <c r="BJ94" s="1" t="s">
        <v>1504</v>
      </c>
      <c r="BK94" s="1" t="s">
        <v>7253</v>
      </c>
      <c r="BL94" s="1" t="s">
        <v>2044</v>
      </c>
      <c r="BM94" s="2" t="s">
        <v>2252</v>
      </c>
      <c r="BN94" s="1" t="s">
        <v>1877</v>
      </c>
      <c r="BO94" s="2" t="s">
        <v>2253</v>
      </c>
    </row>
    <row r="95" spans="1:69" ht="396" x14ac:dyDescent="0.45">
      <c r="A95" s="5">
        <v>94</v>
      </c>
      <c r="B95" s="8" t="s">
        <v>1297</v>
      </c>
      <c r="C95" s="6" t="s">
        <v>6851</v>
      </c>
      <c r="D95" s="7" t="s">
        <v>9752</v>
      </c>
      <c r="E95" s="1" t="s">
        <v>1904</v>
      </c>
      <c r="F95" s="1" t="s">
        <v>1528</v>
      </c>
      <c r="G95" s="1"/>
      <c r="J95" s="1" t="s">
        <v>9753</v>
      </c>
      <c r="K95" s="2" t="s">
        <v>7254</v>
      </c>
      <c r="L95" s="4" t="s">
        <v>8027</v>
      </c>
      <c r="M95" s="1" t="s">
        <v>12146</v>
      </c>
      <c r="P95" s="7" t="s">
        <v>1241</v>
      </c>
      <c r="Q95" s="14" t="str">
        <f>INDEX($L:$L, MATCH("innate", $B:$B, 0))</f>
        <v>&lt;span class="w"&gt;&lt;b&gt;【1290.innate：生まれながらの】&lt;/b&gt;&lt;/span&gt;
&lt;span class="ml"&gt;ラテン語に由来する語で、以下の2つの要素から成る。
&lt;span class="spacer"&gt;&lt;/span&gt;in（中に）
nasci（生まれる）
&lt;span class="spacer"&gt;&lt;/span&gt;このまま日本語にすると「〜の中に生まれる」となる。生まれた時からその人やその動物の中にあることを表して「生まれつきの」という意味になる。
&lt;span class="spacer"&gt;&lt;/span&gt;nate部分は、nativeやnatureと同じイメージ。&lt;/span&gt;</v>
      </c>
      <c r="R95" s="14" t="str">
        <f>INDEX($L:$L, MATCH("indigenous", $B:$B, 0))</f>
        <v>&lt;span class="w"&gt;&lt;b&gt;【1189.indigenous：原産の, 先住の】&lt;/b&gt;&lt;/span&gt;
&lt;span class="ml"&gt;ラテン語に由来する語で、以下の3つの要素から成る。
&lt;span class="spacer"&gt;&lt;/span&gt;indu（中に）
gignere（生む）
us（形容詞化）
&lt;span class="spacer"&gt;&lt;/span&gt;この語の核は「ある環境の中で生まれた」。ある土地に初めから根付いている動植物や人を表して「土着の, 先住の」という意味になった。
&lt;div class="sample_image indigenous"&gt;&lt;/div&gt;&lt;/span&gt;</v>
      </c>
      <c r="S95" s="14" t="str">
        <f>INDEX($L:$L, MATCH("gene", $B:$B, 0))</f>
        <v>&lt;span class="w"&gt;&lt;b&gt;【275.gene：遺伝子】&lt;/b&gt;&lt;/span&gt;
&lt;span class="ml"&gt;印欧祖語*gene-（生む, 産む）から生まれたギリシャ語genea（世代, 人種, 血統）に由来する。
&lt;span class="spacer"&gt;&lt;/span&gt;このギリシャ語をもとに、デンマークの科学者が1905年にドイツ語Gen（遺伝子）を造る。世代を超えて引き継がれるもの, 種族で共通するもの、つまり「遺伝子」を指した。&lt;/span&gt;</v>
      </c>
      <c r="T95" s="14" t="str">
        <f>INDEX($L:$L, MATCH("gender", $B:$B, 0))</f>
        <v>&lt;span class="w"&gt;&lt;b&gt;【370.gender：社会的/文化的な性, 性別】&lt;/b&gt;&lt;/span&gt;
&lt;span class="ml"&gt;ラテン語genus（種族, 血統, 性別）に由来する。
&lt;span class="spacer"&gt;&lt;/span&gt;もともとは種類や文法上の性を表す言葉だったが、次第に人間の種類を分ける性別として使われるようになる。特に生物学的な性別に対し、「社会/文化的な性」として使われる。たとえば社会・文化における性差別をなくすことをジェンダーの平等と言う。&lt;/span&gt;</v>
      </c>
      <c r="U95" s="14" t="str">
        <f>INDEX($L:$L, MATCH("generate", $B:$B, 0))</f>
        <v>&lt;span class="w"&gt;&lt;b&gt;【407.generate：〜を生み出す】&lt;/b&gt;&lt;/span&gt;
&lt;span class="ml"&gt;ラテン語genus（種族,  血統, 性別）から派生した動詞generare（生む, 生じさせる）に由来する。
&lt;span class="spacer"&gt;&lt;/span&gt;印欧祖語*gene-（生む, 産む）と同じく「生み出す」という意味になる。
&lt;span class="spacer"&gt;&lt;/span&gt;名詞generationは同時代の種族全体や生むこと自体を表して「世代, 発生」という意味になる。
&lt;span class="spacer"&gt;&lt;/span&gt;形容詞generalは「種族全体に関する」から「一般的な」という意味になる。&lt;/span&gt;</v>
      </c>
      <c r="V95" s="14" t="str">
        <f>INDEX($L:$L, MATCH("generous", $B:$B, 0))</f>
        <v>&lt;span class="w"&gt;&lt;b&gt;【880.generous：寛大な, 気前のよい】&lt;/b&gt;&lt;/span&gt;
&lt;span class="ml"&gt;ラテン語に由来する語で、以下の2つの要素から成る。
&lt;span class="spacer"&gt;&lt;/span&gt;genus（生まれ, 家系, 血統）
osus（形容詞化：〜に満ちている）
&lt;span class="spacer"&gt;&lt;/span&gt;もともとは、立派な血統に満ちていて高貴な生まれであることを表した。古代や中世には、高貴な人は器が大きく、他者に対して気前よくものを与え、寛大に振る舞うべきであるという価値観があったことから「寛大な, 気前のよい」という意味になった。&lt;/span&gt;</v>
      </c>
      <c r="W95" s="14" t="str">
        <f>INDEX($L:$L, MATCH("genuine", $B:$B, 0))</f>
        <v>&lt;span class="w"&gt;&lt;b&gt;【888.genuine：本物の, 偽りのない】&lt;/b&gt;&lt;/span&gt;
&lt;span class="ml"&gt;ラテン語に由来する語で、以下の2つの要素から成ると考えられる。
&lt;span class="spacer"&gt;&lt;/span&gt;gignere（生む, 産出する）
inus（形容詞化）
&lt;span class="spacer"&gt;&lt;/span&gt;この語の核は「生まれたまま自然な状態」。後から作られた混ぜ物や偽物ではなく、生まれたままであることを表し、「本物の, 偽りのない」という意味になる。
&lt;span class="spacer"&gt;&lt;/span&gt;また別の語源の説では、ラテン語genu（膝）に由来するという考えもある。
&lt;span class="spacer"&gt;&lt;/span&gt;古代ローマでは、赤ん坊が生まれると、父親がその子を自分の膝の上に置くという伝統的な儀式があった。これは単なるスキンシップではなく、「この子は間違いなく自分の血を引く、正式な子供である」と公に認めるための重要な法的手続きだった。そこから「偽りのない, 本物の」という意味になった。&lt;/span&gt;</v>
      </c>
      <c r="X95" s="14" t="str">
        <f>INDEX($L:$L, MATCH("pregnant", $B:$B, 0))</f>
        <v>&lt;span class="w"&gt;&lt;b&gt;【1095.pregnant：妊娠した】&lt;/b&gt;&lt;/span&gt;
&lt;span class="ml"&gt;ラテン語に由来する語で、以下の2つの要素から成る。
&lt;span class="spacer"&gt;&lt;/span&gt;prae（前に）
gnasci（生まれる）
&lt;span class="spacer"&gt;&lt;/span&gt;このまま日本語にすると「生まれる前」となる。そこから子を宿している状態＝「妊娠した」という意味になる。&lt;/span&gt;</v>
      </c>
      <c r="AV95" s="1" t="s">
        <v>1502</v>
      </c>
      <c r="BG95" s="7" t="s">
        <v>1503</v>
      </c>
      <c r="BH95" s="1" t="s">
        <v>2254</v>
      </c>
      <c r="BI95" s="1" t="s">
        <v>2255</v>
      </c>
      <c r="BJ95" s="1" t="s">
        <v>4019</v>
      </c>
      <c r="BK95" s="2" t="s">
        <v>2256</v>
      </c>
      <c r="BL95" s="1" t="s">
        <v>1947</v>
      </c>
      <c r="BM95" s="2" t="s">
        <v>7255</v>
      </c>
      <c r="BN95" s="1" t="s">
        <v>1504</v>
      </c>
      <c r="BO95" s="1" t="s">
        <v>2257</v>
      </c>
      <c r="BP95" s="1" t="s">
        <v>2044</v>
      </c>
      <c r="BQ95" s="2" t="s">
        <v>2258</v>
      </c>
    </row>
    <row r="96" spans="1:69" ht="216" x14ac:dyDescent="0.45">
      <c r="A96" s="5">
        <v>95</v>
      </c>
      <c r="B96" s="8" t="s">
        <v>1298</v>
      </c>
      <c r="C96" s="6" t="s">
        <v>6851</v>
      </c>
      <c r="D96" s="7" t="s">
        <v>9752</v>
      </c>
      <c r="E96" s="1" t="s">
        <v>1905</v>
      </c>
      <c r="F96" s="1" t="s">
        <v>1551</v>
      </c>
      <c r="G96" s="1" t="s">
        <v>49</v>
      </c>
      <c r="J96" s="1" t="s">
        <v>9753</v>
      </c>
      <c r="K96" s="2" t="s">
        <v>7256</v>
      </c>
      <c r="L96" s="4" t="s">
        <v>8028</v>
      </c>
      <c r="P96" s="7" t="s">
        <v>1241</v>
      </c>
      <c r="Q96" s="13" t="str">
        <f>INDEX($L:$L, MATCH("policy", $B:$B, 0))</f>
        <v>&lt;span class="w"&gt;&lt;b&gt;【146.policy：政策, 方針】&lt;/b&gt;&lt;/span&gt;
&lt;span class="ml"&gt;ギリシャ語polis（都市）に由来する。
&lt;span class="spacer"&gt;&lt;/span&gt;古代ギリシャのpolis（都市国家, ポリス）からは、そこに住む市民や、市民の統治＝政治に関する語が生まれている。
&lt;span class="spacer"&gt;&lt;/span&gt;policyも都市国家ポリスに関わり、国家を運営していく上でその方向性を示す「政策, 方針」という意味になる。また国家運営に限らず、組織運営や個人の行動の「方針」という意味にもなる。&lt;/span&gt;</v>
      </c>
      <c r="R96" s="13" t="str">
        <f>INDEX($L:$L, MATCH("metropolitan", $B:$B, 0))</f>
        <v>&lt;span class="w"&gt;&lt;b&gt;【1488.metropolitan：大都市の, 首都圏の】&lt;/b&gt;&lt;/span&gt;
&lt;span class="ml"&gt;ギリシャ語に由来する語で、以下の2つの要素から成る。
&lt;span class="spacer"&gt;&lt;/span&gt;meter（母）
polis（都市）
&lt;span class="spacer"&gt;&lt;/span&gt;このまま日本語にすると「母なる都市」となる。これは最も中心的な都市である大都市や首都圏を表し、「大都市の, 首都圏の」という意味になる。&lt;/span&gt;</v>
      </c>
      <c r="AU96" s="15"/>
      <c r="AV96" s="1" t="s">
        <v>1502</v>
      </c>
      <c r="BG96" s="7" t="s">
        <v>1503</v>
      </c>
      <c r="BH96" s="1" t="s">
        <v>6700</v>
      </c>
      <c r="BI96" s="2" t="s">
        <v>7257</v>
      </c>
      <c r="BJ96" s="1" t="s">
        <v>1947</v>
      </c>
      <c r="BK96" s="2" t="s">
        <v>2259</v>
      </c>
      <c r="BL96" s="1" t="s">
        <v>1504</v>
      </c>
      <c r="BM96" s="1" t="s">
        <v>2260</v>
      </c>
      <c r="BN96" s="1" t="s">
        <v>2044</v>
      </c>
      <c r="BO96" s="2" t="s">
        <v>2261</v>
      </c>
      <c r="BP96" s="1" t="s">
        <v>1865</v>
      </c>
      <c r="BQ96" s="2" t="s">
        <v>7258</v>
      </c>
    </row>
    <row r="97" spans="1:69" ht="180" x14ac:dyDescent="0.45">
      <c r="A97" s="5">
        <v>96</v>
      </c>
      <c r="B97" s="8" t="s">
        <v>98</v>
      </c>
      <c r="C97" s="6" t="s">
        <v>6851</v>
      </c>
      <c r="D97" s="7" t="s">
        <v>9752</v>
      </c>
      <c r="E97" s="1" t="s">
        <v>98</v>
      </c>
      <c r="F97" s="1"/>
      <c r="G97" s="1"/>
      <c r="J97" s="1" t="s">
        <v>9753</v>
      </c>
      <c r="K97" s="2" t="s">
        <v>7259</v>
      </c>
      <c r="L97" s="4" t="s">
        <v>10099</v>
      </c>
      <c r="M97" s="1" t="s">
        <v>12147</v>
      </c>
      <c r="P97" s="7" t="s">
        <v>1241</v>
      </c>
      <c r="Q97" s="13" t="str">
        <f>INDEX($L:$L, MATCH("debt", $B:$B, 0))</f>
        <v>&lt;span class="w"&gt;&lt;b&gt;【546.debt：負債, 借金, 恩義】&lt;/b&gt;&lt;/span&gt;
&lt;span class="ml"&gt;ラテン語に由来する語で、以下の2つの要素から成る。
&lt;span class="spacer"&gt;&lt;/span&gt;de（離れて）
habere（持っている）
&lt;span class="spacer"&gt;&lt;/span&gt;このまま日本語にすると「離れて持っているもの」となる。これは、本来の持ち主の手を離れて自分が持っているものを表す。つまり誰かから借りているもので、そこから「負債, 借金, 恩義」という意味になった。
&lt;div class="sample_image debt"&gt;&lt;/div&gt;&lt;/span&gt;</v>
      </c>
      <c r="R97" s="13" t="str">
        <f>INDEX($L:$L, MATCH("duty", $B:$B, 0))</f>
        <v>&lt;span class="w"&gt;&lt;b&gt;【548.duty：義務, 関税】&lt;/b&gt;&lt;/span&gt;
&lt;span class="ml"&gt;ラテン語に由来する語で、以下の2つの要素から成る。
&lt;span class="spacer"&gt;&lt;/span&gt;de（離れて）
habere（持っている）
&lt;span class="spacer"&gt;&lt;/span&gt;このまま日本語にすると「離れて持っている」となる。これは、本来の持ち主の手を離れて自分が持っている、つまり「誰かから何かを借りている状態」であることを表す。
&lt;span class="spacer"&gt;&lt;/span&gt;ここから、借りているものを返すべき、何かを支払うべき、恩に報いて何かをするべきといった「義務」を意味するようになった。さらに、金銭的な支払いの側面が特化して残り、輸出入の際に国へ納めるべき「関税」という意味にも繋がっている。&lt;/span&gt;</v>
      </c>
      <c r="AI97" s="15"/>
      <c r="AJ97" s="15"/>
      <c r="AK97" s="15"/>
      <c r="AL97" s="15"/>
      <c r="AU97" s="15"/>
      <c r="AV97" s="1" t="s">
        <v>1502</v>
      </c>
      <c r="AW97" s="2"/>
      <c r="AX97" s="2"/>
      <c r="AY97" s="2"/>
      <c r="AZ97" s="2"/>
      <c r="BG97" s="7" t="s">
        <v>1503</v>
      </c>
      <c r="BH97" s="1" t="s">
        <v>1947</v>
      </c>
      <c r="BI97" s="2" t="s">
        <v>2264</v>
      </c>
      <c r="BJ97" s="1" t="s">
        <v>1504</v>
      </c>
      <c r="BK97" s="2" t="s">
        <v>2265</v>
      </c>
      <c r="BL97" s="1" t="s">
        <v>2044</v>
      </c>
      <c r="BM97" s="2" t="s">
        <v>2266</v>
      </c>
      <c r="BN97" s="1" t="s">
        <v>1865</v>
      </c>
      <c r="BO97" s="2" t="s">
        <v>2267</v>
      </c>
    </row>
    <row r="98" spans="1:69" ht="90" x14ac:dyDescent="0.45">
      <c r="A98" s="5">
        <v>97</v>
      </c>
      <c r="B98" s="8" t="s">
        <v>1299</v>
      </c>
      <c r="C98" s="6" t="s">
        <v>6851</v>
      </c>
      <c r="D98" s="7" t="s">
        <v>9752</v>
      </c>
      <c r="E98" s="1" t="s">
        <v>99</v>
      </c>
      <c r="F98" s="1"/>
      <c r="G98" s="1"/>
      <c r="J98" s="1" t="s">
        <v>9753</v>
      </c>
      <c r="K98" s="2" t="s">
        <v>12074</v>
      </c>
      <c r="L98" s="9" t="s">
        <v>8029</v>
      </c>
      <c r="P98" s="7" t="s">
        <v>1241</v>
      </c>
      <c r="Q98" s="19" t="str">
        <f>INDEX($L:$L, MATCH("blink", $B:$B, 0))</f>
        <v>&lt;span class="w"&gt;&lt;b&gt;【1220.blink：まばたきをする, 点滅する】&lt;/b&gt;&lt;/span&gt;
&lt;span class="ml"&gt;古英語blican（輝く）に関連する可能性がある。
&lt;span class="spacer"&gt;&lt;/span&gt;この語の核は「一瞬だけ光ること」。そこから「点滅する」という意味になる。また、まぶたを素早くパチパチさせると視界の光が点滅しているようになることから「まばたきする」という意味にもなる。&lt;/span&gt;</v>
      </c>
      <c r="AV98" s="1" t="s">
        <v>1502</v>
      </c>
      <c r="BG98" s="7" t="s">
        <v>1503</v>
      </c>
      <c r="BH98" s="1" t="s">
        <v>2268</v>
      </c>
      <c r="BI98" s="1" t="s">
        <v>2269</v>
      </c>
      <c r="BJ98" s="1" t="s">
        <v>1959</v>
      </c>
      <c r="BK98" s="1" t="s">
        <v>2270</v>
      </c>
      <c r="BL98" s="1" t="s">
        <v>2044</v>
      </c>
      <c r="BM98" s="2" t="s">
        <v>2271</v>
      </c>
      <c r="BN98" s="1" t="s">
        <v>1865</v>
      </c>
      <c r="BO98" s="2" t="s">
        <v>2272</v>
      </c>
    </row>
    <row r="99" spans="1:69" ht="216" x14ac:dyDescent="0.45">
      <c r="A99" s="5">
        <v>98</v>
      </c>
      <c r="B99" s="8" t="s">
        <v>1300</v>
      </c>
      <c r="C99" s="6" t="s">
        <v>6851</v>
      </c>
      <c r="D99" s="7" t="s">
        <v>9752</v>
      </c>
      <c r="E99" s="1" t="s">
        <v>1906</v>
      </c>
      <c r="F99" s="1" t="s">
        <v>1907</v>
      </c>
      <c r="G99" s="1"/>
      <c r="J99" s="1" t="s">
        <v>9753</v>
      </c>
      <c r="K99" s="2" t="s">
        <v>7260</v>
      </c>
      <c r="L99" s="4" t="s">
        <v>8030</v>
      </c>
      <c r="M99" s="1" t="s">
        <v>12148</v>
      </c>
      <c r="P99" s="7" t="s">
        <v>1241</v>
      </c>
      <c r="Q99" s="14" t="str">
        <f>INDEX($L:$L, MATCH("ancestor", $B:$B, 0))</f>
        <v>&lt;span class="w"&gt;&lt;b&gt;【274.ancestor：祖先】&lt;/b&gt;&lt;/span&gt;
&lt;span class="ml"&gt;ラテン語に由来する語で、以下の3つの要素から成る。
&lt;span class="spacer"&gt;&lt;/span&gt;ante（前に）
cedere（行く, 進む）
or（〜する人）
&lt;span class="spacer"&gt;&lt;/span&gt;このまま日本語にすると「前に行く人」となる。自分たちよりも時間的に前を行く人から先代の人＝「祖先」という意味になる。
&lt;div class="sample_image ancestor"&gt;&lt;/div&gt;&lt;/span&gt;</v>
      </c>
      <c r="R99" s="14" t="str">
        <f>INDEX($L:$L, MATCH("advance", $B:$B, 0))</f>
        <v>&lt;span class="w"&gt;&lt;b&gt;【114.advance：～を進歩させる, ～を前進する】&lt;/b&gt;&lt;/span&gt;
&lt;span class="ml"&gt;ラテン語に由来する語で、以下の2つの要素から成る。
&lt;span class="spacer"&gt;&lt;/span&gt;ab（～から）
ante（前に）
&lt;span class="spacer"&gt;&lt;/span&gt;このまま日本語にすると「～から前に」となる。ここから前方への移動を表して「進歩させる, 前進する」という意味になる。&lt;/span&gt;</v>
      </c>
      <c r="S99" s="14" t="str">
        <f>INDEX($L:$L, MATCH("advantage", $B:$B, 0))</f>
        <v>&lt;span class="w"&gt;&lt;b&gt;【158.advantage：利点, 有利, 優勢】&lt;/b&gt;&lt;/span&gt;
&lt;span class="ml"&gt;ラテン語に由来する語で、以下の2つの要素から成る。
&lt;span class="spacer"&gt;&lt;/span&gt;ab（〜から）
ante（前に）
&lt;span class="obsolete"&gt;age（名詞化）は古フランス語段階で付いた。&lt;/span&gt;
&lt;span class="spacer"&gt;&lt;/span&gt;このまま日本語にすると「〜から前に」となる。他よりも前に進んでいる状態を表し、他よりも優れている・良いところがあるという「有利, 優勢, 利点」という意味になる。&lt;/span&gt;</v>
      </c>
      <c r="T99" s="14" t="str">
        <f>INDEX($L:$L, MATCH("disadvantage", $B:$B, 0))</f>
        <v>&lt;span class="w"&gt;&lt;b&gt;【563.disadvantage：不利, 障害】&lt;/b&gt;&lt;/span&gt;
&lt;span class="ml"&gt;古フランス語に由来する語で、以下の2つの要素から成る。
&lt;span class="spacer"&gt;&lt;/span&gt;des（否定）
avantage（有利, 利益）
&lt;span class="spacer"&gt;&lt;/span&gt;有利や利益の否定なので「不利, 障害」という意味になる。&lt;/span&gt;</v>
      </c>
      <c r="AV99" s="1" t="s">
        <v>1502</v>
      </c>
      <c r="BG99" s="7" t="s">
        <v>1503</v>
      </c>
      <c r="BH99" s="1" t="s">
        <v>1947</v>
      </c>
      <c r="BI99" s="1" t="s">
        <v>2273</v>
      </c>
      <c r="BJ99" s="1" t="s">
        <v>2048</v>
      </c>
      <c r="BK99" s="1" t="s">
        <v>2274</v>
      </c>
      <c r="BL99" s="1" t="s">
        <v>1959</v>
      </c>
      <c r="BM99" s="1" t="s">
        <v>2275</v>
      </c>
      <c r="BN99" s="1" t="s">
        <v>2044</v>
      </c>
      <c r="BO99" s="2" t="s">
        <v>2276</v>
      </c>
      <c r="BP99" s="1" t="s">
        <v>1865</v>
      </c>
      <c r="BQ99" s="2" t="s">
        <v>7261</v>
      </c>
    </row>
    <row r="100" spans="1:69" ht="270" x14ac:dyDescent="0.45">
      <c r="A100" s="5">
        <v>99</v>
      </c>
      <c r="B100" s="8" t="s">
        <v>1301</v>
      </c>
      <c r="C100" s="6" t="s">
        <v>6851</v>
      </c>
      <c r="D100" s="7" t="s">
        <v>9752</v>
      </c>
      <c r="E100" s="1" t="s">
        <v>1859</v>
      </c>
      <c r="F100" s="1" t="s">
        <v>8874</v>
      </c>
      <c r="G100" s="1"/>
      <c r="J100" s="1" t="s">
        <v>9753</v>
      </c>
      <c r="K100" s="2" t="s">
        <v>9037</v>
      </c>
      <c r="L100" s="4" t="s">
        <v>8031</v>
      </c>
      <c r="M100" s="1" t="s">
        <v>12140</v>
      </c>
      <c r="P100" s="7" t="s">
        <v>1241</v>
      </c>
      <c r="Q100" s="14" t="str">
        <f>INDEX($L:$L, MATCH("source", $B:$B, 0))</f>
        <v>&lt;span class="w"&gt;&lt;b&gt;【75.source：源, 情報源】&lt;/b&gt;&lt;/span&gt;
&lt;span class="ml"&gt;ラテン語に由来する語で、以下の2つの要素から成る。
&lt;span class="spacer"&gt;&lt;/span&gt;sub（下から上に）
regere（まっすぐ導く）
&lt;span class="spacer"&gt;&lt;/span&gt;このまま日本語にすると「下から上にまっすぐ導く」となる。これは地下から水が湧き出てくるイメージ。ここから「源, 情報源」という意味になる。&lt;/span&gt;</v>
      </c>
      <c r="R100" s="14" t="str">
        <f>INDEX($L:$L, MATCH("resource", $B:$B, 0))</f>
        <v>&lt;span class="w"&gt;&lt;b&gt;【163.resource：資源, 資金】&lt;/b&gt;&lt;/span&gt;
&lt;span class="ml"&gt;ラテン語に由来する語で、以下の3つの要素から成る。
&lt;span class="spacer"&gt;&lt;/span&gt;re（再び）
sub（下から）
regere（まっすぐ導く）
&lt;span class="spacer"&gt;&lt;/span&gt;このまま日本語にすると「再び下からまっすぐ導く」となる。崩れたものをを再び立て直すことから、困ったときに立ち直らせる源＝「資源, 資金」という意味になる。&lt;/span&gt;</v>
      </c>
      <c r="S100" s="14" t="str">
        <f>INDEX($L:$L, MATCH("region", $B:$B, 0))</f>
        <v>&lt;span class="w"&gt;&lt;b&gt;【164.region：地域, 領域, 部位】&lt;/b&gt;&lt;/span&gt;
&lt;span class="ml"&gt;ラテン語に由来する語で、以下の2つの要素から成る。
&lt;span class="spacer"&gt;&lt;/span&gt;regere（まっすぐ導く, 支配する）
io（名詞化）
&lt;span class="spacer"&gt;&lt;/span&gt;このまま日本語にすると「まっすぐ導くこと, 支配する者」となる。支配者が領土に線を引いて区分けするイメージから「地域, 領域, 部位」という意味になる。
&lt;div class="sample_image region"&gt;&lt;/div&gt;&lt;/span&gt;</v>
      </c>
      <c r="T100" s="14" t="str">
        <f>INDEX($L:$L, MATCH("address", $B:$B, 0))</f>
        <v>&lt;span class="w"&gt;&lt;b&gt;【330.address：問題に対処する, 演説する, ～宛てに出す】&lt;/b&gt;&lt;/span&gt;
&lt;span class="ml"&gt;ラテン語に由来する語で、以下の2つの要素から成る。
&lt;span class="spacer"&gt;&lt;/span&gt;ad（～へ）
dis（強意）
regere（まっすぐ導く）
&lt;span class="spacer"&gt;&lt;/span&gt;このまま日本語にすると「ある方向へしっかりまっすぐ導く」となる。ここから問題に対して自分の意識をまっすぐ向けて、問題を解消してまっすぐな状態＝正常な状態にしようとする＝「対処する」という意味になる。
&lt;span class="spacer"&gt;&lt;/span&gt;また対象へまっすぐ届けることから、手紙などを「～へ宛てて送る」となる。手紙ではなく言葉を直接届ける場合は「演説をする」となる。
&lt;div class="sample_image address"&gt;&lt;/div&gt;&lt;/span&gt;</v>
      </c>
      <c r="U100" s="13" t="str">
        <f>INDEX($L:$L, MATCH("alert", $B:$B, 0))</f>
        <v>&lt;span class="w"&gt;&lt;b&gt;【985.alert：警戒して】&lt;/b&gt;&lt;/span&gt;
&lt;span class="ml"&gt;［ert部分］
ラテン語に由来する語で、以下の2つの要素から成る。
&lt;span class="spacer"&gt;&lt;/span&gt;ex（外に, 上に）
regere（導く）
&lt;span class="spacer"&gt;&lt;/span&gt;［al+ert］
イタリア語に由来する語で、以下の3つの要素から成る。
&lt;span class="spacer"&gt;&lt;/span&gt;a（〜へ）
la（＝the）
erta（高い塔, 見張り台）
&lt;span class="spacer"&gt;&lt;/span&gt;ラテン語の「上に導く（erigere）」から派生した言葉が「高く持ち上げられた場所（erta）」となり、それがイタリア語で「高台」や「見張り台」を表すようになった。そして、兵士に対する「見張り台へ！（all'erta）」という軍事的な呼びかけの言葉が、フランス語を経由して英語に取り入れられ、alert「警戒して」という意味になった。&lt;/span&gt;</v>
      </c>
      <c r="AU100" s="15"/>
      <c r="AV100" s="1" t="s">
        <v>1502</v>
      </c>
      <c r="BG100" s="7" t="s">
        <v>1503</v>
      </c>
      <c r="BH100" s="1" t="s">
        <v>1947</v>
      </c>
      <c r="BI100" s="2" t="s">
        <v>2277</v>
      </c>
      <c r="BJ100" s="1" t="s">
        <v>1996</v>
      </c>
      <c r="BK100" s="1" t="s">
        <v>2278</v>
      </c>
      <c r="BL100" s="1" t="s">
        <v>1877</v>
      </c>
      <c r="BM100" s="2" t="s">
        <v>2279</v>
      </c>
    </row>
    <row r="101" spans="1:69" ht="198" x14ac:dyDescent="0.45">
      <c r="A101" s="5">
        <v>100</v>
      </c>
      <c r="B101" s="8" t="s">
        <v>1302</v>
      </c>
      <c r="C101" s="6" t="s">
        <v>6852</v>
      </c>
      <c r="D101" s="7" t="s">
        <v>9752</v>
      </c>
      <c r="E101" s="1" t="s">
        <v>1327</v>
      </c>
      <c r="F101" s="1" t="s">
        <v>8875</v>
      </c>
      <c r="G101" s="1"/>
      <c r="J101" s="1" t="s">
        <v>9753</v>
      </c>
      <c r="K101" s="2" t="s">
        <v>7262</v>
      </c>
      <c r="L101" s="9" t="s">
        <v>8586</v>
      </c>
      <c r="M101" s="1" t="s">
        <v>12135</v>
      </c>
      <c r="P101" s="7" t="s">
        <v>1241</v>
      </c>
      <c r="Q101" s="13" t="str">
        <f>INDEX($L:$L, MATCH("respect", $B:$B, 0))</f>
        <v>&lt;span class="w"&gt;&lt;b&gt;【133.respect：〜を尊敬する】&lt;/b&gt;&lt;/span&gt;
&lt;span class="ml"&gt;ラテン語に由来する語で、以下の2つの要素から成る。
&lt;span class="spacer"&gt;&lt;/span&gt;re（後ろへ）
specere（見る）
&lt;span class="spacer"&gt;&lt;/span&gt;このまま日本語にすると「後ろを見る」となる。振り返って見る、1度見たものを何度もよく見るというイメージから、対象に注意、配慮、敬意を向ける、つまり「尊敬する」という意味になる。
&lt;span class="spacer"&gt;&lt;/span&gt;名詞respectは、ある事柄に何度も目を向けることから、目を向ける先の「ポイント」や「関係」を意味する。&lt;/span&gt;</v>
      </c>
      <c r="R101" s="13" t="str">
        <f>INDEX($L:$L, MATCH("aspect", $B:$B, 0))</f>
        <v>&lt;span class="w"&gt;&lt;b&gt;【174.aspect：側面, 観点】&lt;/b&gt;&lt;/span&gt;
&lt;span class="ml"&gt;ラテン語に由来する語で、以下の3つの要素から成る。
&lt;span class="spacer"&gt;&lt;/span&gt;ad（～へ）
specere（見る）
tus（名詞化）
&lt;span class="spacer"&gt;&lt;/span&gt;このまま日本語にすると「～へ見ること」となる。もともとは占星術用語として使われ、地球と他の惑星がどのように見えるかを意味した。たとえば地球から月を見るとき、地球上の観測点からは月のひとつの面しか見えない。
&lt;span class="spacer"&gt;&lt;/span&gt;ここから、自分から相手、相手から自分を見るそれぞれの「観点」や、見ている相手の「側面」という意味になる。
&lt;div class="sample_image aspect"&gt;&lt;/div&gt;&lt;/span&gt;</v>
      </c>
      <c r="S101" s="13" t="str">
        <f>INDEX($L:$L, MATCH("suspect", $B:$B, 0))</f>
        <v>&lt;span class="w"&gt;&lt;b&gt;【630.suspect：〜を疑う, 〜ではないかと思う】&lt;/b&gt;&lt;/span&gt;
&lt;span class="ml"&gt;ラテン語に由来する語で、以下の2つの要素から成る。
&lt;span class="spacer"&gt;&lt;/span&gt;sub（下から）
specere（見る）
&lt;span class="spacer"&gt;&lt;/span&gt;このまま日本語にすると「下から見る」となる。これは、下からこっそり見上げて疑いの目を向けるイメージ。ここから「疑う」という意味になる。
&lt;div class="sample_image suspect"&gt;&lt;/div&gt;&lt;/span&gt;</v>
      </c>
      <c r="T101" s="13" t="str">
        <f>INDEX($L:$L, MATCH("prospect", $B:$B, 0))</f>
        <v>&lt;span class="w"&gt;&lt;b&gt;【860.prospect：見込み, 未来への展望, 有望な人】&lt;/b&gt;&lt;/span&gt;
&lt;span class="ml"&gt;ラテン語に由来する語で、以下の2つの要素から成る。
&lt;span class="spacer"&gt;&lt;/span&gt;pro（前へ）
specere（見る）
&lt;span class="spacer"&gt;&lt;/span&gt;このまま日本語にすると「前方を見る」となる。物理的に遠くを見ることから、時間的に遠い将来を見ることへと発展して「見込み, 未来への展望」という意味になった。また未来を期待される人＝「将来有望な人」という意味にもなった。&lt;/span&gt;</v>
      </c>
      <c r="U101" s="13" t="str">
        <f>INDEX($L:$L, MATCH("perspective", $B:$B, 0))</f>
        <v>&lt;span class="w"&gt;&lt;b&gt;【365.perspective：観点（≒立場）, 大局観, 遠近法】&lt;/b&gt;&lt;/span&gt;
&lt;span class="ml"&gt;ラテン語に由来する語で、以下の2つの要素から成る。
&lt;span class="spacer"&gt;&lt;/span&gt;per（通して）
specere（見る）
&lt;span class="spacer"&gt;&lt;/span&gt;このまま日本語にすると「見通す」となる。これは「ある視点から対象の奥側まで全体を見通す」というイメージで、次の3つのポイントがある。①見る視点・②全体を見ること・③奥まで見ること。
&lt;span class="spacer"&gt;&lt;/span&gt;「見る視点」からは、物事を見るときの視点＝「観点, 立場」という意味になる。
&lt;span class="spacer"&gt;&lt;/span&gt;「全体を見る」からは、対局を見通す「大局観」という意味になる。
&lt;span class="spacer"&gt;&lt;/span&gt;「奥まで見る」からは、空間を見通して奥行や距離を正しく把握する「遠近法」という意味になる。
&lt;div class="sample_image perspective"&gt;&lt;/div&gt;
&lt;span class="spacer"&gt;&lt;/span&gt;perspectiveは、ある「観点, 立場」から「全体を見ること」。そしてその見方の一例が「遠近法」だと覚えればよい。&lt;/span&gt;</v>
      </c>
      <c r="V101" s="13" t="str">
        <f>INDEX($L:$L, MATCH("spectator", $B:$B, 0))</f>
        <v>&lt;span class="w"&gt;&lt;b&gt;【1465.spectator：観客】&lt;/b&gt;&lt;/span&gt;
&lt;span class="ml"&gt;ラテン語に由来する語で、以下の2つの要素から成る。
&lt;span class="spacer"&gt;&lt;/span&gt;spectare（繰り返し見る, 観察する）
or（〜する人）
&lt;span class="spacer"&gt;&lt;/span&gt;このまま日本語にすると「しっかり見る人, 観察する人」すなわち「観客」という意味になる。
&lt;span class="spacer"&gt;&lt;/span&gt;spectを見たら「見る」系の意味だと覚えておくとよい。&lt;/span&gt;</v>
      </c>
      <c r="W101" s="13" t="str">
        <f>INDEX($L:$L, MATCH("species", $B:$B, 0))</f>
        <v>&lt;span class="w"&gt;&lt;b&gt;【56.species：（生物の）種】&lt;/b&gt;&lt;/span&gt;
&lt;span class="ml"&gt;ラテン語specere（注視する）に由来する。
&lt;span class="spacer"&gt;&lt;/span&gt;何かを注視するということは、全体を見るのではなく、全体の中の特定のものに目を向けるということ。ここから生物全体の中の特定の種類＝「生物の種」という意味になる。
&lt;span class="spacer"&gt;&lt;/span&gt;ラテン語のspeciesが英語になっただけなので、-iesは英語の名詞複数形ではない。&lt;/span&gt;</v>
      </c>
      <c r="X101" s="13" t="str">
        <f>INDEX($L:$L, MATCH("specific", $B:$B, 0))</f>
        <v>&lt;span class="w"&gt;&lt;b&gt;【184.specific：特定の, 明確な, 具体的な, ～に特有の】&lt;/b&gt;&lt;/span&gt;
&lt;span class="ml"&gt;ラテン語に由来する語で、以下の2つの要素から成る。
&lt;span class="spacer"&gt;&lt;/span&gt;species（種類）
facere（作る, する）
&lt;span class="spacer"&gt;&lt;/span&gt;このまま日本語にすると「ある種類を作る」となる。何かの種類を作るとは、他の種類にはない特定の性質を持たせるということ。ここから「特定の, 特有の」という意味になる。
&lt;span class="spacer"&gt;&lt;/span&gt;また特定という意味から曖昧ではなく「明確な, 具体的な」という意味になる。&lt;/span&gt;</v>
      </c>
      <c r="Y101" s="13" t="str">
        <f>INDEX($L:$L, MATCH("unexpected", $B:$B, 0))</f>
        <v>&lt;span class="w"&gt;&lt;b&gt;【594.unexpected：思いがけない】&lt;/b&gt;&lt;/span&gt;
&lt;span class="ml"&gt;［expectの語源］
ラテン語に由来する語で、以下の2つの要素から成る。
&lt;span class="spacer"&gt;&lt;/span&gt;ex（外に, 徹底的に）
specere（見る）
&lt;span class="spacer"&gt;&lt;/span&gt;このまま日本語にすると「外を徹底的に見る」となる。これが頭の中で未来の出来事に目を向けることへと発展し、未来に起こることを「期待する」という意味になった。
&lt;span class="spacer"&gt;&lt;/span&gt;［unexpectedの語源］
近代英語にさかのぼり、以下の2つの要素から成る。
&lt;span class="spacer"&gt;&lt;/span&gt;un（否定）
expectの過去分詞expected
&lt;span class="spacer"&gt;&lt;/span&gt;ここから、起きることを期待して見ていなかった、つまり「思いがけない」という意味になる。&lt;/span&gt;</v>
      </c>
      <c r="Z101" s="13" t="str">
        <f>INDEX($L:$L, MATCH("spectrum", $B:$B, 0))</f>
        <v>&lt;span class="w"&gt;&lt;b&gt;【1369.spectrum：スペクトル, （波動・変動の）範囲】&lt;/b&gt;&lt;/span&gt;
&lt;span class="ml"&gt;ラテン語に由来する語で、以下の2つの要素から成る。
&lt;span class="spacer"&gt;&lt;/span&gt;specere（見る, 眺める）
um（名詞化）
&lt;span class="spacer"&gt;&lt;/span&gt;このまま日本語にすると「見えるもの」となり、核は「本来は見えないものが目の前に現れたもの」。
&lt;span class="spacer"&gt;&lt;/span&gt;物理学者のアイザック・ニュートンが、プリズムを通した太陽光が虹色に分かれる現象を発表した際、この暗闇に浮かび上がる光の帯を光が現れた姿と見立ててspectrumと名付けた。そこから目に見える光の色帯＝「スペクトル」という意味になった。
&lt;span class="spacer"&gt;&lt;/span&gt;さらに、光の波長が途切れることなく連続して広がっている様子から、光や音だけではなく事象や意見など、様々な物事が連続的に存在する「範囲」という意味にもなった。
&lt;div class="sample_image spectrum"&gt;&lt;/div&gt;&lt;/span&gt;</v>
      </c>
      <c r="AI101" s="15"/>
      <c r="AU101" s="15"/>
      <c r="AV101" s="1" t="s">
        <v>1502</v>
      </c>
      <c r="AW101" s="2"/>
      <c r="BG101" s="7" t="s">
        <v>1503</v>
      </c>
      <c r="BH101" s="1" t="s">
        <v>1947</v>
      </c>
      <c r="BI101" s="2" t="s">
        <v>2280</v>
      </c>
      <c r="BJ101" s="1" t="s">
        <v>1504</v>
      </c>
      <c r="BK101" s="2" t="s">
        <v>2281</v>
      </c>
      <c r="BL101" s="1" t="s">
        <v>2044</v>
      </c>
      <c r="BM101" s="2" t="s">
        <v>2282</v>
      </c>
      <c r="BN101" s="1" t="s">
        <v>1877</v>
      </c>
      <c r="BO101" s="2" t="s">
        <v>2283</v>
      </c>
    </row>
    <row r="102" spans="1:69" ht="306" x14ac:dyDescent="0.45">
      <c r="A102" s="5">
        <v>101</v>
      </c>
      <c r="B102" s="8" t="s">
        <v>1303</v>
      </c>
      <c r="C102" s="6" t="s">
        <v>1816</v>
      </c>
      <c r="D102" s="7" t="s">
        <v>9752</v>
      </c>
      <c r="E102" s="1" t="s">
        <v>1908</v>
      </c>
      <c r="F102" s="1" t="s">
        <v>1854</v>
      </c>
      <c r="G102" s="1"/>
      <c r="J102" s="1" t="s">
        <v>9753</v>
      </c>
      <c r="K102" s="2" t="s">
        <v>7264</v>
      </c>
      <c r="L102" s="4" t="s">
        <v>8032</v>
      </c>
      <c r="M102" s="1" t="s">
        <v>12136</v>
      </c>
      <c r="P102" s="7" t="s">
        <v>1241</v>
      </c>
      <c r="Q102" s="14" t="str">
        <f>INDEX($L:$L, MATCH("knowledge", $B:$B, 0))</f>
        <v>&lt;span class="w"&gt;&lt;b&gt;【58.knowledge：知識, 認識】&lt;/b&gt;&lt;/span&gt;
&lt;span class="ml"&gt;knowledgeは「knowの名詞」と覚えればよい。
&lt;span class="spacer"&gt;&lt;/span&gt;知っているという動詞から知っていること＝「知識, 認識」という名詞になる。&lt;/span&gt;</v>
      </c>
      <c r="R102" s="14" t="str">
        <f>INDEX($L:$L, MATCH("acknowledge", $B:$B, 0))</f>
        <v>&lt;span class="w"&gt;&lt;b&gt;【717.acknowledge：〜を認める】&lt;/b&gt;&lt;/span&gt;
&lt;span class="ml"&gt;以下の中英語の2語がひとつになってできた語。
&lt;span class="spacer"&gt;&lt;/span&gt;aknowen（知っていることを認める）
knowlechen（認める）
&lt;span class="spacer"&gt;&lt;/span&gt;この語は、対象を示すac（〜に）とknow（知っている）が合わさったと考えればよい。「何かに対して知っていると認める」というイメージで覚える。&lt;/span&gt;</v>
      </c>
      <c r="S102" s="14" t="str">
        <f>INDEX($L:$L, MATCH("unknown", $B:$B, 0))</f>
        <v>&lt;span class="w"&gt;&lt;b&gt;【492.unknown：不明の, 知られていない】&lt;/b&gt;&lt;/span&gt;
&lt;span class="ml"&gt;中英語にさかのぼり、以下の2つの要素から成る。
&lt;span class="spacer"&gt;&lt;/span&gt;un（否定）
knowの過去分詞known
&lt;span class="spacer"&gt;&lt;/span&gt;このまま「知られていない」という意味になる。&lt;/span&gt;</v>
      </c>
      <c r="T102" s="14" t="str">
        <f>INDEX($L:$L, MATCH("notion", $B:$B, 0))</f>
        <v>&lt;span class="w"&gt;&lt;b&gt;【453.notion：概念, 考え】&lt;/b&gt;&lt;/span&gt;
&lt;span class="ml"&gt;ラテン語に由来する語で、以下の2つの要素から成る。
&lt;span class="spacer"&gt;&lt;/span&gt;noscere（知る）
io（名詞化）
&lt;span class="spacer"&gt;&lt;/span&gt;この語の核は「知られているもの」。ここから頭の中にある「考え, 概念」という意味になる。&lt;/span&gt;</v>
      </c>
      <c r="U102" s="14" t="str">
        <f>INDEX($L:$L, MATCH("noble", $B:$B, 0))</f>
        <v>&lt;span class="w"&gt;&lt;b&gt;【1184.noble：高貴な, 高潔な, 気高い】&lt;/b&gt;&lt;/span&gt;
&lt;span class="ml"&gt;ラテン語に由来する語で、以下の2つの要素から成る。
&lt;span class="spacer"&gt;&lt;/span&gt;gnoscere（知る）
bilis（できる）
&lt;span class="spacer"&gt;&lt;/span&gt;この語の核は「皆によく知られている＝知名度が高い」。当時の社会で、世間によく知られているということは身分が高い家、つまり貴族ということになる。そこから「高貴な」という意味になった。
&lt;span class="spacer"&gt;&lt;/span&gt;また高貴な人々にふさわしいとされる道徳心や立派な振る舞いから「高潔な, 気高い」という意味にもなった。
&lt;div class="sample_image noble"&gt;&lt;/div&gt;&lt;/span&gt;</v>
      </c>
      <c r="V102" s="14" t="str">
        <f>INDEX($L:$L, MATCH("ignore", $B:$B, 0))</f>
        <v>&lt;span class="w"&gt;&lt;b&gt;【224.ignore：～を無視する】&lt;/b&gt;&lt;/span&gt;
&lt;span class="ml"&gt;ラテン語に由来する語で、以下の2つの要素から成る。
&lt;span class="spacer"&gt;&lt;/span&gt;in（否定）
gnarus（知っている）
&lt;span class="spacer"&gt;&lt;/span&gt;このまま日本語にすると「知らない」となる。気に留めることなく知らないふりをすることから、「無視する」という意味になった。
&lt;span class="spacer"&gt;&lt;/span&gt;形容詞ignorant（無知な）,や名詞ignorance（無知）もセットで覚えておく。&lt;/span&gt;</v>
      </c>
      <c r="W102" s="14" t="str">
        <f>INDEX($L:$L, MATCH("cognitive", $B:$B, 0))</f>
        <v>&lt;span class="w"&gt;&lt;b&gt;【279.cognitive：認知の】&lt;/b&gt;&lt;/span&gt;
&lt;span class="ml"&gt;ラテン語に由来する語で、以下の2つの要素から成る。
&lt;span class="spacer"&gt;&lt;/span&gt;com（共に）
gnoscere（知る）
&lt;span class="obsolete"&gt;ive（形容詞化）は英語段階で付いた&lt;/span&gt;
&lt;span class="spacer"&gt;&lt;/span&gt;このまま日本語にすると「共に知る」となる。互いに認知することから「認知の」という意味になる。&lt;/span&gt;</v>
      </c>
      <c r="X102" s="14" t="str">
        <f>INDEX($L:$L, MATCH("recognize", $B:$B, 0))</f>
        <v>&lt;span class="w"&gt;&lt;b&gt;【106.recognize：～を認識する, ～を識別する】&lt;/b&gt;&lt;/span&gt;
&lt;span class="ml"&gt;ラテン語に由来する語で、以下の3つの要素から成る。
&lt;span class="spacer"&gt;&lt;/span&gt;re（再び）
com（強意）
gnoscere（知る）
&lt;span class="spacer"&gt;&lt;/span&gt;このまま日本語にすると「再びしっかり知る」となる。目の前の情報Aを既にある知識と照らし合わせ、情報Aは知識の中の情報Bと同一であると再び知る。つまり、情報Aは情報Bであると「識別する, 認識する」という意味になる。
&lt;div class="sample_image recognize"&gt;&lt;/div&gt;&lt;/span&gt;</v>
      </c>
      <c r="Y102" s="14" t="str">
        <f>INDEX($L:$L, MATCH("diagnose", $B:$B, 0))</f>
        <v>&lt;span class="w"&gt;&lt;b&gt;【1419.diagnose：診断する】&lt;/b&gt;&lt;/span&gt;
&lt;span class="ml"&gt;ギリシャ語に由来する語で、以下の2つの要素から成る。
&lt;span class="spacer"&gt;&lt;/span&gt;dia（間に）
gignōskein（学ぶ, 知るようになる）
&lt;span class="spacer"&gt;&lt;/span&gt;もともとは、様々な物事の間にある差異を知り、それぞれを区別する、識別することを表した。そこから医学において、症状を見分けて病名を特定することを意味するようになり、「診断する」という意味になった。
&lt;div class="sample_image diagnose"&gt;&lt;/div&gt;
&lt;span class="spacer"&gt;&lt;/span&gt;さらに現代では、医学に限らず、機械や技術、ビジネス、教育など様々な分野において「問題分析をする」という意味でも使われる。&lt;/span&gt;</v>
      </c>
      <c r="Z102" s="13" t="str">
        <f>INDEX($L:$L, MATCH("acquaintance", $B:$B, 0))</f>
        <v>&lt;span class="w"&gt;&lt;b&gt;【1257.acquaintance：知人, 面識, 知識】&lt;/b&gt;&lt;/span&gt;
&lt;span class="ml"&gt;ラテン語に由来する語で、以下の4つの要素から成る。
&lt;span class="spacer"&gt;&lt;/span&gt;ad（〜へ）
com（完全に）
gnoscere（知る）
&lt;span class="obsolete"&gt;ance（名詞化）はフランス語段階で付いた&lt;/span&gt;
&lt;span class="spacer"&gt;&lt;/span&gt;この語の核は「何かをしっかり知っていること」。そこから、ある分野に通じているという意味での「知識」や、相手と初対面ではなくて顔を見て知っているという「面識」、そして面識がある人、すなわち「知人」などの意味になる。
&lt;span class="spacer"&gt;&lt;/span&gt;acquaintanceというスペルはもとのラテン語から大きく変わってしまったが、印欧祖語*gno-（知る）そしてラテン語gnoscere（知る）から生まれた語。&lt;/span&gt;</v>
      </c>
      <c r="AV102" s="1" t="s">
        <v>1502</v>
      </c>
      <c r="BG102" s="7" t="s">
        <v>1503</v>
      </c>
      <c r="BH102" s="1" t="s">
        <v>2254</v>
      </c>
      <c r="BI102" s="1" t="s">
        <v>2284</v>
      </c>
      <c r="BJ102" s="1" t="s">
        <v>1947</v>
      </c>
      <c r="BK102" s="2" t="s">
        <v>2285</v>
      </c>
      <c r="BL102" s="1" t="s">
        <v>1504</v>
      </c>
      <c r="BM102" s="2" t="s">
        <v>2286</v>
      </c>
      <c r="BN102" s="1" t="s">
        <v>1877</v>
      </c>
      <c r="BO102" s="2" t="s">
        <v>2483</v>
      </c>
    </row>
    <row r="103" spans="1:69" ht="409.6" x14ac:dyDescent="0.45">
      <c r="A103" s="5">
        <v>102</v>
      </c>
      <c r="B103" s="8" t="s">
        <v>1304</v>
      </c>
      <c r="C103" s="6" t="s">
        <v>1816</v>
      </c>
      <c r="D103" s="7" t="s">
        <v>9752</v>
      </c>
      <c r="E103" s="1" t="s">
        <v>1251</v>
      </c>
      <c r="F103" s="1" t="s">
        <v>1250</v>
      </c>
      <c r="G103" s="1"/>
      <c r="J103" s="1" t="s">
        <v>9753</v>
      </c>
      <c r="K103" s="2" t="s">
        <v>7265</v>
      </c>
      <c r="L103" s="3" t="s">
        <v>10030</v>
      </c>
      <c r="M103" s="1" t="s">
        <v>12115</v>
      </c>
      <c r="P103" s="7" t="s">
        <v>1241</v>
      </c>
      <c r="Q103" s="14" t="str">
        <f>INDEX($L:$L, MATCH("offer", $B:$B, 0))</f>
        <v>&lt;span class="w"&gt;&lt;b&gt;【12.offer：～を提供する, ～を申し出る】&lt;/b&gt;&lt;/span&gt;
&lt;span class="ml"&gt;ラテン語に由来する語で、以下の2つの要素から成る。
&lt;span class="spacer"&gt;&lt;/span&gt;ob（～に対して）
ferre（運ぶ）
&lt;span class="spacer"&gt;&lt;/span&gt;このまま日本語にすると「～に対して運ぶ」となる。何かを相手に対して運ぶイメージから「提供する, 申し出る」という意味になる。&lt;/span&gt;</v>
      </c>
      <c r="R103" s="14" t="str">
        <f>INDEX($L:$L, MATCH("prefer", $B:$B, 0))</f>
        <v>&lt;span class="w"&gt;&lt;b&gt;【123.prefer：～を好む】&lt;/b&gt;&lt;/span&gt;
&lt;span class="ml"&gt;ラテン語に由来する語で、以下の2つの要素から成る。
&lt;span class="spacer"&gt;&lt;/span&gt;prae（前に, 先に）
ferre（運ぶ）
&lt;span class="spacer"&gt;&lt;/span&gt;このまま日本語にすると「前に運ぶ」となる。他のものよりも前に出すことから、他よりも高く評価する、他のよりも何かを「好む」という意味になる。
&lt;div class="sample_image prefer"&gt;&lt;/div&gt;
&lt;span class="spacer"&gt;&lt;/span&gt;prefer A to B（AよりBを好む）では、比較の対象をtoで示す。これは「前へ運ぶ」が、何に対して前なのかを示すため。つまり、Bに対して（to B）Aを前に運ぶ（好む）ことを表している。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v>
      </c>
      <c r="S103" s="14" t="str">
        <f>INDEX($L:$L, MATCH("suffer", $B:$B, 0))</f>
        <v>&lt;span class="w"&gt;&lt;b&gt;【138.suffer：苦しむ, 患う】&lt;/b&gt;&lt;/span&gt;
&lt;span class="ml"&gt;ラテン語に由来する語で、以下の2つの要素から成る。
&lt;span class="spacer"&gt;&lt;/span&gt;sub（下に）
ferre（運ぶ）
&lt;span class="spacer"&gt;&lt;/span&gt;このまま日本語にすると「下に運ぶ」となる。もともとは、物理的に重いものがのしかかることを表したが、そこからその苦しみの表現へ発展し、苦痛を受けて「苦しむ」や病気を「患う」という意味になった。
&lt;div class="sample_image suffer"&gt;&lt;/div&gt;&lt;/span&gt;</v>
      </c>
      <c r="T103" s="14" t="str">
        <f>INDEX($L:$L, MATCH("differ", $B:$B, 0))</f>
        <v>&lt;span class="w"&gt;&lt;b&gt;【514.differ：異なる】&lt;/b&gt;&lt;/span&gt;
&lt;span class="ml"&gt;ラテン語に由来する語で、以下の2つの要素から成る。
&lt;span class="spacer"&gt;&lt;/span&gt;dis（離して）
ferre（運ぶ）
&lt;span class="spacer"&gt;&lt;/span&gt;このまま日本語にすると「離れて運ぶ」となる。もともとは別々の方向に運ぶというイメージ。そこから同じではない、つまり「異なる」という意味になる。&lt;/span&gt;</v>
      </c>
      <c r="U103" s="13" t="str">
        <f>INDEX($L:$L, MATCH("transfer", $B:$B, 0))</f>
        <v>&lt;span class="w"&gt;&lt;b&gt;【611.transfer：〜を移す, 乗り換える】&lt;/b&gt;&lt;/span&gt;
&lt;span class="ml"&gt;ラテン語に由来する語で、以下の2つの要素から成る。
&lt;span class="spacer"&gt;&lt;/span&gt;trans（越えて）
ferre（運ぶ）
&lt;span class="spacer"&gt;&lt;/span&gt;このまま日本語にすると「越えて運ぶ」となる。これは、ある場所から越えた向こう側へ運ぶイメージ。そこから、物や人を一つの状態・場所・手段から別の状態・場所・手段に「移す」という意味になる。
&lt;div class="sample_image transfer"&gt;&lt;/div&gt;&lt;/span&gt;</v>
      </c>
      <c r="V103" s="13" t="str">
        <f>INDEX($L:$L, MATCH("infer", $B:$B, 0))</f>
        <v>&lt;span class="w"&gt;&lt;b&gt;【1201.infer：〜を推論する, 推測する】&lt;/b&gt;&lt;/span&gt;
&lt;span class="ml"&gt;ラテン語に由来する語で、以下の2つの要素から成る。
&lt;span class="spacer"&gt;&lt;/span&gt;in（中に）
ferre（運ぶ）
&lt;span class="spacer"&gt;&lt;/span&gt;このまま日本語にすると「中に運ぶ」となる。既にある事柄を思考の中に持ち込んで結論を出すことから、既知の情報をもとに「推論する, 推測する」という意味になる。
&lt;div class="sample_image infer"&gt;&lt;/div&gt;&lt;/span&gt;</v>
      </c>
      <c r="W103" s="13" t="str">
        <f>INDEX($L:$L, MATCH("conference", $B:$B, 0))</f>
        <v>&lt;span class="w"&gt;&lt;b&gt;【461.conference：会議, 協議】&lt;/b&gt;&lt;/span&gt;
&lt;span class="ml"&gt;ラテン語に由来する語で、以下の2つの要素から成る。
&lt;span class="spacer"&gt;&lt;/span&gt;com（共に）
ferre（運ぶ）
&lt;span class="spacer"&gt;&lt;/span&gt;このまま日本語にすると「共に運ぶ」となる。これは、人々が意見や話題を持ち寄って集まるというイメージ。そこから、意見や問題を持ち寄って話し合う「会議, 協議」という意味になる。
&lt;div class="sample_image conference"&gt;&lt;/div&gt;&lt;/span&gt;</v>
      </c>
      <c r="X103" s="14" t="str">
        <f>INDEX($L:$L, MATCH("indifferent", $B:$B, 0))</f>
        <v>&lt;span class="w"&gt;&lt;b&gt;【1091.indifferent：無関心な, どちらでもいい】&lt;/b&gt;&lt;/span&gt;
&lt;span class="ml"&gt;ラテン語に由来する語で、以下の3つの要素から成る。
&lt;span class="spacer"&gt;&lt;/span&gt;in（否定）
dis（離れて）
ferre（運ぶ）
&lt;span class="spacer"&gt;&lt;/span&gt;different（異なる）に否定のinが付いたと考えればよい。興味を引くような違いがない、違いがあったとしても気にしないというイメージから「無関心な, どちらでもいい」という意味になる。&lt;/span&gt;</v>
      </c>
      <c r="AU103" s="15"/>
      <c r="AV103" s="1" t="s">
        <v>1502</v>
      </c>
      <c r="BG103" s="7" t="s">
        <v>1503</v>
      </c>
      <c r="BH103" s="1" t="s">
        <v>1947</v>
      </c>
      <c r="BI103" s="2" t="s">
        <v>7266</v>
      </c>
      <c r="BJ103" s="1" t="s">
        <v>1504</v>
      </c>
      <c r="BK103" s="2" t="s">
        <v>7267</v>
      </c>
      <c r="BL103" s="1" t="s">
        <v>2044</v>
      </c>
      <c r="BM103" s="2" t="s">
        <v>7268</v>
      </c>
      <c r="BN103" s="1" t="s">
        <v>1877</v>
      </c>
      <c r="BO103" s="2" t="s">
        <v>2287</v>
      </c>
    </row>
    <row r="104" spans="1:69" ht="108" x14ac:dyDescent="0.45">
      <c r="A104" s="5">
        <v>103</v>
      </c>
      <c r="B104" s="8" t="s">
        <v>1305</v>
      </c>
      <c r="C104" s="6" t="s">
        <v>1816</v>
      </c>
      <c r="D104" s="7" t="s">
        <v>9752</v>
      </c>
      <c r="E104" s="1" t="s">
        <v>1329</v>
      </c>
      <c r="F104" s="1" t="s">
        <v>8876</v>
      </c>
      <c r="G104" s="1"/>
      <c r="J104" s="1" t="s">
        <v>9753</v>
      </c>
      <c r="K104" s="2" t="s">
        <v>7269</v>
      </c>
      <c r="L104" s="9" t="s">
        <v>8033</v>
      </c>
      <c r="P104" s="7" t="s">
        <v>1241</v>
      </c>
      <c r="AU104" s="15"/>
      <c r="AV104" s="1" t="s">
        <v>1502</v>
      </c>
      <c r="BG104" s="7" t="s">
        <v>1503</v>
      </c>
      <c r="BH104" s="1" t="s">
        <v>1947</v>
      </c>
      <c r="BI104" s="2" t="s">
        <v>7270</v>
      </c>
      <c r="BJ104" s="1" t="s">
        <v>2147</v>
      </c>
      <c r="BK104" s="2" t="s">
        <v>2288</v>
      </c>
      <c r="BL104" s="1" t="s">
        <v>1504</v>
      </c>
      <c r="BM104" s="2" t="s">
        <v>2289</v>
      </c>
      <c r="BN104" s="1" t="s">
        <v>2114</v>
      </c>
      <c r="BO104" s="1" t="s">
        <v>2290</v>
      </c>
      <c r="BP104" s="1" t="s">
        <v>2044</v>
      </c>
      <c r="BQ104" s="2" t="s">
        <v>2291</v>
      </c>
    </row>
    <row r="105" spans="1:69" ht="54" x14ac:dyDescent="0.45">
      <c r="A105" s="5">
        <v>104</v>
      </c>
      <c r="B105" s="8" t="s">
        <v>1306</v>
      </c>
      <c r="C105" s="6" t="s">
        <v>1816</v>
      </c>
      <c r="D105" s="7" t="s">
        <v>9752</v>
      </c>
      <c r="E105" s="1" t="s">
        <v>1128</v>
      </c>
      <c r="F105" s="1"/>
      <c r="G105" s="1"/>
      <c r="J105" s="1" t="s">
        <v>9753</v>
      </c>
      <c r="K105" s="2" t="s">
        <v>7271</v>
      </c>
      <c r="L105" s="9" t="s">
        <v>8034</v>
      </c>
      <c r="P105" s="7" t="s">
        <v>1241</v>
      </c>
      <c r="AV105" s="1" t="s">
        <v>1502</v>
      </c>
      <c r="BG105" s="7" t="s">
        <v>1503</v>
      </c>
      <c r="BH105" s="1" t="s">
        <v>2129</v>
      </c>
      <c r="BI105" s="1" t="s">
        <v>2292</v>
      </c>
      <c r="BJ105" s="1" t="s">
        <v>2044</v>
      </c>
      <c r="BK105" s="2" t="s">
        <v>2293</v>
      </c>
    </row>
    <row r="106" spans="1:69" ht="162" x14ac:dyDescent="0.45">
      <c r="A106" s="5">
        <v>105</v>
      </c>
      <c r="B106" s="8" t="s">
        <v>1307</v>
      </c>
      <c r="C106" s="6" t="s">
        <v>1816</v>
      </c>
      <c r="D106" s="7" t="s">
        <v>9752</v>
      </c>
      <c r="E106" s="1" t="s">
        <v>8877</v>
      </c>
      <c r="F106" s="1"/>
      <c r="G106" s="1"/>
      <c r="J106" s="1" t="s">
        <v>9753</v>
      </c>
      <c r="K106" s="2" t="s">
        <v>7272</v>
      </c>
      <c r="L106" s="4" t="s">
        <v>8035</v>
      </c>
      <c r="P106" s="7" t="s">
        <v>1241</v>
      </c>
      <c r="Q106" s="22" t="str">
        <f>INDEX($L:$L, MATCH("image", $B:$B, 0))</f>
        <v>&lt;span class="w"&gt;&lt;b&gt;【152.image：印象, イメージ】&lt;/b&gt;&lt;/span&gt;
&lt;span class="ml"&gt;ラテン語imitari（写す, 模倣する）から派生したimago（写し, 像, 観念）に由来する。
&lt;span class="spacer"&gt;&lt;/span&gt;現実の写しや心に浮かぶ像から「印象, イメージ」という意味になる。&lt;/span&gt;</v>
      </c>
      <c r="R106" s="22" t="str">
        <f>INDEX($L:$L, MATCH("imitate", $B:$B, 0))</f>
        <v>&lt;span class="w"&gt;&lt;b&gt;【729.imitate：〜をまねる】&lt;/b&gt;&lt;/span&gt;
&lt;span class="ml"&gt;印相祖語*aim-（コピーする）に由来する。
&lt;span class="spacer"&gt;&lt;/span&gt;この印欧祖語からはimage（イメージ）やimagine（想像する）も生まれている。imageが現実を頭の中でマネしたものだと考えれば、imitate「まねをする」という意味も納得できる。
&lt;div class="sample_image imitate"&gt;&lt;/div&gt;&lt;/span&gt;</v>
      </c>
      <c r="AU106" s="15"/>
      <c r="AV106" s="1" t="s">
        <v>1502</v>
      </c>
      <c r="BG106" s="7" t="s">
        <v>1503</v>
      </c>
      <c r="BH106" s="1" t="s">
        <v>1947</v>
      </c>
      <c r="BI106" s="2" t="s">
        <v>7273</v>
      </c>
      <c r="BJ106" s="1" t="s">
        <v>2147</v>
      </c>
      <c r="BK106" s="2" t="s">
        <v>2294</v>
      </c>
      <c r="BL106" s="1" t="s">
        <v>1504</v>
      </c>
      <c r="BM106" s="2" t="s">
        <v>2295</v>
      </c>
      <c r="BN106" s="1" t="s">
        <v>2044</v>
      </c>
      <c r="BO106" s="2" t="s">
        <v>2296</v>
      </c>
    </row>
    <row r="107" spans="1:69" ht="252" x14ac:dyDescent="0.45">
      <c r="A107" s="5">
        <v>106</v>
      </c>
      <c r="B107" s="8" t="s">
        <v>1518</v>
      </c>
      <c r="C107" s="6" t="s">
        <v>1816</v>
      </c>
      <c r="D107" s="7" t="s">
        <v>9752</v>
      </c>
      <c r="E107" s="1" t="s">
        <v>1251</v>
      </c>
      <c r="F107" s="1" t="s">
        <v>6920</v>
      </c>
      <c r="G107" s="1" t="s">
        <v>5676</v>
      </c>
      <c r="H107" s="1" t="s">
        <v>1519</v>
      </c>
      <c r="J107" s="1" t="s">
        <v>9753</v>
      </c>
      <c r="K107" s="2" t="s">
        <v>7274</v>
      </c>
      <c r="L107" s="3" t="s">
        <v>8036</v>
      </c>
      <c r="M107" s="1" t="s">
        <v>12136</v>
      </c>
      <c r="P107" s="7" t="s">
        <v>1241</v>
      </c>
      <c r="Q107" s="14" t="str">
        <f>INDEX($L:$L, MATCH("knowledge", $B:$B, 0))</f>
        <v>&lt;span class="w"&gt;&lt;b&gt;【58.knowledge：知識, 認識】&lt;/b&gt;&lt;/span&gt;
&lt;span class="ml"&gt;knowledgeは「knowの名詞」と覚えればよい。
&lt;span class="spacer"&gt;&lt;/span&gt;知っているという動詞から知っていること＝「知識, 認識」という名詞になる。&lt;/span&gt;</v>
      </c>
      <c r="R107" s="14" t="str">
        <f>INDEX($L:$L, MATCH("acknowledge", $B:$B, 0))</f>
        <v>&lt;span class="w"&gt;&lt;b&gt;【717.acknowledge：〜を認める】&lt;/b&gt;&lt;/span&gt;
&lt;span class="ml"&gt;以下の中英語の2語がひとつになってできた語。
&lt;span class="spacer"&gt;&lt;/span&gt;aknowen（知っていることを認める）
knowlechen（認める）
&lt;span class="spacer"&gt;&lt;/span&gt;この語は、対象を示すac（〜に）とknow（知っている）が合わさったと考えればよい。「何かに対して知っていると認める」というイメージで覚える。&lt;/span&gt;</v>
      </c>
      <c r="S107" s="14" t="str">
        <f>INDEX($L:$L, MATCH("unknown", $B:$B, 0))</f>
        <v>&lt;span class="w"&gt;&lt;b&gt;【492.unknown：不明の, 知られていない】&lt;/b&gt;&lt;/span&gt;
&lt;span class="ml"&gt;中英語にさかのぼり、以下の2つの要素から成る。
&lt;span class="spacer"&gt;&lt;/span&gt;un（否定）
knowの過去分詞known
&lt;span class="spacer"&gt;&lt;/span&gt;このまま「知られていない」という意味になる。&lt;/span&gt;</v>
      </c>
      <c r="T107" s="14" t="str">
        <f>INDEX($L:$L, MATCH("notice", $B:$B, 0))</f>
        <v>&lt;span class="w"&gt;&lt;b&gt;【101.notice：（動）～に気づく, （名）通知】&lt;/b&gt;&lt;/span&gt;
&lt;span class="ml"&gt;印欧祖語*gno-（知る）から生まれたラテン語(g)nōscere（知るようになる, 認識する）
&lt;span class="spacer"&gt;&lt;/span&gt;「知るようになる」から知られるきっかけである「通知, 知らせ」という名詞になる。そして知らせによって何かを認識するので、「気づく」という動詞になる。&lt;/span&gt;</v>
      </c>
      <c r="U107" s="14" t="str">
        <f>INDEX($L:$L, MATCH("notion", $B:$B, 0))</f>
        <v>&lt;span class="w"&gt;&lt;b&gt;【453.notion：概念, 考え】&lt;/b&gt;&lt;/span&gt;
&lt;span class="ml"&gt;ラテン語に由来する語で、以下の2つの要素から成る。
&lt;span class="spacer"&gt;&lt;/span&gt;noscere（知る）
io（名詞化）
&lt;span class="spacer"&gt;&lt;/span&gt;この語の核は「知られているもの」。ここから頭の中にある「考え, 概念」という意味になる。&lt;/span&gt;</v>
      </c>
      <c r="V107" s="14" t="str">
        <f>INDEX($L:$L, MATCH("noble", $B:$B, 0))</f>
        <v>&lt;span class="w"&gt;&lt;b&gt;【1184.noble：高貴な, 高潔な, 気高い】&lt;/b&gt;&lt;/span&gt;
&lt;span class="ml"&gt;ラテン語に由来する語で、以下の2つの要素から成る。
&lt;span class="spacer"&gt;&lt;/span&gt;gnoscere（知る）
bilis（できる）
&lt;span class="spacer"&gt;&lt;/span&gt;この語の核は「皆によく知られている＝知名度が高い」。当時の社会で、世間によく知られているということは身分が高い家、つまり貴族ということになる。そこから「高貴な」という意味になった。
&lt;span class="spacer"&gt;&lt;/span&gt;また高貴な人々にふさわしいとされる道徳心や立派な振る舞いから「高潔な, 気高い」という意味にもなった。
&lt;div class="sample_image noble"&gt;&lt;/div&gt;&lt;/span&gt;</v>
      </c>
      <c r="W107" s="13" t="str">
        <f>INDEX($L:$L, MATCH("ignore", $B:$B, 0))</f>
        <v>&lt;span class="w"&gt;&lt;b&gt;【224.ignore：～を無視する】&lt;/b&gt;&lt;/span&gt;
&lt;span class="ml"&gt;ラテン語に由来する語で、以下の2つの要素から成る。
&lt;span class="spacer"&gt;&lt;/span&gt;in（否定）
gnarus（知っている）
&lt;span class="spacer"&gt;&lt;/span&gt;このまま日本語にすると「知らない」となる。気に留めることなく知らないふりをすることから、「無視する」という意味になった。
&lt;span class="spacer"&gt;&lt;/span&gt;形容詞ignorant（無知な）,や名詞ignorance（無知）もセットで覚えておく。&lt;/span&gt;</v>
      </c>
      <c r="X107" s="13" t="str">
        <f>INDEX($L:$L, MATCH("cognitive", $B:$B, 0))</f>
        <v>&lt;span class="w"&gt;&lt;b&gt;【279.cognitive：認知の】&lt;/b&gt;&lt;/span&gt;
&lt;span class="ml"&gt;ラテン語に由来する語で、以下の2つの要素から成る。
&lt;span class="spacer"&gt;&lt;/span&gt;com（共に）
gnoscere（知る）
&lt;span class="obsolete"&gt;ive（形容詞化）は英語段階で付いた&lt;/span&gt;
&lt;span class="spacer"&gt;&lt;/span&gt;このまま日本語にすると「共に知る」となる。互いに認知することから「認知の」という意味になる。&lt;/span&gt;</v>
      </c>
      <c r="Y107" s="13" t="str">
        <f>INDEX($L:$L, MATCH("diagnose", $B:$B, 0))</f>
        <v>&lt;span class="w"&gt;&lt;b&gt;【1419.diagnose：診断する】&lt;/b&gt;&lt;/span&gt;
&lt;span class="ml"&gt;ギリシャ語に由来する語で、以下の2つの要素から成る。
&lt;span class="spacer"&gt;&lt;/span&gt;dia（間に）
gignōskein（学ぶ, 知るようになる）
&lt;span class="spacer"&gt;&lt;/span&gt;もともとは、様々な物事の間にある差異を知り、それぞれを区別する、識別することを表した。そこから医学において、症状を見分けて病名を特定することを意味するようになり、「診断する」という意味になった。
&lt;div class="sample_image diagnose"&gt;&lt;/div&gt;
&lt;span class="spacer"&gt;&lt;/span&gt;さらに現代では、医学に限らず、機械や技術、ビジネス、教育など様々な分野において「問題分析をする」という意味でも使われる。&lt;/span&gt;</v>
      </c>
      <c r="Z107" s="13" t="str">
        <f>INDEX($L:$L, MATCH("acquaintance", $B:$B, 0))</f>
        <v>&lt;span class="w"&gt;&lt;b&gt;【1257.acquaintance：知人, 面識, 知識】&lt;/b&gt;&lt;/span&gt;
&lt;span class="ml"&gt;ラテン語に由来する語で、以下の4つの要素から成る。
&lt;span class="spacer"&gt;&lt;/span&gt;ad（〜へ）
com（完全に）
gnoscere（知る）
&lt;span class="obsolete"&gt;ance（名詞化）はフランス語段階で付いた&lt;/span&gt;
&lt;span class="spacer"&gt;&lt;/span&gt;この語の核は「何かをしっかり知っていること」。そこから、ある分野に通じているという意味での「知識」や、相手と初対面ではなくて顔を見て知っているという「面識」、そして面識がある人、すなわち「知人」などの意味になる。
&lt;span class="spacer"&gt;&lt;/span&gt;acquaintanceというスペルはもとのラテン語から大きく変わってしまったが、印欧祖語*gno-（知る）そしてラテン語gnoscere（知る）から生まれた語。&lt;/span&gt;</v>
      </c>
      <c r="AV107" s="1" t="s">
        <v>1502</v>
      </c>
      <c r="BG107" s="7" t="s">
        <v>1503</v>
      </c>
      <c r="BH107" s="1" t="s">
        <v>2254</v>
      </c>
      <c r="BI107" s="1" t="s">
        <v>2284</v>
      </c>
      <c r="BJ107" s="1" t="s">
        <v>1947</v>
      </c>
      <c r="BK107" s="2" t="s">
        <v>7275</v>
      </c>
      <c r="BL107" s="1" t="s">
        <v>1504</v>
      </c>
      <c r="BM107" s="2" t="s">
        <v>2297</v>
      </c>
      <c r="BN107" s="1" t="s">
        <v>2044</v>
      </c>
      <c r="BO107" s="2" t="s">
        <v>2298</v>
      </c>
    </row>
    <row r="108" spans="1:69" ht="162" x14ac:dyDescent="0.45">
      <c r="A108" s="5">
        <v>107</v>
      </c>
      <c r="B108" s="8" t="s">
        <v>1309</v>
      </c>
      <c r="C108" s="6" t="s">
        <v>1816</v>
      </c>
      <c r="D108" s="7" t="s">
        <v>9752</v>
      </c>
      <c r="E108" s="1" t="s">
        <v>4648</v>
      </c>
      <c r="F108" s="1"/>
      <c r="G108" s="1"/>
      <c r="J108" s="1" t="s">
        <v>9753</v>
      </c>
      <c r="K108" s="2" t="s">
        <v>7276</v>
      </c>
      <c r="L108" s="3" t="s">
        <v>8037</v>
      </c>
      <c r="M108" s="1" t="s">
        <v>12149</v>
      </c>
      <c r="P108" s="7" t="s">
        <v>1241</v>
      </c>
      <c r="Q108" s="14" t="str">
        <f>INDEX($L:$L, MATCH("resolve", $B:$B, 0))</f>
        <v>&lt;span class="w"&gt;&lt;b&gt;【828.resolve：〜を解決する, 〜を決意する, 〜を議決する】&lt;/b&gt;&lt;/span&gt;
&lt;span class="ml"&gt;ラテン語に由来する語で、以下の2つの要素から成る。
&lt;span class="spacer"&gt;&lt;/span&gt;re（強意）
solvere（緩める, ほどく）
&lt;span class="spacer"&gt;&lt;/span&gt;この語の核は「複雑に絡まったものを緩めて完全にほどく」。さまざまな考えや感情が渦巻く状態からスッキリした状態にして「決意する, 決議する」という意味になる。また、複雑になった物事を解きほぐすことから「解決する」という意味になる。&lt;/span&gt;</v>
      </c>
      <c r="R108" s="13" t="str">
        <f>INDEX($L:$L, MATCH("absolute", $B:$B, 0))</f>
        <v>&lt;span class="w"&gt;&lt;b&gt;【688.absolute：絶対的な】&lt;/b&gt;&lt;/span&gt;
&lt;span class="ml"&gt;ラテン語に由来する語で、以下の2つの要素から成る。
&lt;span class="spacer"&gt;&lt;/span&gt;ab（離れて）
solvere（緩める, ほどく, 解放する）
&lt;span class="spacer"&gt;&lt;/span&gt;このまま日本語にすると「ほどいて離す」となる。他のものから分離していることから、他のものとの関係がなく（相対ではなく）「絶対的な」という意味になる。
&lt;div class="sample_image absolute"&gt;&lt;/div&gt;&lt;/span&gt;</v>
      </c>
      <c r="AU108" s="15"/>
      <c r="AV108" s="1" t="s">
        <v>1502</v>
      </c>
      <c r="BG108" s="7" t="s">
        <v>1503</v>
      </c>
      <c r="BH108" s="1" t="s">
        <v>1947</v>
      </c>
      <c r="BI108" s="2" t="s">
        <v>2299</v>
      </c>
      <c r="BJ108" s="1" t="s">
        <v>2044</v>
      </c>
      <c r="BK108" s="2" t="s">
        <v>2300</v>
      </c>
      <c r="BL108" s="1" t="s">
        <v>1877</v>
      </c>
      <c r="BM108" s="2" t="s">
        <v>2301</v>
      </c>
    </row>
    <row r="109" spans="1:69" ht="234" x14ac:dyDescent="0.45">
      <c r="A109" s="5">
        <v>108</v>
      </c>
      <c r="B109" s="8" t="s">
        <v>1310</v>
      </c>
      <c r="C109" s="6" t="s">
        <v>1816</v>
      </c>
      <c r="D109" s="7" t="s">
        <v>9752</v>
      </c>
      <c r="E109" s="1" t="s">
        <v>1665</v>
      </c>
      <c r="F109" s="1" t="s">
        <v>8878</v>
      </c>
      <c r="G109" s="1"/>
      <c r="J109" s="1" t="s">
        <v>9753</v>
      </c>
      <c r="K109" s="2" t="s">
        <v>7277</v>
      </c>
      <c r="L109" s="3" t="s">
        <v>8038</v>
      </c>
      <c r="M109" s="1" t="s">
        <v>12150</v>
      </c>
      <c r="P109" s="7" t="s">
        <v>1241</v>
      </c>
      <c r="Q109" s="14" t="str">
        <f>INDEX($L:$L, MATCH("current", $B:$B, 0))</f>
        <v>&lt;span class="w"&gt;&lt;b&gt;【182.current：現在の, 現代の, 流通している】&lt;/b&gt;&lt;/span&gt;
&lt;span class="ml"&gt;ラテン語currere（走る）に由来する。
&lt;span class="spacer"&gt;&lt;/span&gt;「走る」という語は人や物が動いているというイメージになり、「流通している」という意味になる。
&lt;span class="spacer"&gt;&lt;/span&gt;また動いているのはまさにいま現在なので「現在の, 現代の」という意味になる。&lt;/span&gt;</v>
      </c>
      <c r="R109" s="13" t="str">
        <f>INDEX($L:$L, MATCH("curriculum", $B:$B, 0))</f>
        <v>&lt;span class="w"&gt;&lt;b&gt;【878.curriculum：カリキュラム, 教育課程】&lt;/b&gt;&lt;/span&gt;
&lt;span class="ml"&gt;ラテン語に由来する語で、以下の2つの要素から成る。
&lt;span class="spacer"&gt;&lt;/span&gt;currere（走る）
culum（名詞化：場所・道具を表す）
&lt;span class="spacer"&gt;&lt;/span&gt;このまま日本語にすると「走るための場所」となる。もともとは実際に走るコースを表していたが、そこから教育において進んでいくコース＝「教育課程, カリキュラム」という意味になった。
&lt;div class="sample_image curriculum"&gt;&lt;/div&gt;&lt;/span&gt;</v>
      </c>
      <c r="S109" s="13" t="str">
        <f>INDEX($L:$L, MATCH("charge", $B:$B, 0))</f>
        <v>&lt;span class="w"&gt;&lt;b&gt;【244.charge：料金, 責任, 管理, 世話, 告発】&lt;/b&gt;&lt;/span&gt;
&lt;span class="ml"&gt;ラテン語carrus（二輪の荷車）に由来する。&lt;span class="obsolete"&gt;このラテン語からはcar（車）やcarry（運ぶ）も生まれている。&lt;/span&gt;
&lt;span class="spacer"&gt;&lt;/span&gt;二輪の荷車に荷物を積むという対象に負担をかけるイメージから、次のような意味の広がりが見られる。
&lt;span class="spacer"&gt;&lt;/span&gt;①荷物を預かる側：「管理, 世話」
in charge of A（Aを管理して）
&lt;span class="spacer"&gt;&lt;/span&gt;②精神的負担：「責任」
&lt;span class="spacer"&gt;&lt;/span&gt;③金銭的な負担：支払うべき「料金」
&lt;span class="spacer"&gt;&lt;/span&gt;④法的な負担：罪状を課す＝「告発」
&lt;div class="sample_image charge"&gt;&lt;/div&gt;&lt;/span&gt;</v>
      </c>
      <c r="AU109" s="15"/>
      <c r="AV109" s="1" t="s">
        <v>1502</v>
      </c>
      <c r="BG109" s="7" t="s">
        <v>1503</v>
      </c>
      <c r="BH109" s="1" t="s">
        <v>1947</v>
      </c>
      <c r="BI109" s="2" t="s">
        <v>2302</v>
      </c>
      <c r="BJ109" s="1" t="s">
        <v>1504</v>
      </c>
      <c r="BK109" s="2" t="s">
        <v>2303</v>
      </c>
      <c r="BL109" s="1" t="s">
        <v>1877</v>
      </c>
      <c r="BM109" s="2" t="s">
        <v>2304</v>
      </c>
    </row>
    <row r="110" spans="1:69" ht="144" x14ac:dyDescent="0.45">
      <c r="A110" s="5">
        <v>109</v>
      </c>
      <c r="B110" s="8" t="s">
        <v>1311</v>
      </c>
      <c r="C110" s="6" t="s">
        <v>1816</v>
      </c>
      <c r="D110" s="7" t="s">
        <v>9752</v>
      </c>
      <c r="E110" s="1" t="s">
        <v>8879</v>
      </c>
      <c r="F110" s="1"/>
      <c r="G110" s="1"/>
      <c r="J110" s="1" t="s">
        <v>9753</v>
      </c>
      <c r="K110" s="2" t="s">
        <v>7278</v>
      </c>
      <c r="L110" s="9" t="s">
        <v>8039</v>
      </c>
      <c r="P110" s="7" t="s">
        <v>1241</v>
      </c>
      <c r="AV110" s="1" t="s">
        <v>1502</v>
      </c>
      <c r="BG110" s="7" t="s">
        <v>1503</v>
      </c>
      <c r="BH110" s="1" t="s">
        <v>1976</v>
      </c>
      <c r="BI110" s="1" t="s">
        <v>7279</v>
      </c>
      <c r="BJ110" s="1" t="s">
        <v>1947</v>
      </c>
      <c r="BK110" s="2" t="s">
        <v>2305</v>
      </c>
      <c r="BL110" s="1" t="s">
        <v>1980</v>
      </c>
      <c r="BM110" s="1" t="s">
        <v>2306</v>
      </c>
      <c r="BN110" s="1" t="s">
        <v>1504</v>
      </c>
      <c r="BO110" s="2" t="s">
        <v>2307</v>
      </c>
      <c r="BP110" s="1" t="s">
        <v>2044</v>
      </c>
      <c r="BQ110" s="2" t="s">
        <v>2308</v>
      </c>
    </row>
    <row r="111" spans="1:69" ht="144" x14ac:dyDescent="0.45">
      <c r="A111" s="5">
        <v>110</v>
      </c>
      <c r="B111" s="8" t="s">
        <v>1312</v>
      </c>
      <c r="C111" s="6" t="s">
        <v>1816</v>
      </c>
      <c r="D111" s="7" t="s">
        <v>9752</v>
      </c>
      <c r="E111" s="1" t="s">
        <v>8880</v>
      </c>
      <c r="F111" s="1"/>
      <c r="G111" s="1"/>
      <c r="J111" s="1" t="s">
        <v>9753</v>
      </c>
      <c r="K111" s="2" t="s">
        <v>7280</v>
      </c>
      <c r="L111" s="9" t="s">
        <v>12094</v>
      </c>
      <c r="P111" s="7" t="s">
        <v>1241</v>
      </c>
      <c r="Q111" s="15"/>
      <c r="AU111" s="15"/>
      <c r="AV111" s="1" t="s">
        <v>1502</v>
      </c>
      <c r="BG111" s="7" t="s">
        <v>1503</v>
      </c>
      <c r="BH111" s="1" t="s">
        <v>1947</v>
      </c>
      <c r="BI111" s="2" t="s">
        <v>2309</v>
      </c>
      <c r="BJ111" s="1" t="s">
        <v>1504</v>
      </c>
      <c r="BK111" s="2" t="s">
        <v>2310</v>
      </c>
      <c r="BL111" s="1" t="s">
        <v>2044</v>
      </c>
      <c r="BM111" s="2" t="s">
        <v>2311</v>
      </c>
      <c r="BN111" s="1" t="s">
        <v>1865</v>
      </c>
      <c r="BO111" s="2" t="s">
        <v>2312</v>
      </c>
    </row>
    <row r="112" spans="1:69" ht="198" x14ac:dyDescent="0.45">
      <c r="A112" s="5">
        <v>111</v>
      </c>
      <c r="B112" s="8" t="s">
        <v>1558</v>
      </c>
      <c r="C112" s="6" t="s">
        <v>1816</v>
      </c>
      <c r="D112" s="7" t="s">
        <v>9752</v>
      </c>
      <c r="E112" s="1" t="s">
        <v>1413</v>
      </c>
      <c r="F112" s="1" t="s">
        <v>1751</v>
      </c>
      <c r="G112" s="1"/>
      <c r="J112" s="1" t="s">
        <v>9753</v>
      </c>
      <c r="K112" s="2" t="s">
        <v>7281</v>
      </c>
      <c r="L112" s="4" t="s">
        <v>8040</v>
      </c>
      <c r="M112" s="1" t="s">
        <v>12151</v>
      </c>
      <c r="P112" s="7" t="s">
        <v>1241</v>
      </c>
      <c r="Q112" s="14" t="str">
        <f>INDEX($L:$L, MATCH("impress", $B:$B, 0))</f>
        <v>&lt;span class="w"&gt;&lt;b&gt;【629.impress：〜を感動させる, 〜に印象を与える】&lt;/b&gt;&lt;/span&gt;
&lt;span class="ml"&gt;ラテン語に由来する語で、以下の2つの要素から成る。
&lt;span class="spacer"&gt;&lt;/span&gt;in（中に）
premere（押す, 圧する）
&lt;span class="spacer"&gt;&lt;/span&gt;このまま日本語にすると「中に押す」となる。物理的に何かに押し込むことから発展して、心や精神に刻み込む、つまり「印象付ける」という意味になった。また、心や精神に強い影響を与えることから「感動させる」という意味にもなった。
&lt;div class="sample_image impress"&gt;&lt;/div&gt;&lt;/span&gt;</v>
      </c>
      <c r="R112" s="14" t="str">
        <f>INDEX($L:$L, MATCH("suppress", $B:$B, 0))</f>
        <v>&lt;span class="w"&gt;&lt;b&gt;【1308.suppress：〜を抑える】&lt;/b&gt;&lt;/span&gt;
&lt;span class="ml"&gt;ラテン語に由来する語で、以下の2つの要素から成る。
&lt;span class="spacer"&gt;&lt;/span&gt;sub（下に）
premere（押す）
&lt;span class="spacer"&gt;&lt;/span&gt;物理的に下に押すという動作から、感情や情報、社会的な運動などを表面に出ないように「抑える」という意味になった。
&lt;div class="sample_image suppress"&gt;&lt;/div&gt;&lt;/span&gt;</v>
      </c>
      <c r="S112" s="14" t="str">
        <f>INDEX($L:$L, MATCH("depression", $B:$B, 0))</f>
        <v>&lt;span class="w"&gt;&lt;b&gt;【559.depression：憂うつ, 不況】&lt;/b&gt;&lt;/span&gt;
&lt;span class="ml"&gt;ラテン語に由来する語で、以下の3つの要素から成る。
&lt;span class="spacer"&gt;&lt;/span&gt;de（下に）
premere（押す, 圧する）
io（名詞化）
&lt;span class="spacer"&gt;&lt;/span&gt;このまま日本語にすると「下に押す」となる。これは、通常の状態から押し下げるというイメージ。気分を押し下げれば「憂うつ」、経済活動を押し下げれば「不況」という意味になる。&lt;/span&gt;</v>
      </c>
      <c r="T112" s="15"/>
      <c r="U112" s="15"/>
      <c r="V112" s="15"/>
      <c r="AU112" s="15"/>
      <c r="AV112" s="1" t="s">
        <v>1502</v>
      </c>
      <c r="BG112" s="7" t="s">
        <v>1503</v>
      </c>
      <c r="BH112" s="1" t="s">
        <v>1947</v>
      </c>
      <c r="BI112" s="2" t="s">
        <v>2313</v>
      </c>
      <c r="BJ112" s="1" t="s">
        <v>1980</v>
      </c>
      <c r="BK112" s="2" t="s">
        <v>2314</v>
      </c>
      <c r="BL112" s="1" t="s">
        <v>1504</v>
      </c>
      <c r="BM112" s="2" t="s">
        <v>2315</v>
      </c>
      <c r="BN112" s="1" t="s">
        <v>2044</v>
      </c>
      <c r="BO112" s="2" t="s">
        <v>2316</v>
      </c>
    </row>
    <row r="113" spans="1:71" ht="108" x14ac:dyDescent="0.45">
      <c r="A113" s="5">
        <v>112</v>
      </c>
      <c r="B113" s="8" t="s">
        <v>1129</v>
      </c>
      <c r="C113" s="6" t="s">
        <v>1816</v>
      </c>
      <c r="D113" s="7" t="s">
        <v>9752</v>
      </c>
      <c r="E113" s="1" t="s">
        <v>1129</v>
      </c>
      <c r="F113" s="1"/>
      <c r="G113" s="1"/>
      <c r="J113" s="1" t="s">
        <v>9753</v>
      </c>
      <c r="K113" s="2" t="s">
        <v>7282</v>
      </c>
      <c r="L113" s="9" t="s">
        <v>8041</v>
      </c>
      <c r="P113" s="7" t="s">
        <v>1241</v>
      </c>
      <c r="Q113" s="13" t="str">
        <f>INDEX($L:$L, MATCH("withdraw", $B:$B, 0))</f>
        <v>&lt;span class="w"&gt;&lt;b&gt;【1218.withdraw：〜を引き出す, 撤退する, 撤回する】&lt;/b&gt;&lt;/span&gt;
&lt;span class="ml"&gt;古英語にさかのぼり、以下の2つの要素から成る。
&lt;span class="spacer"&gt;&lt;/span&gt;with（離れて）
drawan（引く）
&lt;span class="spacer"&gt;&lt;/span&gt;この語は、いまでは使われなくなったwithの古い意味「離れて」を保持している。この語の核は「引いて離す」。そこから、口座からお金を「引き出す」や、言葉や申請などを「撤回する」、軍隊などが「撤退する」といった意味になる。&lt;/span&gt;</v>
      </c>
      <c r="R113" s="13" t="str">
        <f>INDEX($L:$L, MATCH("drag", $B:$B, 0))</f>
        <v>&lt;span class="w"&gt;&lt;b&gt;【1214.drag：〜を引きずる】&lt;/b&gt;&lt;/span&gt;
&lt;span class="ml"&gt;古英語dragan（引く）にさかのぼる。もともとは鉤縄や足、尻尾などを地面に擦り付けながら引っ張ることを表し、そこから何かを「引きずる」という意味になった。
&lt;span class="spacer"&gt;&lt;/span&gt;dragは、draw（引く, 線を引く）と同じ語源から生まれた語。drawがスッと引くイメージなのに対し、dragはズルズル引くイメージ。&lt;/span&gt;</v>
      </c>
      <c r="AV113" s="1" t="s">
        <v>1502</v>
      </c>
      <c r="BG113" s="7" t="s">
        <v>1503</v>
      </c>
      <c r="BH113" s="1" t="s">
        <v>1872</v>
      </c>
      <c r="BI113" s="1" t="s">
        <v>2317</v>
      </c>
      <c r="BJ113" s="1" t="s">
        <v>2044</v>
      </c>
      <c r="BK113" s="2" t="s">
        <v>2318</v>
      </c>
      <c r="BL113" s="1" t="s">
        <v>1865</v>
      </c>
      <c r="BM113" s="2" t="s">
        <v>2319</v>
      </c>
    </row>
    <row r="114" spans="1:71" ht="126" x14ac:dyDescent="0.45">
      <c r="A114" s="5">
        <v>113</v>
      </c>
      <c r="B114" s="8" t="s">
        <v>100</v>
      </c>
      <c r="C114" s="6" t="s">
        <v>1816</v>
      </c>
      <c r="D114" s="7" t="s">
        <v>9752</v>
      </c>
      <c r="E114" s="1" t="s">
        <v>100</v>
      </c>
      <c r="F114" s="1"/>
      <c r="G114" s="1"/>
      <c r="J114" s="1" t="s">
        <v>9753</v>
      </c>
      <c r="K114" s="2" t="s">
        <v>7283</v>
      </c>
      <c r="L114" s="4" t="s">
        <v>8042</v>
      </c>
      <c r="P114" s="7" t="s">
        <v>1241</v>
      </c>
      <c r="Q114" s="23" t="str">
        <f>INDEX($L:$L, MATCH("vast", $B:$B, 0))</f>
        <v>&lt;span class="w"&gt;&lt;b&gt;【283.vast：莫大な, 広大な】&lt;/b&gt;&lt;/span&gt;
&lt;span class="ml"&gt;ラテン語vastus（広大な）に由来する。
&lt;span class="spacer"&gt;&lt;/span&gt;「広大な」という圧倒的な空間の広さから比喩的に、数や量が非常に多い、程度が非常に大きいという強調を表す「莫大な」という意味になる。&lt;/span&gt;</v>
      </c>
      <c r="R114" s="15"/>
      <c r="S114" s="15"/>
      <c r="T114" s="15"/>
      <c r="U114" s="15"/>
      <c r="V114" s="15"/>
      <c r="W114" s="15"/>
      <c r="X114" s="15"/>
      <c r="AU114" s="15"/>
      <c r="AV114" s="1" t="s">
        <v>1502</v>
      </c>
      <c r="BG114" s="7" t="s">
        <v>1503</v>
      </c>
      <c r="BH114" s="1" t="s">
        <v>1947</v>
      </c>
      <c r="BI114" s="2" t="s">
        <v>7284</v>
      </c>
      <c r="BJ114" s="1" t="s">
        <v>1959</v>
      </c>
      <c r="BK114" s="1" t="s">
        <v>2320</v>
      </c>
      <c r="BL114" s="1" t="s">
        <v>2321</v>
      </c>
      <c r="BM114" s="1" t="s">
        <v>2322</v>
      </c>
      <c r="BN114" s="1" t="s">
        <v>2044</v>
      </c>
      <c r="BO114" s="2" t="s">
        <v>2323</v>
      </c>
    </row>
    <row r="115" spans="1:71" ht="216" x14ac:dyDescent="0.45">
      <c r="A115" s="5">
        <v>114</v>
      </c>
      <c r="B115" s="8" t="s">
        <v>1313</v>
      </c>
      <c r="C115" s="6" t="s">
        <v>1816</v>
      </c>
      <c r="D115" s="7" t="s">
        <v>9752</v>
      </c>
      <c r="E115" s="1" t="s">
        <v>1353</v>
      </c>
      <c r="F115" s="1" t="s">
        <v>1809</v>
      </c>
      <c r="G115" s="1"/>
      <c r="J115" s="1" t="s">
        <v>9753</v>
      </c>
      <c r="K115" s="2" t="s">
        <v>7260</v>
      </c>
      <c r="L115" s="4" t="s">
        <v>8043</v>
      </c>
      <c r="M115" s="1" t="s">
        <v>12148</v>
      </c>
      <c r="P115" s="7" t="s">
        <v>1241</v>
      </c>
      <c r="Q115" s="14" t="str">
        <f>INDEX($L:$L, MATCH("ancient", $B:$B, 0))</f>
        <v>&lt;span class="w"&gt;&lt;b&gt;【98.ancient：古代の, 昔からの】&lt;/b&gt;&lt;/span&gt;
&lt;span class="ml"&gt;ラテン語ante（前の）に由来する。
&lt;span class="spacer"&gt;&lt;/span&gt;「（時間的に）前の」から「古代の, 昔からの」という意味になる。
&lt;span class="spacer"&gt;&lt;/span&gt;以下の時代区分も参考に。
modern（近代・現代）
medieval（中世）
ancient（古代の）&lt;/span&gt;</v>
      </c>
      <c r="R115" s="14" t="str">
        <f>INDEX($L:$L, MATCH("ancestor", $B:$B, 0))</f>
        <v>&lt;span class="w"&gt;&lt;b&gt;【274.ancestor：祖先】&lt;/b&gt;&lt;/span&gt;
&lt;span class="ml"&gt;ラテン語に由来する語で、以下の3つの要素から成る。
&lt;span class="spacer"&gt;&lt;/span&gt;ante（前に）
cedere（行く, 進む）
or（〜する人）
&lt;span class="spacer"&gt;&lt;/span&gt;このまま日本語にすると「前に行く人」となる。自分たちよりも時間的に前を行く人から先代の人＝「祖先」という意味になる。
&lt;div class="sample_image ancestor"&gt;&lt;/div&gt;&lt;/span&gt;</v>
      </c>
      <c r="S115" s="14" t="str">
        <f>INDEX($L:$L, MATCH("advantage", $B:$B, 0))</f>
        <v>&lt;span class="w"&gt;&lt;b&gt;【158.advantage：利点, 有利, 優勢】&lt;/b&gt;&lt;/span&gt;
&lt;span class="ml"&gt;ラテン語に由来する語で、以下の2つの要素から成る。
&lt;span class="spacer"&gt;&lt;/span&gt;ab（〜から）
ante（前に）
&lt;span class="obsolete"&gt;age（名詞化）は古フランス語段階で付いた。&lt;/span&gt;
&lt;span class="spacer"&gt;&lt;/span&gt;このまま日本語にすると「〜から前に」となる。他よりも前に進んでいる状態を表し、他よりも優れている・良いところがあるという「有利, 優勢, 利点」という意味になる。&lt;/span&gt;</v>
      </c>
      <c r="T115" s="14" t="str">
        <f>INDEX($L:$L, MATCH("disadvantage", $B:$B, 0))</f>
        <v>&lt;span class="w"&gt;&lt;b&gt;【563.disadvantage：不利, 障害】&lt;/b&gt;&lt;/span&gt;
&lt;span class="ml"&gt;古フランス語に由来する語で、以下の2つの要素から成る。
&lt;span class="spacer"&gt;&lt;/span&gt;des（否定）
avantage（有利, 利益）
&lt;span class="spacer"&gt;&lt;/span&gt;有利や利益の否定なので「不利, 障害」という意味になる。&lt;/span&gt;</v>
      </c>
      <c r="AV115" s="1" t="s">
        <v>1502</v>
      </c>
      <c r="BG115" s="7" t="s">
        <v>1503</v>
      </c>
      <c r="BH115" s="1" t="s">
        <v>1947</v>
      </c>
      <c r="BI115" s="1" t="s">
        <v>2273</v>
      </c>
      <c r="BJ115" s="1" t="s">
        <v>2324</v>
      </c>
      <c r="BK115" s="2" t="s">
        <v>2325</v>
      </c>
      <c r="BL115" s="1" t="s">
        <v>2048</v>
      </c>
      <c r="BM115" s="1" t="s">
        <v>2326</v>
      </c>
      <c r="BN115" s="1" t="s">
        <v>1504</v>
      </c>
      <c r="BO115" s="2" t="s">
        <v>2327</v>
      </c>
      <c r="BP115" s="1" t="s">
        <v>2044</v>
      </c>
      <c r="BQ115" s="2" t="s">
        <v>2328</v>
      </c>
      <c r="BR115" s="1" t="s">
        <v>1865</v>
      </c>
      <c r="BS115" s="2" t="s">
        <v>2329</v>
      </c>
    </row>
    <row r="116" spans="1:71" ht="162" x14ac:dyDescent="0.45">
      <c r="A116" s="5">
        <v>115</v>
      </c>
      <c r="B116" s="8" t="s">
        <v>101</v>
      </c>
      <c r="C116" s="6" t="s">
        <v>1816</v>
      </c>
      <c r="D116" s="7" t="s">
        <v>9752</v>
      </c>
      <c r="E116" s="1" t="s">
        <v>101</v>
      </c>
      <c r="F116" s="1"/>
      <c r="G116" s="1"/>
      <c r="J116" s="1" t="s">
        <v>9753</v>
      </c>
      <c r="K116" s="2" t="s">
        <v>7285</v>
      </c>
      <c r="L116" s="9" t="s">
        <v>8044</v>
      </c>
      <c r="P116" s="7" t="s">
        <v>1241</v>
      </c>
      <c r="Q116" s="14" t="str">
        <f>INDEX($L:$L, MATCH("widespread", $B:$B, 0))</f>
        <v>&lt;span class="w"&gt;&lt;b&gt;【482.widespread：広範囲にわたる】&lt;/b&gt;&lt;/span&gt;
&lt;span class="ml"&gt;近代英語にさかのぼり、以下の2つの要素から成る。
&lt;span class="spacer"&gt;&lt;/span&gt;wide（広く）
spread（広まった）
&lt;span class="spacer"&gt;&lt;/span&gt;このまま「広くひろがった, 広範囲にわたる」という意味になる。
&lt;span class="spacer"&gt;&lt;/span&gt;spread（広がる）は過去形と過去分詞も同じスペル。ここでは過去分詞spread（広まった）となっている。&lt;/span&gt;</v>
      </c>
      <c r="AV116" s="1" t="s">
        <v>1502</v>
      </c>
      <c r="BG116" s="7" t="s">
        <v>1503</v>
      </c>
      <c r="BH116" s="1" t="s">
        <v>2254</v>
      </c>
      <c r="BI116" s="1" t="s">
        <v>2330</v>
      </c>
      <c r="BJ116" s="1" t="s">
        <v>2129</v>
      </c>
      <c r="BK116" s="1" t="s">
        <v>2331</v>
      </c>
      <c r="BL116" s="1" t="s">
        <v>2044</v>
      </c>
      <c r="BM116" s="2" t="s">
        <v>2332</v>
      </c>
    </row>
    <row r="117" spans="1:71" ht="409.6" x14ac:dyDescent="0.45">
      <c r="A117" s="5">
        <v>116</v>
      </c>
      <c r="B117" s="8" t="s">
        <v>1314</v>
      </c>
      <c r="C117" s="6" t="s">
        <v>1816</v>
      </c>
      <c r="D117" s="7" t="s">
        <v>9752</v>
      </c>
      <c r="E117" s="1" t="s">
        <v>1338</v>
      </c>
      <c r="F117" s="1" t="s">
        <v>8852</v>
      </c>
      <c r="G117" s="1"/>
      <c r="J117" s="1" t="s">
        <v>9753</v>
      </c>
      <c r="K117" s="2" t="s">
        <v>7286</v>
      </c>
      <c r="L117" s="4" t="s">
        <v>8045</v>
      </c>
      <c r="P117" s="7" t="s">
        <v>1241</v>
      </c>
      <c r="Q117" s="14" t="str">
        <f>INDEX($L:$L, MATCH("repair", $B:$B, 0))</f>
        <v>&lt;span class="w"&gt;&lt;b&gt;【439.repair：〜を修理する, 〜を修復する】&lt;/b&gt;&lt;/span&gt;
&lt;span class="ml"&gt;ラテン語に由来する語で、以下の2つの要素から成る。
&lt;span class="spacer"&gt;&lt;/span&gt;re（再び）
parāre（整える）
&lt;span class="spacer"&gt;&lt;/span&gt;このまま日本語にすると「再び整える」となる。もとの状態に整えることから「修理する, 修復する」という意味になる。&lt;/span&gt;</v>
      </c>
      <c r="R117" s="14" t="str">
        <f>INDEX($L:$L, MATCH("imperial", $B:$B, 0))</f>
        <v>&lt;span class="w"&gt;&lt;b&gt;【1394.imperial：帝国の, 皇帝の】&lt;/b&gt;&lt;/span&gt;
&lt;span class="ml"&gt;ラテン語に由来する語で、以下の3つの要素から成る。
&lt;span class="spacer"&gt;&lt;/span&gt;in（〜に向けて）
parare（準備する, 整える）
ium（名詞化）
alis（形容詞化）
&lt;span class="spacer"&gt;&lt;/span&gt;ラテン語inとperareから、対象に何かを準備させる、つまり何かを命じるという行為を表すようになった。
&lt;span class="spacer"&gt;&lt;/span&gt;そしてそこに名詞を作るiumが付いて、絶対的な命令権や、その命令権を持つ皇帝、命令が及ぶ帝国を表すようになった。
&lt;span class="spacer"&gt;&lt;/span&gt;さらにこれが形容詞化して「帝国の, 皇帝の」という意味になった。
&lt;span class="spacer"&gt;&lt;/span&gt;皇帝のことを英語でemperor（エンペラー）と言うが、これはimperialと全く同じ語源に由来する（ラテン語imparare）。emperorは、英語に入るまでに経由したフランス語の音声変化によって、最初の音と文字がeになった。一方でimperialは、ラテン語の音と文字を保持していたので、最初の文字がiになっている。&lt;/span&gt;</v>
      </c>
      <c r="S117" s="15"/>
      <c r="AU117" s="15"/>
      <c r="AV117" s="1" t="s">
        <v>1502</v>
      </c>
      <c r="BG117" s="7" t="s">
        <v>1503</v>
      </c>
      <c r="BH117" s="1" t="s">
        <v>1947</v>
      </c>
      <c r="BI117" s="2" t="s">
        <v>2333</v>
      </c>
      <c r="BJ117" s="1" t="s">
        <v>1504</v>
      </c>
      <c r="BK117" s="1" t="s">
        <v>2334</v>
      </c>
      <c r="BL117" s="1" t="s">
        <v>2044</v>
      </c>
      <c r="BM117" s="2" t="s">
        <v>2335</v>
      </c>
    </row>
    <row r="118" spans="1:71" ht="198" x14ac:dyDescent="0.45">
      <c r="A118" s="5">
        <v>117</v>
      </c>
      <c r="B118" s="8" t="s">
        <v>1315</v>
      </c>
      <c r="C118" s="6" t="s">
        <v>1816</v>
      </c>
      <c r="D118" s="7" t="s">
        <v>9752</v>
      </c>
      <c r="E118" s="1" t="s">
        <v>8881</v>
      </c>
      <c r="F118" s="1"/>
      <c r="G118" s="1"/>
      <c r="J118" s="1" t="s">
        <v>9753</v>
      </c>
      <c r="K118" s="2" t="s">
        <v>7287</v>
      </c>
      <c r="L118" s="9" t="s">
        <v>8046</v>
      </c>
      <c r="P118" s="7" t="s">
        <v>1241</v>
      </c>
      <c r="AV118" s="1" t="s">
        <v>1502</v>
      </c>
      <c r="BG118" s="7" t="s">
        <v>1503</v>
      </c>
      <c r="BH118" s="1" t="s">
        <v>2268</v>
      </c>
      <c r="BI118" s="1" t="s">
        <v>2336</v>
      </c>
      <c r="BJ118" s="1" t="s">
        <v>1504</v>
      </c>
      <c r="BK118" s="1" t="s">
        <v>2337</v>
      </c>
      <c r="BL118" s="1" t="s">
        <v>1865</v>
      </c>
      <c r="BM118" s="2" t="s">
        <v>7288</v>
      </c>
    </row>
    <row r="119" spans="1:71" ht="180" x14ac:dyDescent="0.45">
      <c r="A119" s="5">
        <v>118</v>
      </c>
      <c r="B119" s="8" t="s">
        <v>1316</v>
      </c>
      <c r="C119" s="6" t="s">
        <v>1816</v>
      </c>
      <c r="D119" s="7" t="s">
        <v>9752</v>
      </c>
      <c r="E119" s="1" t="s">
        <v>1621</v>
      </c>
      <c r="F119" s="1" t="s">
        <v>8882</v>
      </c>
      <c r="G119" s="1" t="s">
        <v>8883</v>
      </c>
      <c r="J119" s="1" t="s">
        <v>9753</v>
      </c>
      <c r="K119" s="2" t="s">
        <v>7289</v>
      </c>
      <c r="L119" s="4" t="s">
        <v>12095</v>
      </c>
      <c r="M119" s="1" t="s">
        <v>12152</v>
      </c>
      <c r="P119" s="7" t="s">
        <v>1241</v>
      </c>
      <c r="Q119" s="14" t="str">
        <f>INDEX($L:$L, MATCH("prevent", $B:$B, 0))</f>
        <v>&lt;span class="w"&gt;&lt;b&gt;【137.prevent：〜を妨げる, 〜を防ぐ】&lt;/b&gt;&lt;/span&gt;
&lt;span class="ml"&gt;ラテン語に由来する語で、以下の2つの要素から成る。
&lt;span class="spacer"&gt;&lt;/span&gt;prae（前に）
venire（来る）
&lt;span class="spacer"&gt;&lt;/span&gt;このまま日本語にすると「（時間的に）前に来る」となる。つまり何かが起こる、何かをするより先に来るということ。この先回りの行動が、先に行動して何かを阻止するという妨害と結びつき、「妨げる, 防ぐ」という意味になる。
&lt;div class="sample_image prevent"&gt;&lt;/div&gt;&lt;/span&gt;</v>
      </c>
      <c r="R119" s="13" t="str">
        <f>INDEX($L:$L, MATCH("eventually", $B:$B, 0))</f>
        <v>&lt;span class="w"&gt;&lt;b&gt;【200.eventually：結局, 最終的に】&lt;/b&gt;&lt;/span&gt;
&lt;span class="ml"&gt;eventuallyは以下の4つの要素から成る。
&lt;span class="spacer"&gt;&lt;/span&gt;ex（外に：ラテン語）
venire（来る：ラテン語）
uel（形容詞化：古フランス語）
ly（副詞化：近代英語）
&lt;span class="spacer"&gt;&lt;/span&gt;もっとシンプルにすると
event＋ual＋lyとなる。
&lt;span class="spacer"&gt;&lt;/span&gt;「外に来る」は、様々な過程を経て何かが出てくること。つまり「最終的な結果, 出来事」を意味する。これが副詞となることで「結果的に, 結局, 最終的に」という意味になる。&lt;/span&gt;</v>
      </c>
      <c r="S119" s="13" t="str">
        <f>INDEX($L:$L, MATCH("conventional", $B:$B, 0))</f>
        <v>&lt;span class="w"&gt;&lt;b&gt;【585.conventional：従来通りの, 型にはまった】&lt;/b&gt;&lt;/span&gt;
&lt;span class="ml"&gt;ラテン語に由来する語で、以下の4つの要素から成る。
&lt;span class="spacer"&gt;&lt;/span&gt;com（共に）
venire（来る）
io（名詞化）
alis（形容詞化）
&lt;span class="spacer"&gt;&lt;/span&gt;まずは「共に来ること」から、①人が集まること、②人が集まって形成される合意、③人が集まることで作られる暗黙のルール＝慣習という意味になる。
&lt;span class="spacer"&gt;&lt;/span&gt;慣習というのは、古くから受け継がれるもの。そこから昔から変わらない、つまり「従来通りの」という意味になる。また少しネガティブなニュアンスになると、新しさがなくて「型にはまった」という意味になる。
&lt;div class="sample_image conventional"&gt;&lt;/div&gt;&lt;/span&gt;</v>
      </c>
      <c r="T119" s="13" t="str">
        <f>INDEX($L:$L, MATCH("revenue", $B:$B, 0))</f>
        <v>&lt;span class="w"&gt;&lt;b&gt;【1477.revenue：歳入, 収入】&lt;/b&gt;&lt;/span&gt;
&lt;span class="ml"&gt;ラテン語に由来する語で、以下の2つの要素から成る。
&lt;span class="spacer"&gt;&lt;/span&gt;re（後ろへ, 戻って）
venire（来る）
&lt;span class="spacer"&gt;&lt;/span&gt;この語の核は「戻ってくるもの」。お金を払って何かを手に入れ、それを使ってお金を得る、つまりお金が戻ってくることから「収入」という意味になった。またそこから、国家の一年間の収入＝「歳入」という意味にもなった。
&lt;div class="sample_image revenue"&gt;&lt;/div&gt;&lt;/span&gt;</v>
      </c>
      <c r="U119" s="13" t="str">
        <f>INDEX($L:$L, MATCH("venture", $B:$B, 0))</f>
        <v>&lt;span class="w"&gt;&lt;b&gt;【1204.venture：危険を冒して進む】&lt;/b&gt;&lt;/span&gt;
&lt;span class="ml"&gt;古ラテン語に由来する語で、以下の2つの要素から成る。
&lt;span class="spacer"&gt;&lt;/span&gt;ad（〜へ）
venire（来る）
&lt;span class="spacer"&gt;&lt;/span&gt;このまま日本語にすると「〜へ来る」となる。もともとは、どこかから何かが自分の元へやって来ることを表した。そこから、将来的に起こることという意味を経て、将来的に結果がどうなるかわからない出来事、そして結果がわからない危険な試みへと発展し、動詞で「危険を冒して進む」という意味になった。&lt;/span&gt;</v>
      </c>
      <c r="V119" s="13" t="str">
        <f>INDEX($L:$L, MATCH("convenient", $B:$B, 0))</f>
        <v>&lt;span class="w"&gt;&lt;b&gt;【395.convenient：便利な, 都合のよい】&lt;/b&gt;&lt;/span&gt;
&lt;span class="ml"&gt;ラテン語に由来する語で、以下の2つの要素から成る。
&lt;span class="spacer"&gt;&lt;/span&gt;com（共に）
venire（来る）
&lt;span class="spacer"&gt;&lt;/span&gt;このまま日本語にすると「共に来る」となる。これは何かと何かが一緒に来てそろうイメージ。例えば、条件がそろう、何かを必要としている人とそれを不要としている人が一緒に来るなど。ここから「都合のよい, 便利な」という意味になる。&lt;/span&gt;</v>
      </c>
      <c r="W119" s="13" t="str">
        <f>INDEX($L:$L, MATCH("capital", $B:$B, 0))</f>
        <v>&lt;span class="w"&gt;&lt;b&gt;【451.capital：資本, 首都, 大文字】&lt;/b&gt;&lt;/span&gt;
&lt;span class="ml"&gt;ラテン語に由来する語で、以下の2つの要素から成る。
&lt;span class="spacer"&gt;&lt;/span&gt;caput（頭）
alis（形容詞化）
&lt;span class="spacer"&gt;&lt;/span&gt;この語の核は「頭のように最も上にあり、中心となるもの」ということ。金銭面では活動基盤となる「資本」、都市に関しては国の中心となる「首都」、文に関しては先頭に置かれる「大文字」という意味になる。&lt;/span&gt;</v>
      </c>
      <c r="X119" s="13" t="str">
        <f>INDEX($L:$L, MATCH("cattle", $B:$B, 0))</f>
        <v>&lt;span class="w"&gt;&lt;b&gt;【1252.cattle：（集合的に）牛】&lt;/b&gt;&lt;/span&gt;
&lt;span class="ml"&gt;ラテン語に由来する語で、以下の2つの要素から成る。
&lt;span class="spacer"&gt;&lt;/span&gt;caput（頭）
alis（形容詞化）
&lt;span class="spacer"&gt;&lt;/span&gt;この語の核は「動物の頭のように主要なもの」。頭というのは動物にとって最も守るべき大事なものなので、そこから、人間にとって価値を持つ主要なもの＝財産を表すようになった。
&lt;span class="spacer"&gt;&lt;/span&gt;昔の農民にとって価値ある財産といえば、持ち運べない土地や建物といった不動産と、持ち運べる家畜という動産だったが、cattleは家畜を指すようになった。特に16世紀以降になると、家畜の中でも牛に限定されて、「家畜としての牛たち」を意味するようになった。これは集合名詞なので常に複数扱いされる。
&lt;div class="sample_image cattle"&gt;&lt;/div&gt;&lt;/span&gt;</v>
      </c>
      <c r="AU119" s="15"/>
      <c r="AV119" s="1" t="s">
        <v>1502</v>
      </c>
      <c r="BG119" s="7" t="s">
        <v>1503</v>
      </c>
      <c r="BH119" s="1" t="s">
        <v>1947</v>
      </c>
      <c r="BI119" s="2" t="s">
        <v>2338</v>
      </c>
      <c r="BJ119" s="1" t="s">
        <v>2324</v>
      </c>
      <c r="BK119" s="2" t="s">
        <v>2339</v>
      </c>
      <c r="BL119" s="1" t="s">
        <v>2048</v>
      </c>
      <c r="BM119" s="1" t="s">
        <v>2340</v>
      </c>
      <c r="BN119" s="1" t="s">
        <v>1504</v>
      </c>
      <c r="BO119" s="2" t="s">
        <v>2341</v>
      </c>
      <c r="BP119" s="1" t="s">
        <v>2044</v>
      </c>
      <c r="BQ119" s="2" t="s">
        <v>2342</v>
      </c>
    </row>
    <row r="120" spans="1:71" ht="108" x14ac:dyDescent="0.45">
      <c r="A120" s="5">
        <v>119</v>
      </c>
      <c r="B120" s="8" t="s">
        <v>1317</v>
      </c>
      <c r="C120" s="6" t="s">
        <v>1816</v>
      </c>
      <c r="D120" s="7" t="s">
        <v>9752</v>
      </c>
      <c r="E120" s="1" t="s">
        <v>1454</v>
      </c>
      <c r="F120" s="1" t="s">
        <v>8884</v>
      </c>
      <c r="G120" s="1" t="s">
        <v>1520</v>
      </c>
      <c r="J120" s="1" t="s">
        <v>9753</v>
      </c>
      <c r="K120" s="2" t="s">
        <v>7290</v>
      </c>
      <c r="L120" s="9" t="s">
        <v>8047</v>
      </c>
      <c r="P120" s="7" t="s">
        <v>1241</v>
      </c>
      <c r="Q120" s="13"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R120" s="13"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S120" s="13"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T120" s="13" t="str">
        <f>INDEX($L:$L, MATCH("static", $B:$B, 0))</f>
        <v>&lt;span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v>
      </c>
      <c r="U120" s="13"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V120" s="13"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W120" s="13"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X120" s="13"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Y120" s="13"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Z120" s="13"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AA120" s="13" t="str">
        <f>INDEX($L:$L, MATCH("steady", $B:$B, 0))</f>
        <v>&lt;span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v>
      </c>
      <c r="AB120"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C120" s="13" t="str">
        <f>INDEX($L:$L, MATCH("restore", $B:$B, 0))</f>
        <v>&lt;span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v>
      </c>
      <c r="AD120" s="13"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AE120" s="13"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V120" s="1" t="s">
        <v>1502</v>
      </c>
      <c r="BG120" s="7" t="s">
        <v>1503</v>
      </c>
      <c r="BH120" s="1" t="s">
        <v>1976</v>
      </c>
      <c r="BI120" s="1" t="s">
        <v>2263</v>
      </c>
      <c r="BJ120" s="1" t="s">
        <v>1947</v>
      </c>
      <c r="BK120" s="2" t="s">
        <v>7291</v>
      </c>
      <c r="BL120" s="1" t="s">
        <v>1504</v>
      </c>
      <c r="BM120" s="2" t="s">
        <v>2343</v>
      </c>
      <c r="BN120" s="1" t="s">
        <v>2044</v>
      </c>
      <c r="BO120" s="2" t="s">
        <v>2344</v>
      </c>
    </row>
    <row r="121" spans="1:71" ht="252" x14ac:dyDescent="0.45">
      <c r="A121" s="5">
        <v>120</v>
      </c>
      <c r="B121" s="8" t="s">
        <v>1318</v>
      </c>
      <c r="C121" s="6" t="s">
        <v>1816</v>
      </c>
      <c r="D121" s="7" t="s">
        <v>9752</v>
      </c>
      <c r="E121" s="1" t="s">
        <v>5885</v>
      </c>
      <c r="F121" s="1" t="s">
        <v>1330</v>
      </c>
      <c r="G121" s="1"/>
      <c r="J121" s="1" t="s">
        <v>9753</v>
      </c>
      <c r="K121" s="2" t="s">
        <v>7292</v>
      </c>
      <c r="L121" s="3" t="s">
        <v>8048</v>
      </c>
      <c r="M121" s="1" t="s">
        <v>12130</v>
      </c>
      <c r="P121" s="7" t="s">
        <v>1241</v>
      </c>
      <c r="Q121" s="14" t="str">
        <f>INDEX($L:$L, MATCH("supplement", $B:$B, 0))</f>
        <v>&lt;span class="w"&gt;&lt;b&gt;【1158.supplement：サプリメント, 栄養補助剤, 補足】&lt;/b&gt;&lt;/span&gt;
&lt;span class="ml"&gt;ラテン語に由来する語で、以下の3つの要素から成る。
&lt;span class="spacer"&gt;&lt;/span&gt;sub（下から上へ）
plere（満たす）
mentum（名詞化）
&lt;span class="spacer"&gt;&lt;/span&gt;このまま日本語にすると「満たすもの」となる。そこから足りない部分を満たす「サプリメント, 補足」という意味になった。&lt;/span&gt;</v>
      </c>
      <c r="R121" s="14" t="str">
        <f>INDEX($L:$L, MATCH("implement", $B:$B, 0))</f>
        <v>&lt;span class="w"&gt;&lt;b&gt;【1238.implement：〜を実行する, 〜を実施する】&lt;/b&gt;&lt;/span&gt;
&lt;span class="ml"&gt;ラテン語に由来する語で、以下の2つの要素から成る。
&lt;span class="spacer"&gt;&lt;/span&gt;in（中に）
plere（満たす）
&lt;span class="spacer"&gt;&lt;/span&gt;このまま日本語にすると「中に満たす」となる。目的の達成や作業の完了のために必要なことを満たす、というイメージから、何かを行うための「道具, 手段」という名詞になった。
&lt;span class="spacer"&gt;&lt;/span&gt;そこから動詞になって、ある目的のための手段を「実行する, 実施する」という意味になった。
&lt;div class="sample_image implement"&gt;&lt;/div&gt;&lt;/span&gt;</v>
      </c>
      <c r="S121" s="14" t="str">
        <f>INDEX($L:$L, MATCH("complete", $B:$B, 0))</f>
        <v>&lt;span class="w"&gt;&lt;b&gt;【40.complete：～を完成させる】&lt;/b&gt;&lt;/span&gt;
&lt;span class="ml"&gt;ラテン語に由来する語で、以下の2つの要素から成る。
&lt;span class="spacer"&gt;&lt;/span&gt;com（強意）
plere（満たす）
&lt;span class="spacer"&gt;&lt;/span&gt;このまま日本語にすると「完全に満たす」となる。不足や欠陥などが一切なく完全に満たすイメージから「完成させる」という意味になる。&lt;/span&gt;</v>
      </c>
      <c r="T121" s="13" t="str">
        <f>INDEX($L:$L, MATCH("accomplish", $B:$B, 0))</f>
        <v>&lt;span class="w"&gt;&lt;b&gt;【740.accomplish：〜を成し遂げる, 〜を達成する】&lt;/b&gt;&lt;/span&gt;
&lt;span class="ml"&gt;ラテン語に由来する語で、以下の3つの要素から成る。
&lt;span class="spacer"&gt;&lt;/span&gt;ad（〜へ）
com（強意）
plere（満たす）
&lt;span class="spacer"&gt;&lt;/span&gt;このまま日本語にすると「〜へ完全に満たす」となる。物理的に何かを完全に満たすことから発展して、最後までやり切って目標を果たす、つまり「成し遂げる, 達成する」という意味になる。&lt;/span&gt;</v>
      </c>
      <c r="U121" s="13" t="str">
        <f>INDEX($L:$L, MATCH("compliment", $B:$B, 0))</f>
        <v>&lt;span class="w"&gt;&lt;b&gt;【1045.compliment：賛辞, お世辞, 表敬】&lt;/b&gt;&lt;/span&gt;
&lt;span class="ml"&gt;ラテン語に由来する語で、以下の3つの要素から成る。
&lt;span class="spacer"&gt;&lt;/span&gt;com（強意）
plere（満たす）
mentum（名詞化）
&lt;span class="spacer"&gt;&lt;/span&gt;このまま日本語にすると「完全に満たすこと」となる。これがヨーロッパの宮廷文化において、礼儀上の作法や社交上の要求を完全に満たすことを指すようになり、そこから相手に対して敬意を表すこと＝「表敬」、純粋な敬意の表現＝「賛辞」、形だけは敬意を表すが、実際は思ってもいないことを含む＝「お世辞」といった意味になった。
&lt;div class="sample_image compliment"&gt;&lt;/div&gt;&lt;/span&gt;</v>
      </c>
      <c r="AU121" s="15"/>
      <c r="AV121" s="1" t="s">
        <v>1502</v>
      </c>
      <c r="BG121" s="7" t="s">
        <v>1503</v>
      </c>
      <c r="BH121" s="1" t="s">
        <v>1947</v>
      </c>
      <c r="BI121" s="2" t="s">
        <v>7293</v>
      </c>
      <c r="BJ121" s="1" t="s">
        <v>1504</v>
      </c>
      <c r="BK121" s="2" t="s">
        <v>2345</v>
      </c>
      <c r="BL121" s="1" t="s">
        <v>2044</v>
      </c>
      <c r="BM121" s="2" t="s">
        <v>2346</v>
      </c>
      <c r="BN121" s="1" t="s">
        <v>1865</v>
      </c>
      <c r="BO121" s="2" t="s">
        <v>2347</v>
      </c>
    </row>
    <row r="122" spans="1:71" ht="409.6" x14ac:dyDescent="0.45">
      <c r="A122" s="5">
        <v>121</v>
      </c>
      <c r="B122" s="8" t="s">
        <v>1319</v>
      </c>
      <c r="C122" s="6" t="s">
        <v>1816</v>
      </c>
      <c r="D122" s="7" t="s">
        <v>9752</v>
      </c>
      <c r="E122" s="1" t="s">
        <v>5885</v>
      </c>
      <c r="F122" s="1" t="s">
        <v>4639</v>
      </c>
      <c r="G122" s="1"/>
      <c r="J122" s="1" t="s">
        <v>9753</v>
      </c>
      <c r="K122" s="2" t="s">
        <v>7294</v>
      </c>
      <c r="L122" s="3" t="s">
        <v>8049</v>
      </c>
      <c r="M122" s="1" t="s">
        <v>12153</v>
      </c>
      <c r="P122" s="7" t="s">
        <v>1241</v>
      </c>
      <c r="Q122" s="14" t="str">
        <f>INDEX($L:$L, MATCH("pose", $B:$B, 0))</f>
        <v>&lt;span class="w"&gt;&lt;b&gt;【804.pose：（危険）を引き起こす, （問題など）を提起する, ポーズをとる, 装う】&lt;/b&gt;&lt;/span&gt;
&lt;span class="ml"&gt;ラテン語に由来する語で、以下の2つの要素から成る。
&lt;span class="spacer"&gt;&lt;/span&gt;pausere（止まる, 休む, 休ませる）
ponere（置く）
&lt;span class="spacer"&gt;&lt;/span&gt;この語の核は「何かを置く」。問題や危険を置くことから「問題を提起する, 危険を引き起こす」という意味になる。またある態度や性格に身を置くことから、態度や性格を「装う」、またモデルなどが「ポーズをとる」という意味になる。
&lt;span class="spacer"&gt;&lt;/span&gt;poseの目的語にくるものを「置く」ことから文に合った訳を考えればよい。
&lt;div class="sample_image pose"&gt;&lt;/div&gt;&lt;/span&gt;</v>
      </c>
      <c r="R122" s="14" t="str">
        <f>INDEX($L:$L, MATCH("expose", $B:$B, 0))</f>
        <v>&lt;span class="w"&gt;&lt;b&gt;【433.expose：～をさらす, 〜を暴露する】&lt;/b&gt;&lt;/span&gt;
&lt;span class="ml"&gt;ラテン語に由来する語で、以下の2つの要素から成る。
&lt;span class="spacer"&gt;&lt;/span&gt;ex（外に）
ponere（置く）
&lt;span class="spacer"&gt;&lt;/span&gt;このまま日本語にすると「外に置く」となる。これは、内側にあるものを外側に置くイメージ。そこから何かを「さらす, 暴露する」という意味になる。
&lt;div class="sample_image expose"&gt;&lt;/div&gt;&lt;/span&gt;</v>
      </c>
      <c r="S122" s="14" t="str">
        <f>INDEX($L:$L, MATCH("impose", $B:$B, 0))</f>
        <v>&lt;span class="w"&gt;&lt;b&gt;【826.impose：〜を課す, 〜を押し付ける】&lt;/b&gt;&lt;/span&gt;
&lt;span class="ml"&gt;古フランス語に由来する語で、以下の2つの要素から成る。
&lt;span class="spacer"&gt;&lt;/span&gt;in（中に）
poser（置く）
&lt;span class="spacer"&gt;&lt;/span&gt;このまま日本語にすると「中に置く」となる。相手の領域の中に押し込んで置くイメージから、対象に何かを「押し付ける, 課す」という意味になる。
&lt;div class="sample_image impose"&gt;&lt;/div&gt;&lt;/span&gt;</v>
      </c>
      <c r="T122" s="14" t="str">
        <f>INDEX($L:$L, MATCH("propose", $B:$B, 0))</f>
        <v>&lt;span class="w"&gt;&lt;b&gt;【436.propose：〜を提案する】&lt;/b&gt;&lt;/span&gt;
&lt;span class="ml"&gt;ラテン語に由来する語で、以下の2つの要素から成る。
&lt;span class="spacer"&gt;&lt;/span&gt;pro（前へ）
ponere（置く）
&lt;span class="spacer"&gt;&lt;/span&gt;このまま日本語にすると「前に置く」となる。意見や考えを相手の前に置くイメージから「提案する」という意味になる。&lt;/span&gt;</v>
      </c>
      <c r="U122" s="14" t="str">
        <f>INDEX($L:$L, MATCH("oppose", $B:$B, 0))</f>
        <v>&lt;span class="w"&gt;&lt;b&gt;【513.oppose：〜に反対する, 〜を対抗させる】&lt;/b&gt;&lt;/span&gt;
&lt;span class="ml"&gt;ラテン語に由来する語で、以下の2つの要素から成る。
&lt;span class="spacer"&gt;&lt;/span&gt;ob（〜に対して）
ponere（置く）
&lt;span class="spacer"&gt;&lt;/span&gt;このまま日本語にすると「～に対して置く」となる。相手に対して自分を置く、つまり相手と自分が向かい合うように置くイメージから「反対する, 対抗させる」という意味になる。
&lt;div class="sample_image oppose"&gt;&lt;/div&gt;&lt;/span&gt;</v>
      </c>
      <c r="V122" s="14" t="str">
        <f>INDEX($L:$L, MATCH("dispose", $B:$B, 0))</f>
        <v>&lt;span class="w"&gt;&lt;b&gt;【1435.dispose：（of ~）〜を処分する, （dispose ~ to do）〜する気にさせる】&lt;/b&gt;&lt;/span&gt;
&lt;span class="ml"&gt;ラテン語に由来する語で、以下の2つの要素から成る。
&lt;span class="spacer"&gt;&lt;/span&gt;dis（離れて）
ponere（置く）
&lt;span class="spacer"&gt;&lt;/span&gt;このまま日本語にすると「離して置く」となるが、この語の核は「ごちゃごちゃしたものをそれぞれ離して整理し、あるべき位置へ置く」イメージ。
&lt;span class="spacer"&gt;&lt;/span&gt;不要なもの・問題などを整理して、それがあるべき場所へ置くことから「処分する」という意味になる。
&lt;span class="spacer"&gt;&lt;/span&gt;また相手の気持ちを整理して進むべき方向へ置くことから「何かをする気にさせる」となる。
&lt;span class="spacer"&gt;&lt;/span&gt;dispose 人 to do
人 be disposed to do
&lt;div class="sample_image dispose"&gt;&lt;/div&gt;&lt;/span&gt;</v>
      </c>
      <c r="W122" s="14" t="str">
        <f>INDEX($L:$L, MATCH("compose", $B:$B, 0))</f>
        <v>&lt;span class="w"&gt;&lt;b&gt;【833.compose：～を構成する, ～を創作する】&lt;/b&gt;&lt;/span&gt;
&lt;span class="ml"&gt;ラテン語に由来する語で、以下の2つの要素から成る。
&lt;span class="spacer"&gt;&lt;/span&gt;com（共に）
ponere（置く）
&lt;span class="spacer"&gt;&lt;/span&gt;このまま日本語にすると「共に置く」となる。2つ以上のものを一緒に置いて全体を形作ることから、構成要素となって全体を作り上げる＝「構成する, 創作する」という意味になる。
&lt;div class="sample_image compose"&gt;&lt;/div&gt;&lt;/span&gt;</v>
      </c>
      <c r="X122" s="14" t="str">
        <f>INDEX($L:$L, MATCH("positive", $B:$B, 0))</f>
        <v>&lt;span class="w"&gt;&lt;b&gt;【179.positive：肯定的な, 確信して, （検査で）陽性の】&lt;/b&gt;&lt;/span&gt;
&lt;span class="ml"&gt;ラテン語に由来する語で、以下の2つの要素から成る。
&lt;span class="spacer"&gt;&lt;/span&gt;ponere（置く）の過去分詞positus（置かれる）
ivus（形容詞化）
&lt;span class="spacer"&gt;&lt;/span&gt;もともとは法律用語。法や権威あるものによって置かれる、つまり法や権威によって定められて否定のしようがないという意味で使われた。ここから「肯定的な, 確信して, 陽性の」という意味になる。&lt;/span&gt;</v>
      </c>
      <c r="Y122" s="14" t="str">
        <f>INDEX($L:$L, MATCH("deposit", $B:$B, 0))</f>
        <v>&lt;span class="w"&gt;&lt;b&gt;【1315.deposit：〜を置く, 〜を預ける】&lt;/b&gt;&lt;/span&gt;
&lt;span class="ml"&gt;ラテン語に由来する語で、以下の2つの要素から成る。
&lt;span class="spacer"&gt;&lt;/span&gt;de（離れて, 下に）
ponere（置く）
&lt;span class="spacer"&gt;&lt;/span&gt;このまま日本語にすると「離れて置く, 下に置く」となる。物理的に何かを「置く」という意味もあるが、金銭や貴重品を離れた場所に「預ける」という意味にもなる。
&lt;span class="spacer"&gt;&lt;/span&gt;depositのposit部分は、positionと同じなので、そこから「置く」というイメージ持っておくとよい。
&lt;div class="sample_image deposit"&gt;&lt;/div&gt;&lt;/span&gt;</v>
      </c>
      <c r="Z122" s="14" t="str">
        <f>INDEX($L:$L, MATCH("compound", $B:$B, 0))</f>
        <v>&lt;span class="w"&gt;&lt;b&gt;【1129.compound：〜を悪化させる, 〜を合成する, 〜を混合する】&lt;/b&gt;&lt;/span&gt;
&lt;span class="ml"&gt;ラテン語に由来する語で、以下の2つの要素から成る。
&lt;span class="spacer"&gt;&lt;/span&gt;com（共に）
ponere（置く）
&lt;span class="spacer"&gt;&lt;/span&gt;このまま日本語にすると「共に置く」となる。複数のものを一緒にすることから、何かを「合成する, 混合する, 調合する」といった意味になる。さらに、問題や困難などがどんどん一緒に置かれて積もっていくことから、状況や問題などを「悪化させる」という意味にもなる。
&lt;div class="sample_image compound"&gt;&lt;/div&gt;&lt;/span&gt;</v>
      </c>
      <c r="AA122" s="14" t="str">
        <f>INDEX($L:$L, MATCH("postpone", $B:$B, 0))</f>
        <v>&lt;span class="w"&gt;&lt;b&gt;【1134.postpone：〜を延期する】&lt;/b&gt;&lt;/span&gt;
&lt;span class="ml"&gt;ラテン語に由来する語で、以下の2つの要素から成る。
&lt;span class="spacer"&gt;&lt;/span&gt;post（後に）
ponere（置く）
&lt;span class="spacer"&gt;&lt;/span&gt;このまま日本語にすると「後に置く」となる。予定や物事を時間的に後に置くことから「延期する」という意味になる。&lt;/span&gt;
&lt;div class="animation postpone"&gt;&lt;/div&gt;</v>
      </c>
      <c r="AB122" s="14" t="str">
        <f>INDEX($L:$L, MATCH("component", $B:$B, 0))</f>
        <v>&lt;span class="w"&gt;&lt;b&gt;【677.component：構成要素, 部品】&lt;/b&gt;&lt;/span&gt;
&lt;span class="ml"&gt;ラテン語に由来する語で、以下の2つの要素から成る。
&lt;span class="spacer"&gt;&lt;/span&gt;com（共に）
ponere（置く）
&lt;span class="spacer"&gt;&lt;/span&gt;このまま日本語にすると「共に置く」となる。いくつかの部分を一緒に置くことで全体が構成されることから、全体の「構成要素, 部品」という意味になる。
&lt;div class="sample_image component"&gt;&lt;/div&gt;&lt;/span&gt;</v>
      </c>
      <c r="AC122" s="14" t="str">
        <f>INDEX($L:$L, MATCH("opponent", $B:$B, 0))</f>
        <v>&lt;span class="w"&gt;&lt;b&gt;【762.opponent：（試合や論争などの）相手, 反対者】&lt;/b&gt;&lt;/span&gt;
&lt;span class="ml"&gt;ラテン語に由来する語で、以下の3つの要素から成る。
&lt;span class="spacer"&gt;&lt;/span&gt;ob（前に, 対して）
ponere（置く）
ens（現在分詞を作る：〜しているもの）
&lt;span class="spacer"&gt;&lt;/span&gt;この語の核は「何かに対立する位置に置いてあるもの」。ここから「対戦相手, 反対者」という意味になる。
&lt;div class="sample_image opponent"&gt;&lt;/div&gt;&lt;/span&gt;</v>
      </c>
      <c r="AD122" s="14" t="str">
        <f>INDEX($L:$L, MATCH("posture", $B:$B, 0))</f>
        <v>&lt;span class="w"&gt;&lt;b&gt;【1451.posture：姿勢, 心構え】&lt;/b&gt;&lt;/span&gt;
&lt;span class="ml"&gt;ラテン語に由来する語で、以下の2つの要素から成る。
&lt;span class="spacer"&gt;&lt;/span&gt;ponere（置く）の過去分詞positus
ura（名詞化）
&lt;span class="spacer"&gt;&lt;/span&gt;このまま日本語にすると「置かれた状態」となる。これは何かの位置や配置を表したが、特に身体の各パーツの位置を指すようになり、そこから身体のポジション＝「姿勢」という意味になった。
&lt;span class="spacer"&gt;&lt;/span&gt;さらにそこから比喩的に、状況に対する心理的な姿勢＝「心構え」という意味にもなった。&lt;/span&gt;</v>
      </c>
      <c r="AE122" s="14" t="str">
        <f>INDEX($L:$L, MATCH("puzzle", $B:$B, 0))</f>
        <v>&lt;span class="w"&gt;&lt;b&gt;【624.puzzle：〜を当惑させる, 〜を困惑させる】&lt;/b&gt;&lt;/span&gt;
&lt;span class="ml"&gt;近代英語pose（難しい問題や質問で当惑させる）にさかのぼる。
&lt;span class="spacer"&gt;&lt;/span&gt;この語はパズルのように「頭に引っかかって前に進めない状態にする」というイメージ。ここから「当惑させる, 困惑させる」という意味になる。
&lt;span class="spacer"&gt;&lt;/span&gt;もともとはposeという形だったが、反復・継続を表すpuzzleという形になった。これにより困惑や当惑が反復・継続している状態、つまり頭の中がぐるぐる回るような状態を表した。&lt;/span&gt;</v>
      </c>
      <c r="AF122" s="15"/>
      <c r="AG122" s="15"/>
      <c r="AU122" s="15"/>
      <c r="AV122" s="1" t="s">
        <v>1502</v>
      </c>
      <c r="BG122" s="7" t="s">
        <v>1503</v>
      </c>
      <c r="BH122" s="1" t="s">
        <v>1947</v>
      </c>
      <c r="BI122" s="2" t="s">
        <v>7295</v>
      </c>
      <c r="BJ122" s="1" t="s">
        <v>1504</v>
      </c>
      <c r="BK122" s="2" t="s">
        <v>2348</v>
      </c>
      <c r="BL122" s="1" t="s">
        <v>2044</v>
      </c>
      <c r="BM122" s="2" t="s">
        <v>2349</v>
      </c>
      <c r="BN122" s="1" t="s">
        <v>1865</v>
      </c>
      <c r="BO122" s="2" t="s">
        <v>2350</v>
      </c>
    </row>
    <row r="123" spans="1:71" ht="144" x14ac:dyDescent="0.45">
      <c r="A123" s="5">
        <v>122</v>
      </c>
      <c r="B123" s="8" t="s">
        <v>102</v>
      </c>
      <c r="C123" s="6" t="s">
        <v>1816</v>
      </c>
      <c r="D123" s="7" t="s">
        <v>9752</v>
      </c>
      <c r="E123" s="1" t="s">
        <v>1325</v>
      </c>
      <c r="F123" s="1" t="s">
        <v>1326</v>
      </c>
      <c r="G123" s="1"/>
      <c r="J123" s="1" t="s">
        <v>9753</v>
      </c>
      <c r="K123" s="2" t="s">
        <v>7296</v>
      </c>
      <c r="L123" s="9" t="s">
        <v>8050</v>
      </c>
      <c r="P123" s="7" t="s">
        <v>1241</v>
      </c>
      <c r="AU123" s="15"/>
      <c r="AV123" s="1" t="s">
        <v>1502</v>
      </c>
      <c r="BG123" s="7" t="s">
        <v>1503</v>
      </c>
      <c r="BH123" s="1" t="s">
        <v>1504</v>
      </c>
      <c r="BI123" s="2" t="s">
        <v>2351</v>
      </c>
      <c r="BJ123" s="1" t="s">
        <v>1869</v>
      </c>
      <c r="BK123" s="1" t="s">
        <v>2352</v>
      </c>
      <c r="BL123" s="1" t="s">
        <v>2044</v>
      </c>
      <c r="BM123" s="2" t="s">
        <v>2353</v>
      </c>
      <c r="BN123" s="1" t="s">
        <v>1865</v>
      </c>
      <c r="BO123" s="2" t="s">
        <v>2354</v>
      </c>
    </row>
    <row r="124" spans="1:71" ht="306" x14ac:dyDescent="0.45">
      <c r="A124" s="5">
        <v>123</v>
      </c>
      <c r="B124" s="8" t="s">
        <v>1559</v>
      </c>
      <c r="C124" s="6" t="s">
        <v>1816</v>
      </c>
      <c r="D124" s="7" t="s">
        <v>9752</v>
      </c>
      <c r="E124" s="1" t="s">
        <v>1338</v>
      </c>
      <c r="F124" s="1" t="s">
        <v>1250</v>
      </c>
      <c r="G124" s="1"/>
      <c r="J124" s="1" t="s">
        <v>9753</v>
      </c>
      <c r="K124" s="2" t="s">
        <v>10400</v>
      </c>
      <c r="L124" s="3" t="s">
        <v>12105</v>
      </c>
      <c r="M124" s="1" t="s">
        <v>12115</v>
      </c>
      <c r="P124" s="7" t="s">
        <v>1241</v>
      </c>
      <c r="Q124" s="14" t="str">
        <f>INDEX($L:$L, MATCH("offer", $B:$B, 0))</f>
        <v>&lt;span class="w"&gt;&lt;b&gt;【12.offer：～を提供する, ～を申し出る】&lt;/b&gt;&lt;/span&gt;
&lt;span class="ml"&gt;ラテン語に由来する語で、以下の2つの要素から成る。
&lt;span class="spacer"&gt;&lt;/span&gt;ob（～に対して）
ferre（運ぶ）
&lt;span class="spacer"&gt;&lt;/span&gt;このまま日本語にすると「～に対して運ぶ」となる。何かを相手に対して運ぶイメージから「提供する, 申し出る」という意味になる。&lt;/span&gt;</v>
      </c>
      <c r="R124" s="14" t="str">
        <f>INDEX($L:$L, MATCH("refer", $B:$B, 0))</f>
        <v>&lt;span class="w"&gt;&lt;b&gt;【102.refer：言及する, 参照する】&lt;/b&gt;&lt;/span&gt;
&lt;span class="ml"&gt;ラテン語に由来する語で、以下の2つの要素から成る。
&lt;span class="spacer"&gt;&lt;/span&gt;re（戻る）
ferre（運ぶ）
&lt;span class="spacer"&gt;&lt;/span&gt;このまま日本語にすると「運んで戻る」となる。離れた場所にある情報を取りに行き、それを運んで戻って来ることから「参照する」という意味になる。
&lt;span class="spacer"&gt;&lt;/span&gt;また別の場所へ行って再び元の場所に戻るというイメージから、会話の中である話題に立ち寄る＝何かに「言及する」という意味になる。
&lt;div class="sample_image refer"&gt;&lt;/div&gt;&lt;/span&gt;</v>
      </c>
      <c r="S124" s="14" t="str">
        <f>INDEX($L:$L, MATCH("suffer", $B:$B, 0))</f>
        <v>&lt;span class="w"&gt;&lt;b&gt;【138.suffer：苦しむ, 患う】&lt;/b&gt;&lt;/span&gt;
&lt;span class="ml"&gt;ラテン語に由来する語で、以下の2つの要素から成る。
&lt;span class="spacer"&gt;&lt;/span&gt;sub（下に）
ferre（運ぶ）
&lt;span class="spacer"&gt;&lt;/span&gt;このまま日本語にすると「下に運ぶ」となる。もともとは、物理的に重いものがのしかかることを表したが、そこからその苦しみの表現へ発展し、苦痛を受けて「苦しむ」や病気を「患う」という意味になった。
&lt;div class="sample_image suffer"&gt;&lt;/div&gt;&lt;/span&gt;</v>
      </c>
      <c r="T124" s="14" t="str">
        <f>INDEX($L:$L, MATCH("differ", $B:$B, 0))</f>
        <v>&lt;span class="w"&gt;&lt;b&gt;【514.differ：異なる】&lt;/b&gt;&lt;/span&gt;
&lt;span class="ml"&gt;ラテン語に由来する語で、以下の2つの要素から成る。
&lt;span class="spacer"&gt;&lt;/span&gt;dis（離して）
ferre（運ぶ）
&lt;span class="spacer"&gt;&lt;/span&gt;このまま日本語にすると「離れて運ぶ」となる。もともとは別々の方向に運ぶというイメージ。そこから同じではない、つまり「異なる」という意味になる。&lt;/span&gt;</v>
      </c>
      <c r="U124" s="14" t="str">
        <f>INDEX($L:$L, MATCH("transfer", $B:$B, 0))</f>
        <v>&lt;span class="w"&gt;&lt;b&gt;【611.transfer：〜を移す, 乗り換える】&lt;/b&gt;&lt;/span&gt;
&lt;span class="ml"&gt;ラテン語に由来する語で、以下の2つの要素から成る。
&lt;span class="spacer"&gt;&lt;/span&gt;trans（越えて）
ferre（運ぶ）
&lt;span class="spacer"&gt;&lt;/span&gt;このまま日本語にすると「越えて運ぶ」となる。これは、ある場所から越えた向こう側へ運ぶイメージ。そこから、物や人を一つの状態・場所・手段から別の状態・場所・手段に「移す」という意味になる。
&lt;div class="sample_image transfer"&gt;&lt;/div&gt;&lt;/span&gt;</v>
      </c>
      <c r="V124" s="14" t="str">
        <f>INDEX($L:$L, MATCH("infer", $B:$B, 0))</f>
        <v>&lt;span class="w"&gt;&lt;b&gt;【1201.infer：〜を推論する, 推測する】&lt;/b&gt;&lt;/span&gt;
&lt;span class="ml"&gt;ラテン語に由来する語で、以下の2つの要素から成る。
&lt;span class="spacer"&gt;&lt;/span&gt;in（中に）
ferre（運ぶ）
&lt;span class="spacer"&gt;&lt;/span&gt;このまま日本語にすると「中に運ぶ」となる。既にある事柄を思考の中に持ち込んで結論を出すことから、既知の情報をもとに「推論する, 推測する」という意味になる。
&lt;div class="sample_image infer"&gt;&lt;/div&gt;&lt;/span&gt;</v>
      </c>
      <c r="W124" s="14" t="str">
        <f>INDEX($L:$L, MATCH("conference", $B:$B, 0))</f>
        <v>&lt;span class="w"&gt;&lt;b&gt;【461.conference：会議, 協議】&lt;/b&gt;&lt;/span&gt;
&lt;span class="ml"&gt;ラテン語に由来する語で、以下の2つの要素から成る。
&lt;span class="spacer"&gt;&lt;/span&gt;com（共に）
ferre（運ぶ）
&lt;span class="spacer"&gt;&lt;/span&gt;このまま日本語にすると「共に運ぶ」となる。これは、人々が意見や話題を持ち寄って集まるというイメージ。そこから、意見や問題を持ち寄って話し合う「会議, 協議」という意味になる。
&lt;div class="sample_image conference"&gt;&lt;/div&gt;&lt;/span&gt;</v>
      </c>
      <c r="X124" s="13" t="str">
        <f>INDEX($L:$L, MATCH("indifferent", $B:$B, 0))</f>
        <v>&lt;span class="w"&gt;&lt;b&gt;【1091.indifferent：無関心な, どちらでもいい】&lt;/b&gt;&lt;/span&gt;
&lt;span class="ml"&gt;ラテン語に由来する語で、以下の3つの要素から成る。
&lt;span class="spacer"&gt;&lt;/span&gt;in（否定）
dis（離れて）
ferre（運ぶ）
&lt;span class="spacer"&gt;&lt;/span&gt;different（異なる）に否定のinが付いたと考えればよい。興味を引くような違いがない、違いがあったとしても気にしないというイメージから「無関心な, どちらでもいい」という意味になる。&lt;/span&gt;</v>
      </c>
      <c r="AU124" s="15"/>
      <c r="AV124" s="1" t="s">
        <v>1502</v>
      </c>
      <c r="BG124" s="7" t="s">
        <v>1503</v>
      </c>
      <c r="BH124" s="1" t="s">
        <v>1947</v>
      </c>
      <c r="BI124" s="2" t="s">
        <v>2355</v>
      </c>
      <c r="BJ124" s="1" t="s">
        <v>1504</v>
      </c>
      <c r="BK124" s="2" t="s">
        <v>2356</v>
      </c>
      <c r="BL124" s="1" t="s">
        <v>2044</v>
      </c>
      <c r="BM124" s="2" t="s">
        <v>2357</v>
      </c>
      <c r="BO124" s="2"/>
    </row>
    <row r="125" spans="1:71" ht="180" x14ac:dyDescent="0.45">
      <c r="A125" s="5">
        <v>124</v>
      </c>
      <c r="B125" s="8" t="s">
        <v>1521</v>
      </c>
      <c r="C125" s="6" t="s">
        <v>1816</v>
      </c>
      <c r="D125" s="7" t="s">
        <v>9752</v>
      </c>
      <c r="E125" s="1" t="s">
        <v>1327</v>
      </c>
      <c r="F125" s="1" t="s">
        <v>1328</v>
      </c>
      <c r="G125" s="1"/>
      <c r="J125" s="1" t="s">
        <v>9753</v>
      </c>
      <c r="K125" s="2" t="s">
        <v>7297</v>
      </c>
      <c r="L125" s="3" t="s">
        <v>8051</v>
      </c>
      <c r="M125" s="1" t="s">
        <v>12139</v>
      </c>
      <c r="P125" s="7" t="s">
        <v>1241</v>
      </c>
      <c r="Q125" s="13" t="str">
        <f>INDEX($L:$L, MATCH("term", $B:$B, 0))</f>
        <v>&lt;span class="w"&gt;&lt;b&gt;【71.term：用語, 期間, 学期, 間柄, 条件】&lt;/b&gt;&lt;/span&gt;
&lt;span class="ml"&gt;ラテン語terminus（終わり, 境界線）に由来する。
&lt;span class="spacer"&gt;&lt;/span&gt;境界線は範囲の終わりを示すものなので、termの核は「範囲の限定」となる。
&lt;span class="spacer"&gt;&lt;/span&gt;①言葉に関して
言葉はさまざまな使い方ができるが、使い方の範囲が定められている言葉は「用語」となる。
&lt;span class="spacer"&gt;&lt;/span&gt;②時間に関して
時間は無限だが、範囲が定められている時間＝は「期間, 学期」となる。
&lt;span class="spacer"&gt;&lt;/span&gt;③関係性に関して
関係性は多様だが、範囲が定められている関係性はterms「間柄」となる。
&lt;span class="spacer"&gt;&lt;/span&gt;④無条件ではなく、範囲が定められている状態はterms「条件」となる。&lt;/span&gt;</v>
      </c>
      <c r="AU125" s="15"/>
      <c r="AV125" s="1" t="s">
        <v>1502</v>
      </c>
      <c r="BG125" s="7" t="s">
        <v>1503</v>
      </c>
      <c r="BH125" s="1" t="s">
        <v>2034</v>
      </c>
      <c r="BI125" s="2" t="s">
        <v>7298</v>
      </c>
      <c r="BJ125" s="1" t="s">
        <v>1504</v>
      </c>
      <c r="BK125" s="2" t="s">
        <v>2358</v>
      </c>
      <c r="BL125" s="1" t="s">
        <v>2044</v>
      </c>
      <c r="BM125" s="2" t="s">
        <v>2359</v>
      </c>
      <c r="BN125" s="1" t="s">
        <v>1865</v>
      </c>
      <c r="BO125" s="2" t="s">
        <v>2360</v>
      </c>
    </row>
    <row r="126" spans="1:71" ht="162" x14ac:dyDescent="0.45">
      <c r="A126" s="5">
        <v>125</v>
      </c>
      <c r="B126" s="8" t="s">
        <v>103</v>
      </c>
      <c r="C126" s="6" t="s">
        <v>1816</v>
      </c>
      <c r="D126" s="7" t="s">
        <v>9752</v>
      </c>
      <c r="E126" s="1" t="s">
        <v>103</v>
      </c>
      <c r="F126" s="1"/>
      <c r="G126" s="1"/>
      <c r="J126" s="1" t="s">
        <v>9753</v>
      </c>
      <c r="K126" s="2" t="s">
        <v>7299</v>
      </c>
      <c r="L126" s="9" t="s">
        <v>8052</v>
      </c>
      <c r="M126" s="1" t="s">
        <v>12154</v>
      </c>
      <c r="P126" s="7" t="s">
        <v>1241</v>
      </c>
      <c r="Q126" s="14" t="str">
        <f>INDEX($L:$L, MATCH("treaty", $B:$B, 0))</f>
        <v>&lt;span class="w"&gt;&lt;b&gt;【1478.treaty：条約, 協定】&lt;/b&gt;&lt;/span&gt;
&lt;span class="ml"&gt;ラテン語trahere（引っ張る）から派生したtractare（扱う, 管理する）に由来する。
&lt;span class="spacer"&gt;&lt;/span&gt;もともとは、物理的に引っ張るという動作を表したが、そこから比喩的に問題を引き出して扱うこと、議論すること、そして交渉という意味へと発展していった。
&lt;span class="spacer"&gt;&lt;/span&gt;さらに交渉という行為そのものから、それによって結ばれる合意へと発展し、ある集団や国家の間で結ばれる「条約, 協定」という意味になった。&lt;/span&gt;</v>
      </c>
      <c r="R126" s="13" t="str">
        <f>INDEX($L:$L, MATCH("retreat", $B:$B, 0))</f>
        <v>&lt;span class="w"&gt;&lt;b&gt;【1172.retreat：後退, 退却, 撤回】&lt;/b&gt;&lt;/span&gt;
&lt;span class="ml"&gt;ラテン語に由来する語で、以下の2つの要素から成る。
&lt;span class="spacer"&gt;&lt;/span&gt;re（後ろへ）
trahere（引く）
&lt;span class="spacer"&gt;&lt;/span&gt;この語の核は「後ろへ引くこと」。物理的に引っ込めることから「後退, 撤退, 撤回」といった意味になった。また引っ込んで隠れることから「隠れ家, 避難所」という意味にもなる。
&lt;div class="sample_image retreat"&gt;&lt;/div&gt;&lt;/span&gt;</v>
      </c>
      <c r="S126" s="13" t="str">
        <f>INDEX($L:$L, MATCH("trace", $B:$B, 0))</f>
        <v>&lt;span class="w"&gt;&lt;b&gt;【618.trace：（足跡・起源など）をたどる】&lt;/b&gt;&lt;/span&gt;
&lt;span class="ml"&gt;ラテン語trahere（引く）に由来する。
&lt;span class="spacer"&gt;&lt;/span&gt;何かを引くとそのあとに跡ができる。その跡を目印にしてなぞることから「たどる」という意味になった。&lt;/span&gt;</v>
      </c>
      <c r="T126" s="13" t="str">
        <f>INDEX($L:$L, MATCH("trait", $B:$B, 0))</f>
        <v>&lt;span class="w"&gt;&lt;b&gt;【455.trait：特性, 特徴】&lt;/b&gt;&lt;/span&gt;
&lt;span class="ml"&gt;ラテン語trahere（引く）に由来する。
&lt;span class="spacer"&gt;&lt;/span&gt;もともとは「（物理的にものを）引っ張る」という動作を意味していたが、そこからペンや筆で「引かれた線」を指すようになった。
&lt;span class="spacer"&gt;&lt;/span&gt;特に顔の絵を描く際の線は、他者と区別される「その人固有の顔立ち（身体的特徴）」となることから、最終的に目に見えない内面的な「特徴, 特性」という意味へと発展した。
&lt;div class="sample_image trait"&gt;&lt;/div&gt;&lt;/span&gt;</v>
      </c>
      <c r="U126" s="13" t="str">
        <f>INDEX($L:$L, MATCH("trail", $B:$B, 0))</f>
        <v>&lt;span class="w"&gt;&lt;b&gt;【972.trail：小道, 跡】&lt;/b&gt;&lt;/span&gt;
&lt;span class="ml"&gt;古フランス語trailler（引く, 引きずる）に由来する。
&lt;span class="spacer"&gt;&lt;/span&gt;この語の核は「引きずってできたもの」。人や動物が通って引かれた「跡」や、繰り返し通ることでできる「小道」という意味になる。&lt;/span&gt;</v>
      </c>
      <c r="V126" s="13" t="str">
        <f>INDEX($L:$L, MATCH("portray", $B:$B, 0))</f>
        <v>&lt;span class="w"&gt;&lt;b&gt;【1409.portray：〜を描く, 役を演じる】&lt;/b&gt;&lt;/span&gt;
&lt;span class="ml"&gt;古フランス語に由来する語で、以下の2つの要素から成る。
&lt;span class="spacer"&gt;&lt;/span&gt;por（前へ）
traire（引く, 線を引く）
&lt;span class="spacer"&gt;&lt;/span&gt;この語の核は「内部のイメージを外に引き出して形にする」。そこから、印象・状況・人物像・性格などさまざまなものを絵や言葉で「描く」という意味になる。また演技を通して形にすることから「演じる」という意味になる。
&lt;div class="sample_image portray"&gt;&lt;/div&gt;&lt;/span&gt;</v>
      </c>
      <c r="AU126" s="15"/>
      <c r="AV126" s="1" t="s">
        <v>1502</v>
      </c>
      <c r="BG126" s="7" t="s">
        <v>1503</v>
      </c>
      <c r="BH126" s="1" t="s">
        <v>2034</v>
      </c>
      <c r="BI126" s="2" t="s">
        <v>7300</v>
      </c>
      <c r="BJ126" s="1" t="s">
        <v>1504</v>
      </c>
      <c r="BK126" s="2" t="s">
        <v>2361</v>
      </c>
      <c r="BL126" s="1" t="s">
        <v>2044</v>
      </c>
      <c r="BM126" s="2" t="s">
        <v>2362</v>
      </c>
    </row>
    <row r="127" spans="1:71" ht="216" x14ac:dyDescent="0.45">
      <c r="A127" s="5">
        <v>126</v>
      </c>
      <c r="B127" s="8" t="s">
        <v>104</v>
      </c>
      <c r="C127" s="6" t="s">
        <v>1816</v>
      </c>
      <c r="D127" s="7" t="s">
        <v>9752</v>
      </c>
      <c r="E127" s="1" t="s">
        <v>104</v>
      </c>
      <c r="F127" s="1"/>
      <c r="G127" s="1"/>
      <c r="J127" s="1" t="s">
        <v>9753</v>
      </c>
      <c r="K127" s="2" t="s">
        <v>7301</v>
      </c>
      <c r="L127" s="9" t="s">
        <v>8053</v>
      </c>
      <c r="P127" s="7" t="s">
        <v>1241</v>
      </c>
      <c r="Q127" s="14" t="str">
        <f>INDEX($L:$L, MATCH("approve", $B:$B, 0))</f>
        <v>&lt;span class="w"&gt;&lt;b&gt;【802.approve：賛成する, 〜を承認する】&lt;/b&gt;&lt;/span&gt;
&lt;span class="ml"&gt;ラテン語に由来する語で、以下の2つの要素から成る。
&lt;span class="spacer"&gt;&lt;/span&gt;ad（〜へ）
probus（良い, 正直な）から派生したprobare（良いかどうかを試す, 良いとわかる）
&lt;span class="spacer"&gt;&lt;/span&gt;このまま日本語にすると「何かに対して良いかどうかを試し、良いとわかる」となる。そこから、思考や判断などのプロセスを経て「賛成する, 承認する」という意味になる。
&lt;span class="spacer"&gt;&lt;/span&gt;ad（〜へ）が付かなければproveになる。proveは「証明する, わかる」、approveは何かに対して良いとわかった結果「賛成する, 承認する」というイメージで覚える。
&lt;div class="sample_image approve"&gt;&lt;/div&gt;&lt;/span&gt;</v>
      </c>
      <c r="R127" s="13" t="str">
        <f>INDEX($L:$L, MATCH("probable", $B:$B, 0))</f>
        <v>&lt;span class="w"&gt;&lt;b&gt;【1385.probable：十分にありそうな】&lt;/b&gt;&lt;/span&gt;
&lt;span class="ml"&gt;ラテン語に由来する語で、以下の2つの要素から成る。
&lt;span class="spacer"&gt;&lt;/span&gt;probare（試す, 証明する）
bilis（〜できる）
&lt;span class="spacer"&gt;&lt;/span&gt;もともとは、何かを試して実際に確かめることができる、正しいと認められるということを表した。たとえば、ある主張内容を確かめることができて、それが問題なく成立するということは、その主張は正しく妥当であると判断される。
&lt;span class="spacer"&gt;&lt;/span&gt;そこから、ある主張や予想に関して、それが妥当であると考えられる、つまり事実である可能性や現実に起こる可能性が高いということを表して「十分にありそうな」という意味になった。&lt;/span&gt;</v>
      </c>
      <c r="AU127" s="15"/>
      <c r="AV127" s="1" t="s">
        <v>1502</v>
      </c>
      <c r="BG127" s="7" t="s">
        <v>1503</v>
      </c>
      <c r="BH127" s="1" t="s">
        <v>2034</v>
      </c>
      <c r="BI127" s="2" t="s">
        <v>7302</v>
      </c>
      <c r="BJ127" s="1" t="s">
        <v>1504</v>
      </c>
      <c r="BK127" s="2" t="s">
        <v>2363</v>
      </c>
      <c r="BL127" s="1" t="s">
        <v>2044</v>
      </c>
      <c r="BM127" s="2" t="s">
        <v>2364</v>
      </c>
    </row>
    <row r="128" spans="1:71" ht="324" x14ac:dyDescent="0.45">
      <c r="A128" s="5">
        <v>127</v>
      </c>
      <c r="B128" s="8" t="s">
        <v>1560</v>
      </c>
      <c r="C128" s="6" t="s">
        <v>1816</v>
      </c>
      <c r="D128" s="7" t="s">
        <v>9752</v>
      </c>
      <c r="E128" s="1" t="s">
        <v>1329</v>
      </c>
      <c r="F128" s="1" t="s">
        <v>1330</v>
      </c>
      <c r="G128" s="1"/>
      <c r="J128" s="1" t="s">
        <v>9753</v>
      </c>
      <c r="K128" s="2" t="s">
        <v>7303</v>
      </c>
      <c r="L128" s="3" t="s">
        <v>8054</v>
      </c>
      <c r="M128" s="1" t="s">
        <v>12155</v>
      </c>
      <c r="P128" s="7" t="s">
        <v>1241</v>
      </c>
      <c r="Q128" s="14" t="str">
        <f>INDEX($L:$L, MATCH("imply", $B:$B, 0))</f>
        <v>&lt;span class="w"&gt;&lt;b&gt;【423.imply：〜を暗に意味する】&lt;/b&gt;&lt;/span&gt;
&lt;span class="ml"&gt;ラテン語に由来する語で、以下の2つの要素から成る。
&lt;span class="spacer"&gt;&lt;/span&gt;in（中に）
plicare（折る, 畳む）
&lt;span class="spacer"&gt;&lt;/span&gt;このまま日本語にすると「中に折る」となる。これは、何かを中に入れた状態で折りたたんで包み込むイメージ。そこから、言葉の中に直接は言わない意味を包み込むことを表し、「暗に意味する」という意味になる。
&lt;div class="sample_image imply"&gt;&lt;/div&gt;&lt;/span&gt;</v>
      </c>
      <c r="R128" s="14" t="str">
        <f>INDEX($L:$L, MATCH("employ", $B:$B, 0))</f>
        <v>&lt;span class="w"&gt;&lt;b&gt;【517.employ：〜を雇う】&lt;/b&gt;&lt;/span&gt;
&lt;span class="ml"&gt;ラテン語に由来する語で、以下の2つの要素から成る。
&lt;span class="spacer"&gt;&lt;/span&gt;in（中に）
plicare（折る）
&lt;span class="spacer"&gt;&lt;/span&gt;このまま日本語にすると「中に折る」となる。これは、中に入れた状態で折りたたむイメージ。そこから、何らかの目的に巻き込む、事業に巻き込むことへと発展し、「雇う」という意味になった。
&lt;div class="sample_image employ"&gt;&lt;/div&gt;
&lt;span class="spacer"&gt;&lt;/span&gt;employは、implyと同じ語源にさかのぼる。
imply（暗に意味する）は中に折り込むという元のイメージをより保っている。
&lt;span class="spacer"&gt;&lt;/span&gt;employは元のイメージから発展して事業に巻き込む＝「雇う」になった。&lt;/span&gt;</v>
      </c>
      <c r="S128" s="14" t="str">
        <f>INDEX($L:$L, MATCH("exploit", $B:$B, 0))</f>
        <v>&lt;span class="w"&gt;&lt;b&gt;【1237.exploit：〜を活用する, 〜を搾取する, 〜を開発する】&lt;/b&gt;&lt;/span&gt;
&lt;span class="ml"&gt;ラテン語に由来する語で、以下の2つの要素から成る。
&lt;span class="spacer"&gt;&lt;/span&gt;ex（外に）
plicare（折る）
&lt;span class="spacer"&gt;&lt;/span&gt;もともとは、折りたたまれているものを外へ開くことを表した。そこから、まだ手がつけられていない土地や、眠っている天然資源（鉱山など）を広げて展開し、目に見える形にして役立てる＝「開発する, 活用する」という意味になった。
&lt;span class="spacer"&gt;&lt;/span&gt;さらに、利益のために土地を開発して資源を活用するという言葉が、人間に対して使われるようになり、利益のために人々を使う＝「搾取する」というネガティブな意味にもなった。
&lt;div class="sample_image exploit"&gt;&lt;/div&gt;&lt;/span&gt;</v>
      </c>
      <c r="T128" s="14" t="str">
        <f>INDEX($L:$L, MATCH("display", $B:$B, 0))</f>
        <v>&lt;span class="w"&gt;&lt;b&gt;【230.display：～を示す, ～を展示する】&lt;/b&gt;&lt;/span&gt;
&lt;span class="ml"&gt;ラテン語に由来する語で、以下の2つの要素から成る。
&lt;span class="spacer"&gt;&lt;/span&gt;dis（離れて）
plicare（折る）
&lt;span class="spacer"&gt;&lt;/span&gt;このまま日本語にすると「折られたものを離す」となる。折り紙を広げるようなイメージから、何かを展開する＝広げて見せる＝「展示する, 示す」という意味になる。&lt;/span&gt;</v>
      </c>
      <c r="U128" s="14" t="str">
        <f>INDEX($L:$L, MATCH("complicate", $B:$B, 0))</f>
        <v>&lt;span class="w"&gt;&lt;b&gt;【1036.complicate：複雑にする】&lt;/b&gt;&lt;/span&gt;
&lt;span class="ml"&gt;ラテン語に由来する語で、以下の2つの要素から成る。
&lt;span class="spacer"&gt;&lt;/span&gt;com（共に）
plicare（折る）
&lt;span class="spacer"&gt;&lt;/span&gt;このまま日本語にすると「共に折る」となる。様々なものを一緒にして折り込むことで単純ではなく「複雑にする」という意味になる。&lt;/span&gt;</v>
      </c>
      <c r="V128" s="14" t="str">
        <f>INDEX($L:$L, MATCH("complex", $B:$B, 0))</f>
        <v>&lt;span class="w"&gt;&lt;b&gt;【181.complex：複雑な】&lt;/b&gt;&lt;/span&gt;
&lt;span class="ml"&gt;ラテン語に由来する語で、以下の2つの要素から成る。
&lt;span class="spacer"&gt;&lt;/span&gt;com（共に）
plectere（編む）
&lt;span class="spacer"&gt;&lt;/span&gt;このまま日本語にすると「共に編む」となる。複数の要素が編み込まれて入り組んでいるイメージから「複雑な」という意味になる。
&lt;div class="sample_image complex"&gt;&lt;/div&gt;&lt;/span&gt;</v>
      </c>
      <c r="W128" s="14" t="str">
        <f>INDEX($L:$L, MATCH("multiple", $B:$B, 0))</f>
        <v>&lt;span class="w"&gt;&lt;b&gt;【479.multiple：多様な】&lt;/b&gt;&lt;/span&gt;
&lt;span class="ml"&gt;ラテン語に由来する語で、以下の2つの要素から成る。
&lt;span class="spacer"&gt;&lt;/span&gt;multi（多数の）
plus（n倍, n重）
&lt;span class="spacer"&gt;&lt;/span&gt;このまま日本語にすると「多重の」となる。たくさん折り重なっているイメージから「多様な」という意味になる。
&lt;span class="spacer"&gt;&lt;/span&gt;-plus（n倍の, n重の）はラテン語plicare（折る, 重ねる）と関係がある。折り重ねることからn重という意味になる。ラテン語-plusは、以下の英語にも見られる。
&lt;span class="spacer"&gt;&lt;/span&gt;double（2倍, 2重）
dou（2）ble（-plus）
&lt;span class="spacer"&gt;&lt;/span&gt;triple（3倍, 3重）
tri（3）ple（-plus）&lt;/span&gt;</v>
      </c>
      <c r="X128" s="15"/>
      <c r="Y128" s="15"/>
      <c r="AU128" s="15"/>
      <c r="AV128" s="1" t="s">
        <v>1502</v>
      </c>
      <c r="BG128" s="7" t="s">
        <v>1503</v>
      </c>
      <c r="BH128" s="1" t="s">
        <v>2034</v>
      </c>
      <c r="BI128" s="2" t="s">
        <v>2365</v>
      </c>
      <c r="BJ128" s="1" t="s">
        <v>1504</v>
      </c>
      <c r="BK128" s="2" t="s">
        <v>2366</v>
      </c>
      <c r="BL128" s="1" t="s">
        <v>2044</v>
      </c>
      <c r="BM128" s="2" t="s">
        <v>2367</v>
      </c>
      <c r="BN128" s="1" t="s">
        <v>1865</v>
      </c>
      <c r="BO128" s="2" t="s">
        <v>2368</v>
      </c>
    </row>
    <row r="129" spans="1:71" ht="288" x14ac:dyDescent="0.45">
      <c r="A129" s="5">
        <v>128</v>
      </c>
      <c r="B129" s="8" t="s">
        <v>1331</v>
      </c>
      <c r="C129" s="6" t="s">
        <v>1816</v>
      </c>
      <c r="D129" s="7" t="s">
        <v>9752</v>
      </c>
      <c r="E129" s="1" t="s">
        <v>8885</v>
      </c>
      <c r="F129" s="1" t="s">
        <v>1580</v>
      </c>
      <c r="G129" s="1"/>
      <c r="J129" s="1" t="s">
        <v>9753</v>
      </c>
      <c r="K129" s="2" t="s">
        <v>7304</v>
      </c>
      <c r="L129" s="4" t="s">
        <v>8055</v>
      </c>
      <c r="M129" s="1" t="s">
        <v>12156</v>
      </c>
      <c r="P129" s="7" t="s">
        <v>1241</v>
      </c>
      <c r="Q129" s="14" t="str">
        <f>INDEX($L:$L, MATCH("mental", $B:$B, 0))</f>
        <v>&lt;span class="w"&gt;&lt;b&gt;【183.mental：精神の, 頭の中で行う】&lt;/b&gt;&lt;/span&gt;
&lt;span class="ml"&gt;ラテン語に由来する語で、以下の2つの要素から成る。
&lt;span class="spacer"&gt;&lt;/span&gt;mens（心）
alis（形容詞化）
&lt;span class="spacer"&gt;&lt;/span&gt;ラテン語から意味の変化はほとんどなく「心の, 精神の, 頭の中で行う」という意味になる。&lt;/span&gt;</v>
      </c>
      <c r="R129" s="14" t="str">
        <f>INDEX($L:$L, MATCH("dementia", $B:$B, 0))</f>
        <v>&lt;span class="w"&gt;&lt;b&gt;【1064.dementia：認知症】&lt;/b&gt;&lt;/span&gt;
&lt;span class="ml"&gt;ラテン語に由来する語で、以下の3つの要素から成る。
&lt;span class="spacer"&gt;&lt;/span&gt;de（〜から離れて）
mens（心）
ia（名詞化）
&lt;span class="spacer"&gt;&lt;/span&gt;この語の核は「心があるべきところから離れている」。もともとは正気を失っている様子を表したが、そこから医学において、精神機能が極めて低い状態や精神的な能力が欠如した状態である「認知症」という意味になった。
&lt;span class="spacer"&gt;&lt;/span&gt;1800年代の人々は、「認知症」のことを心や精神が失われた状態、精神の病だと考えていたことがわかる。
&lt;div class="sample_image dementia"&gt;&lt;/div&gt;&lt;/span&gt;</v>
      </c>
      <c r="S129" s="13" t="str">
        <f>INDEX($L:$L, MATCH("comment", $B:$B, 0))</f>
        <v>&lt;span class="w"&gt;&lt;b&gt;【441.comment：意見, コメント】&lt;/b&gt;&lt;/span&gt;
&lt;span class="ml"&gt;ラテン語ラテン語に由来する語で、以下の2つの要素から成る。
&lt;span class="spacer"&gt;&lt;/span&gt;com（強意）
mēns（心）に関連する動詞meminisse（思い出す）
&lt;span class="spacer"&gt;&lt;/span&gt;この語の核は、心（mind）で考えること。そこから考え出されたもの＝「意見, コメント」という意味になる。&lt;/span&gt;</v>
      </c>
      <c r="T129" s="14" t="str">
        <f>INDEX($L:$L, MATCH("remind", $B:$B, 0))</f>
        <v>&lt;span class="w"&gt;&lt;b&gt;【416.remind：〜に思い出させる】&lt;/b&gt;&lt;/span&gt;
&lt;span class="ml"&gt;近代英語にさかのぼり、以下の2つの要素から成る。
&lt;span class="spacer"&gt;&lt;/span&gt;re（再び）
mind（心にとめる）
&lt;span class="spacer"&gt;&lt;/span&gt;このまま日本語にすると「再び心にとめる」となる。誰かに対してもう一度心にとめさせることから、「思い出させる」という意味になる。&lt;/span&gt;</v>
      </c>
      <c r="U129" s="13" t="str">
        <f>INDEX($L:$L, MATCH("monument", $B:$B, 0))</f>
        <v>&lt;span class="w"&gt;&lt;b&gt;【1277.monument：記念碑, 遺跡, 金字塔】&lt;/b&gt;&lt;/span&gt;
&lt;span class="ml"&gt;ラテン語に由来する語で、以下の2つの要素から成る。
&lt;span class="spacer"&gt;&lt;/span&gt;monere（思い出させる）
mentum（名詞化）
&lt;span class="spacer"&gt;&lt;/span&gt;この語の核は「人や出来事を思い出させるもの」。そこから、亡くなった人を思い出させるための墓や霊廟、または特定の人物や出来事を記念して建てられた像といった「記念碑, 遺跡」という意味になった。
&lt;span class="spacer"&gt;&lt;/span&gt;また物理的な建造物だけではなく比喩的に、後世に長く語り継がれるべき偉大な業績や不朽の名作を表す「金字塔」という意味でも使われる。
&lt;div class="sample_image monument"&gt;&lt;/div&gt;&lt;/span&gt;</v>
      </c>
      <c r="V129" s="13" t="str">
        <f>INDEX($L:$L, MATCH("monitor", $B:$B, 0))</f>
        <v>&lt;span class="w"&gt;&lt;b&gt;【636.monitor：〜を監視する】&lt;/b&gt;&lt;/span&gt;
&lt;span class="ml"&gt;ラテン語に由来する語で、以下の2つの要素から成る。
&lt;span class="spacer"&gt;&lt;/span&gt;monere（思い出させる, 警告する）
or（〜するもの）
&lt;span class="spacer"&gt;&lt;/span&gt;このまま日本語にすると「警告するもの」となる。これは、問題がないか目を光らせるイメージで。そこから、何かを「監視する」という意味になる。&lt;/span&gt;</v>
      </c>
      <c r="AU129" s="15"/>
      <c r="AV129" s="1" t="s">
        <v>1502</v>
      </c>
      <c r="BG129" s="7" t="s">
        <v>1503</v>
      </c>
      <c r="BH129" s="1" t="s">
        <v>2034</v>
      </c>
      <c r="BI129" s="2" t="s">
        <v>7305</v>
      </c>
      <c r="BJ129" s="1" t="s">
        <v>1504</v>
      </c>
      <c r="BK129" s="2" t="s">
        <v>2369</v>
      </c>
      <c r="BL129" s="1" t="s">
        <v>2017</v>
      </c>
      <c r="BM129" s="1" t="s">
        <v>2370</v>
      </c>
      <c r="BN129" s="1" t="s">
        <v>2044</v>
      </c>
      <c r="BO129" s="2" t="s">
        <v>2371</v>
      </c>
      <c r="BP129" s="1" t="s">
        <v>1865</v>
      </c>
      <c r="BQ129" s="2" t="s">
        <v>2372</v>
      </c>
    </row>
    <row r="130" spans="1:71" ht="198" x14ac:dyDescent="0.45">
      <c r="A130" s="5">
        <v>129</v>
      </c>
      <c r="B130" s="8" t="s">
        <v>1337</v>
      </c>
      <c r="C130" s="6" t="s">
        <v>1816</v>
      </c>
      <c r="D130" s="7" t="s">
        <v>9752</v>
      </c>
      <c r="E130" s="1" t="s">
        <v>1467</v>
      </c>
      <c r="F130" s="1" t="s">
        <v>8886</v>
      </c>
      <c r="G130" s="1"/>
      <c r="J130" s="1" t="s">
        <v>9753</v>
      </c>
      <c r="K130" s="2" t="s">
        <v>7306</v>
      </c>
      <c r="L130" s="4" t="s">
        <v>8056</v>
      </c>
      <c r="M130" s="1" t="s">
        <v>12141</v>
      </c>
      <c r="P130" s="7" t="s">
        <v>1241</v>
      </c>
      <c r="Q130" s="14" t="str">
        <f>INDEX($L:$L, MATCH("community", $B:$B, 0))</f>
        <v>&lt;span class="w"&gt;&lt;b&gt;【76.community：共同社会, ～界, 地域社会】&lt;/b&gt;&lt;/span&gt;
&lt;span class="ml"&gt;ラテン語に由来する語で、以下の3つの要素から成る。
&lt;span class="spacer"&gt;&lt;/span&gt;com（共に）
munis（義務）
tas（名詞化）
&lt;span class="spacer"&gt;&lt;/span&gt;このまま日本語にすると「共に義務を果たすもの」となる。つまり義務を共有していてそれを果たす集団＝「共同社会, 地域社会」という意味になる。また義務に限らず、趣味や職業などを共有している人の集まりだと「〜界」という訳になる。&lt;/span&gt;</v>
      </c>
      <c r="R130" s="14" t="str">
        <f>INDEX($L:$L, MATCH("common", $B:$B, 0))</f>
        <v>&lt;span class="w"&gt;&lt;b&gt;【84.common：共通の, 普通の, ありふれた】&lt;/b&gt;&lt;/span&gt;
&lt;span class="ml"&gt;ラテン語に由来する語で、以下の2つの要素から成る。
&lt;span class="spacer"&gt;&lt;/span&gt;com（共に）
munis（義務）
&lt;span class="spacer"&gt;&lt;/span&gt;このまま日本語にすると「義務を共にする」となる。つまりみんなが同じ義務を共有しているということ。ここから多くが何かを共有している＝「共通の」という意味になる。またみんな共通だから特別なことではなく「普通の, ありふれた」となる。&lt;/span&gt;</v>
      </c>
      <c r="S130" s="13" t="str">
        <f>INDEX($L:$L, MATCH("immune", $B:$B, 0))</f>
        <v>&lt;span class="w"&gt;&lt;b&gt;【893.immune：免疫を持つ, 免れた】&lt;/b&gt;&lt;/span&gt;
&lt;span class="ml"&gt;ラテン語に由来する語で、以下の2つの要素から成る。
&lt;span class="spacer"&gt;&lt;/span&gt;in（否定）
munis（奉仕を行っている, 義務の）
&lt;span class="spacer"&gt;&lt;/span&gt;もともとは、公共の義務や税などから免除されていることを表した。そこから医学的な意味へと発展し、病気を免れている、つまり「免疫をもつ」という意味になった。&lt;/span&gt;</v>
      </c>
      <c r="AU130" s="15"/>
      <c r="AV130" s="1" t="s">
        <v>1502</v>
      </c>
      <c r="BG130" s="7" t="s">
        <v>1503</v>
      </c>
      <c r="BH130" s="1" t="s">
        <v>2034</v>
      </c>
      <c r="BI130" s="2" t="s">
        <v>7307</v>
      </c>
      <c r="BJ130" s="1" t="s">
        <v>2044</v>
      </c>
      <c r="BK130" s="2" t="s">
        <v>2373</v>
      </c>
    </row>
    <row r="131" spans="1:71" ht="180" x14ac:dyDescent="0.45">
      <c r="A131" s="5">
        <v>130</v>
      </c>
      <c r="B131" s="8" t="s">
        <v>1561</v>
      </c>
      <c r="C131" s="6" t="s">
        <v>1816</v>
      </c>
      <c r="D131" s="7" t="s">
        <v>9752</v>
      </c>
      <c r="E131" s="1" t="s">
        <v>46</v>
      </c>
      <c r="F131" s="1" t="s">
        <v>1332</v>
      </c>
      <c r="G131" s="1"/>
      <c r="J131" s="1" t="s">
        <v>9753</v>
      </c>
      <c r="K131" s="3" t="s">
        <v>7308</v>
      </c>
      <c r="L131" s="4" t="s">
        <v>10423</v>
      </c>
      <c r="M131" s="1" t="s">
        <v>12157</v>
      </c>
      <c r="P131" s="7" t="s">
        <v>1241</v>
      </c>
      <c r="Q131" s="14" t="str">
        <f>INDEX($L:$L, MATCH("maintain", $B:$B, 0))</f>
        <v>&lt;span class="w"&gt;&lt;b&gt;【206.maintain：～を維持する, ～を主張する】&lt;/b&gt;&lt;/span&gt;
&lt;span class="ml"&gt;ラテン語に由来する語で、以下の2つの要素から成る。
&lt;span class="spacer"&gt;&lt;/span&gt;manus（手）
tenere（保つ, 握る）
&lt;span class="spacer"&gt;&lt;/span&gt;このまま日本語にすると「手で保つ」となる。手を使って何かを支えるイメージから、状態が続くように支える＝「維持する」という意味になる。手ではなく発言で誰かを支えるとなれば「主張する」という意味になる。&lt;/span&gt;</v>
      </c>
      <c r="R131" s="14" t="str">
        <f>INDEX($L:$L, MATCH("obtain", $B:$B, 0))</f>
        <v>&lt;span class="w"&gt;&lt;b&gt;【507.obtain：〜を得る】&lt;/b&gt;&lt;/span&gt;
&lt;span class="ml"&gt;ラテン語に由来する語で、以下の2つの要素から成る。
&lt;span class="spacer"&gt;&lt;/span&gt;ob（強意）
tenere（保つ）
&lt;span class="spacer"&gt;&lt;/span&gt;この語の核は「しっかり保つ」。ここから、何かをしっかりつかみとってそれを離さない、つまり努力して何かを「得る」という意味になる。
&lt;div class="sample_image obtain"&gt;&lt;/div&gt;&lt;/span&gt;</v>
      </c>
      <c r="S131" s="14" t="str">
        <f>INDEX($L:$L, MATCH("sustain", $B:$B, 0))</f>
        <v>&lt;span class="w"&gt;&lt;b&gt;【738.sustain：〜を持続させる】&lt;/b&gt;&lt;/span&gt;
&lt;span class="ml"&gt;ラテン語に由来する語で、以下の2つの要素から成る。
&lt;span class="spacer"&gt;&lt;/span&gt;sub（下から）
tenere（保つ, 保持する）
&lt;span class="spacer"&gt;&lt;/span&gt;このまま日本語にすると「下から保つ」となる。下から支えるイメージから、何かを「持続させる」という意味になる。
&lt;div class="sample_image sustain"&gt;&lt;/div&gt;&lt;/span&gt;</v>
      </c>
      <c r="T131" s="14" t="str">
        <f>INDEX($L:$L, MATCH("retain", $B:$B, 0))</f>
        <v>&lt;span class="w"&gt;&lt;b&gt;【916.retain：〜を保持する】&lt;/b&gt;&lt;/span&gt;
&lt;span class="ml"&gt;ラテン語に由来する語で、以下の2つの要素から成る。
&lt;span class="spacer"&gt;&lt;/span&gt;re（後ろに）
tenere（つかむ）
&lt;span class="spacer"&gt;&lt;/span&gt;このまま日本語にすると「つかんで後ろに」となる。何かを後ろ方向につかんで引き止めるイメージから、なくならないように留めておく、つまり何かを「保持する」という意味になる。
&lt;div class="sample_image retain"&gt;&lt;/div&gt;&lt;/span&gt;</v>
      </c>
      <c r="U131" s="14" t="str">
        <f>INDEX($L:$L, MATCH("entertain", $B:$B, 0))</f>
        <v>&lt;span class="w"&gt;&lt;b&gt;【919.entertain：〜を楽しませる, 〜をもてなす】&lt;/b&gt;&lt;/span&gt;
&lt;span class="ml"&gt;古フランス語に由来する語で、以下の2つの要素から成る。
&lt;span class="spacer"&gt;&lt;/span&gt;entre（間に）
tenir（保つ）
&lt;span class="spacer"&gt;&lt;/span&gt;この語の核は「自分と相手の間にある関係や状態を保つ」。良好な関係に保つために、客人を「もてなす」や相手を「楽しませる」という意味になる。&lt;/span&gt;</v>
      </c>
      <c r="V131" s="13" t="str">
        <f>INDEX($L:$L, MATCH("content", $B:$B, 0))</f>
        <v>&lt;span class="w"&gt;&lt;b&gt;【249.content：内容. 中身, コンテンツ】&lt;/b&gt;&lt;/span&gt;
&lt;span class="ml"&gt;ラテン語に由来する語で、以下の2つの要素から成る。
&lt;span class="spacer"&gt;&lt;/span&gt;com（共に）
tenere（保つ, 握る）
&lt;span class="spacer"&gt;&lt;/span&gt;このまま日本語にすると「共に保つ」となる。内側にまとめて保たれているものから「内容, 中身, コンテンツ」という意味になる。
&lt;span class="spacer"&gt;&lt;/span&gt;contain（含む）の名詞と考えればよい。&lt;/span&gt;</v>
      </c>
      <c r="AU131" s="15"/>
      <c r="AV131" s="1" t="s">
        <v>1502</v>
      </c>
      <c r="BG131" s="7" t="s">
        <v>1503</v>
      </c>
      <c r="BH131" s="1" t="s">
        <v>2034</v>
      </c>
      <c r="BI131" s="2" t="s">
        <v>2374</v>
      </c>
      <c r="BJ131" s="1" t="s">
        <v>1504</v>
      </c>
      <c r="BK131" s="2" t="s">
        <v>2375</v>
      </c>
      <c r="BL131" s="1" t="s">
        <v>2044</v>
      </c>
      <c r="BM131" s="2" t="s">
        <v>2376</v>
      </c>
    </row>
    <row r="132" spans="1:71" ht="288" x14ac:dyDescent="0.45">
      <c r="A132" s="5">
        <v>131</v>
      </c>
      <c r="B132" s="8" t="s">
        <v>105</v>
      </c>
      <c r="C132" s="6" t="s">
        <v>1816</v>
      </c>
      <c r="D132" s="7" t="s">
        <v>9752</v>
      </c>
      <c r="E132" s="1" t="s">
        <v>46</v>
      </c>
      <c r="F132" s="1" t="s">
        <v>1333</v>
      </c>
      <c r="G132" s="1"/>
      <c r="J132" s="1" t="s">
        <v>9753</v>
      </c>
      <c r="K132" s="2" t="s">
        <v>7309</v>
      </c>
      <c r="L132" s="4" t="s">
        <v>8057</v>
      </c>
      <c r="M132" s="1" t="s">
        <v>12158</v>
      </c>
      <c r="P132" s="7" t="s">
        <v>1241</v>
      </c>
      <c r="Q132" s="14" t="str">
        <f>INDEX($L:$L, MATCH("entire", $B:$B, 0))</f>
        <v>&lt;span class="w"&gt;&lt;b&gt;【285.entire：全体の, 全部の, 完全な】&lt;/b&gt;&lt;/span&gt;
&lt;span class="ml"&gt;ラテン語に由来する語で、以下の2つの要素から成る。
&lt;span class="spacer"&gt;&lt;/span&gt;in（否定）
tangere（触れる）
&lt;span class="spacer"&gt;&lt;/span&gt;このまま日本語にすると「触れられていない」となる。誰も触っていないから汚れておらず、何も失われていない完全な状態。ここから「全体の, 全部の, 完全な」という意味になる。&lt;/span&gt;</v>
      </c>
      <c r="R132" s="14" t="str">
        <f>INDEX($L:$L, MATCH("integrate", $B:$B, 0))</f>
        <v>&lt;span class="w"&gt;&lt;b&gt;【1239.integrate：〜を統合する, 〜を融合する】&lt;/b&gt;&lt;/span&gt;
&lt;span class="ml"&gt;ラテン語に由来する語で、以下の2つの要素から成る。
&lt;span class="spacer"&gt;&lt;/span&gt;in（否定）
tangere（触れる）
&lt;span class="spacer"&gt;&lt;/span&gt;このまま日本語にすると「触れられていない」となる。触れられていないということは、欠けている部分が全くなく、汚れてもいない完全な状態を表す。そこから、何かを完全な状態にすることへと発展し、バラバラな要素をひとつにまとめて完全にする＝「統合する, 融合する」という意味になった。
&lt;div class="sample_image integrate"&gt;&lt;/div&gt;
&lt;span class="spacer"&gt;&lt;/span&gt;全く同じ語源からはinteger（整数）も生まれている。小数や分数のように端数や分割のない完全な数字＝整数を意味する。&lt;/span&gt;</v>
      </c>
      <c r="S132" s="13" t="str">
        <f>INDEX($L:$L, MATCH("attain", $B:$B, 0))</f>
        <v>&lt;span class="w"&gt;&lt;b&gt;【1406.attain：〜を達成する, 獲得する】&lt;/b&gt;&lt;/span&gt;
&lt;span class="ml"&gt;ラテン語に由来する語で、以下の2つの要素から成る。
&lt;span class="spacer"&gt;&lt;/span&gt;ad（〜へ）
tangere（触れる）
&lt;span class="spacer"&gt;&lt;/span&gt;このまま日本語にすると「何かへ触れる」となる。目標へ向かって手を伸ばして、ついに触れるというイメージから、何かを「獲得する」や目標を「達成する」という意味になる。
&lt;span class="spacer"&gt;&lt;/span&gt;obtain, contain, maintain, retainは、ラテン語tenere（保つ）に由来する。tainというスペルだが語源が異なる。
&lt;div class="sample_image attain"&gt;&lt;/div&gt;&lt;/span&gt;</v>
      </c>
      <c r="AU132" s="15"/>
      <c r="AV132" s="1" t="s">
        <v>1502</v>
      </c>
      <c r="BG132" s="7" t="s">
        <v>1503</v>
      </c>
      <c r="BH132" s="1" t="s">
        <v>2034</v>
      </c>
      <c r="BI132" s="2" t="s">
        <v>2377</v>
      </c>
      <c r="BJ132" s="1" t="s">
        <v>1865</v>
      </c>
      <c r="BK132" s="2" t="s">
        <v>2378</v>
      </c>
    </row>
    <row r="133" spans="1:71" ht="216" x14ac:dyDescent="0.45">
      <c r="A133" s="5">
        <v>132</v>
      </c>
      <c r="B133" s="8" t="s">
        <v>106</v>
      </c>
      <c r="C133" s="6" t="s">
        <v>1816</v>
      </c>
      <c r="D133" s="7" t="s">
        <v>9752</v>
      </c>
      <c r="E133" s="1" t="s">
        <v>1251</v>
      </c>
      <c r="F133" s="1" t="s">
        <v>1334</v>
      </c>
      <c r="G133" s="1"/>
      <c r="J133" s="1" t="s">
        <v>9753</v>
      </c>
      <c r="K133" s="2" t="s">
        <v>7310</v>
      </c>
      <c r="L133" s="4" t="s">
        <v>11619</v>
      </c>
      <c r="P133" s="7" t="s">
        <v>1241</v>
      </c>
      <c r="Q133" s="14" t="str">
        <f>INDEX($L:$L, MATCH("regardless", $B:$B, 0))</f>
        <v>&lt;span class="w"&gt;&lt;b&gt;【497.regardless：（of ~）〜に関係なく, 〜にかかわらず】&lt;/b&gt;&lt;/span&gt;
&lt;span class="ml"&gt;近代英語にさかのぼり、以下の2つの要素から成る。
&lt;span class="spacer"&gt;&lt;/span&gt;regard（関心, 注意）
less（～がない）
&lt;span class="spacer"&gt;&lt;/span&gt;このまま日本語にすると「関心や注意がない」となる。ある事柄に注意や関心を向けず、それを考慮に入れないことから、「〜に関係なく, 〜にもかかわらず」という意味になる。&lt;/span&gt;</v>
      </c>
      <c r="R133" s="14" t="str">
        <f>INDEX($L:$L, MATCH("guard", $B:$B, 0))</f>
        <v>&lt;span class="w"&gt;&lt;b&gt;【761.guard：警備員, 監視】&lt;/b&gt;&lt;/span&gt;
&lt;span class="ml"&gt;印欧祖語*wer-（警戒する）−古フランス語garder（保持する, 保護する）に由来する。
&lt;span class="spacer"&gt;&lt;/span&gt;もともとは注意深く見て警戒するというニュアンスだったが、そこから、見ているだけではなく何かを保護するという能動的な行動のニュアンスが強まった。そして守る行為である「監視」や、守る人である「警備員」などの意味になった。&lt;/span&gt;</v>
      </c>
      <c r="S133" s="13" t="str">
        <f>INDEX($L:$L, MATCH("reward", $B:$B, 0))</f>
        <v>&lt;span class="w"&gt;&lt;b&gt;【258.reward：報酬, 報い】&lt;/b&gt;&lt;/span&gt;
&lt;span class="ml"&gt;古北フランス語に由来する語で、以下の2つの要素から成る。
&lt;span class="spacer"&gt;&lt;/span&gt;re（強意）
warder（見る, 注意を払う）
&lt;span class="spacer"&gt;&lt;/span&gt;このまま日本語にすると「しっかり注意して見る」となる。この語の核は、相手の行動を注意して見て、行動や結果の良し悪しで報酬や罰を与えること。現代では通常、良い意味で使用されて「報酬, 報い」という意味になる。
&lt;div class="sample_image reward"&gt;&lt;/div&gt;
&lt;span class="spacer"&gt;&lt;/span&gt;rewardはregardと同じ語源を持つ。どちらも「注意して見る」ことが核になっている。wとgの違いはフランス語の方言差のようなもの。&lt;/span&gt;</v>
      </c>
      <c r="T133" s="13" t="str">
        <f>INDEX($L:$L, MATCH("award", $B:$B, 0))</f>
        <v>&lt;span class="w"&gt;&lt;b&gt;【650.award：賞, 授与】&lt;/b&gt;&lt;/span&gt;
&lt;span class="ml"&gt;古北フランス語に由来する語で、以下の2つの要素から成る。
&lt;span class="spacer"&gt;&lt;/span&gt;es（外に）
warder（注意して見る）
&lt;span class="spacer"&gt;&lt;/span&gt;この語の核は「注意深く見て判断した結果、何かを外に出す」。そこから、注意深い観察の後に送られる「賞」や、賞を与えること＝「授与」という意味になった。&lt;/span&gt;</v>
      </c>
      <c r="U133" s="13" t="str">
        <f>INDEX($L:$L, MATCH("aware", $B:$B, 0))</f>
        <v>&lt;span class="w"&gt;&lt;b&gt;【190.aware：気づいて, 知って】&lt;/b&gt;&lt;/span&gt;
&lt;span class="ml"&gt;gewær（用心深い, 警戒している）にさかのぼる語。
&lt;span class="spacer"&gt;&lt;/span&gt;用心や警戒といった注意しているという感覚から、対象に注意を向けて「気づいて, 知って」という意味になった。&lt;/span&gt;</v>
      </c>
      <c r="AU133" s="15"/>
      <c r="AV133" s="1" t="s">
        <v>1502</v>
      </c>
      <c r="BG133" s="7" t="s">
        <v>1503</v>
      </c>
      <c r="BH133" s="1" t="s">
        <v>2379</v>
      </c>
      <c r="BI133" s="2" t="s">
        <v>7311</v>
      </c>
      <c r="BJ133" s="1" t="s">
        <v>1504</v>
      </c>
      <c r="BK133" s="2" t="s">
        <v>2380</v>
      </c>
      <c r="BL133" s="1" t="s">
        <v>2044</v>
      </c>
      <c r="BM133" s="2" t="s">
        <v>2381</v>
      </c>
    </row>
    <row r="134" spans="1:71" ht="409.6" x14ac:dyDescent="0.45">
      <c r="A134" s="5">
        <v>133</v>
      </c>
      <c r="B134" s="8" t="s">
        <v>107</v>
      </c>
      <c r="C134" s="6" t="s">
        <v>1816</v>
      </c>
      <c r="D134" s="7" t="s">
        <v>9752</v>
      </c>
      <c r="E134" s="1" t="s">
        <v>1251</v>
      </c>
      <c r="F134" s="1" t="s">
        <v>4768</v>
      </c>
      <c r="G134" s="1"/>
      <c r="J134" s="1" t="s">
        <v>9753</v>
      </c>
      <c r="K134" s="2" t="s">
        <v>7312</v>
      </c>
      <c r="L134" s="4" t="s">
        <v>8058</v>
      </c>
      <c r="M134" s="1" t="s">
        <v>12135</v>
      </c>
      <c r="P134" s="7" t="s">
        <v>1241</v>
      </c>
      <c r="Q134" s="14" t="str">
        <f>INDEX($L:$L, MATCH("aspect", $B:$B, 0))</f>
        <v>&lt;span class="w"&gt;&lt;b&gt;【174.aspect：側面, 観点】&lt;/b&gt;&lt;/span&gt;
&lt;span class="ml"&gt;ラテン語に由来する語で、以下の3つの要素から成る。
&lt;span class="spacer"&gt;&lt;/span&gt;ad（～へ）
specere（見る）
tus（名詞化）
&lt;span class="spacer"&gt;&lt;/span&gt;このまま日本語にすると「～へ見ること」となる。もともとは占星術用語として使われ、地球と他の惑星がどのように見えるかを意味した。たとえば地球から月を見るとき、地球上の観測点からは月のひとつの面しか見えない。
&lt;span class="spacer"&gt;&lt;/span&gt;ここから、自分から相手、相手から自分を見るそれぞれの「観点」や、見ている相手の「側面」という意味になる。
&lt;div class="sample_image aspect"&gt;&lt;/div&gt;&lt;/span&gt;</v>
      </c>
      <c r="R134" s="14" t="str">
        <f>INDEX($L:$L, MATCH("suspect", $B:$B, 0))</f>
        <v>&lt;span class="w"&gt;&lt;b&gt;【630.suspect：〜を疑う, 〜ではないかと思う】&lt;/b&gt;&lt;/span&gt;
&lt;span class="ml"&gt;ラテン語に由来する語で、以下の2つの要素から成る。
&lt;span class="spacer"&gt;&lt;/span&gt;sub（下から）
specere（見る）
&lt;span class="spacer"&gt;&lt;/span&gt;このまま日本語にすると「下から見る」となる。これは、下からこっそり見上げて疑いの目を向けるイメージ。ここから「疑う」という意味になる。
&lt;div class="sample_image suspect"&gt;&lt;/div&gt;&lt;/span&gt;</v>
      </c>
      <c r="S134" s="14" t="str">
        <f>INDEX($L:$L, MATCH("prospect", $B:$B, 0))</f>
        <v>&lt;span class="w"&gt;&lt;b&gt;【860.prospect：見込み, 未来への展望, 有望な人】&lt;/b&gt;&lt;/span&gt;
&lt;span class="ml"&gt;ラテン語に由来する語で、以下の2つの要素から成る。
&lt;span class="spacer"&gt;&lt;/span&gt;pro（前へ）
specere（見る）
&lt;span class="spacer"&gt;&lt;/span&gt;このまま日本語にすると「前方を見る」となる。物理的に遠くを見ることから、時間的に遠い将来を見ることへと発展して「見込み, 未来への展望」という意味になった。また未来を期待される人＝「将来有望な人」という意味にもなった。&lt;/span&gt;</v>
      </c>
      <c r="T134" s="14" t="str">
        <f>INDEX($L:$L, MATCH("perspective", $B:$B, 0))</f>
        <v>&lt;span class="w"&gt;&lt;b&gt;【365.perspective：観点（≒立場）, 大局観, 遠近法】&lt;/b&gt;&lt;/span&gt;
&lt;span class="ml"&gt;ラテン語に由来する語で、以下の2つの要素から成る。
&lt;span class="spacer"&gt;&lt;/span&gt;per（通して）
specere（見る）
&lt;span class="spacer"&gt;&lt;/span&gt;このまま日本語にすると「見通す」となる。これは「ある視点から対象の奥側まで全体を見通す」というイメージで、次の3つのポイントがある。①見る視点・②全体を見ること・③奥まで見ること。
&lt;span class="spacer"&gt;&lt;/span&gt;「見る視点」からは、物事を見るときの視点＝「観点, 立場」という意味になる。
&lt;span class="spacer"&gt;&lt;/span&gt;「全体を見る」からは、対局を見通す「大局観」という意味になる。
&lt;span class="spacer"&gt;&lt;/span&gt;「奥まで見る」からは、空間を見通して奥行や距離を正しく把握する「遠近法」という意味になる。
&lt;div class="sample_image perspective"&gt;&lt;/div&gt;
&lt;span class="spacer"&gt;&lt;/span&gt;perspectiveは、ある「観点, 立場」から「全体を見ること」。そしてその見方の一例が「遠近法」だと覚えればよい。&lt;/span&gt;</v>
      </c>
      <c r="U134" s="14" t="str">
        <f>INDEX($L:$L, MATCH("spectator", $B:$B, 0))</f>
        <v>&lt;span class="w"&gt;&lt;b&gt;【1465.spectator：観客】&lt;/b&gt;&lt;/span&gt;
&lt;span class="ml"&gt;ラテン語に由来する語で、以下の2つの要素から成る。
&lt;span class="spacer"&gt;&lt;/span&gt;spectare（繰り返し見る, 観察する）
or（〜する人）
&lt;span class="spacer"&gt;&lt;/span&gt;このまま日本語にすると「しっかり見る人, 観察する人」すなわち「観客」という意味になる。
&lt;span class="spacer"&gt;&lt;/span&gt;spectを見たら「見る」系の意味だと覚えておくとよい。&lt;/span&gt;</v>
      </c>
      <c r="V134" s="14" t="str">
        <f>INDEX($L:$L, MATCH("species", $B:$B, 0))</f>
        <v>&lt;span class="w"&gt;&lt;b&gt;【56.species：（生物の）種】&lt;/b&gt;&lt;/span&gt;
&lt;span class="ml"&gt;ラテン語specere（注視する）に由来する。
&lt;span class="spacer"&gt;&lt;/span&gt;何かを注視するということは、全体を見るのではなく、全体の中の特定のものに目を向けるということ。ここから生物全体の中の特定の種類＝「生物の種」という意味になる。
&lt;span class="spacer"&gt;&lt;/span&gt;ラテン語のspeciesが英語になっただけなので、-iesは英語の名詞複数形ではない。&lt;/span&gt;</v>
      </c>
      <c r="W134" s="14" t="str">
        <f>INDEX($L:$L, MATCH("specific", $B:$B, 0))</f>
        <v>&lt;span class="w"&gt;&lt;b&gt;【184.specific：特定の, 明確な, 具体的な, ～に特有の】&lt;/b&gt;&lt;/span&gt;
&lt;span class="ml"&gt;ラテン語に由来する語で、以下の2つの要素から成る。
&lt;span class="spacer"&gt;&lt;/span&gt;species（種類）
facere（作る, する）
&lt;span class="spacer"&gt;&lt;/span&gt;このまま日本語にすると「ある種類を作る」となる。何かの種類を作るとは、他の種類にはない特定の性質を持たせるということ。ここから「特定の, 特有の」という意味になる。
&lt;span class="spacer"&gt;&lt;/span&gt;また特定という意味から曖昧ではなく「明確な, 具体的な」という意味になる。&lt;/span&gt;</v>
      </c>
      <c r="X134" s="14" t="str">
        <f>INDEX($L:$L, MATCH("unexpected", $B:$B, 0))</f>
        <v>&lt;span class="w"&gt;&lt;b&gt;【594.unexpected：思いがけない】&lt;/b&gt;&lt;/span&gt;
&lt;span class="ml"&gt;［expectの語源］
ラテン語に由来する語で、以下の2つの要素から成る。
&lt;span class="spacer"&gt;&lt;/span&gt;ex（外に, 徹底的に）
specere（見る）
&lt;span class="spacer"&gt;&lt;/span&gt;このまま日本語にすると「外を徹底的に見る」となる。これが頭の中で未来の出来事に目を向けることへと発展し、未来に起こることを「期待する」という意味になった。
&lt;span class="spacer"&gt;&lt;/span&gt;［unexpectedの語源］
近代英語にさかのぼり、以下の2つの要素から成る。
&lt;span class="spacer"&gt;&lt;/span&gt;un（否定）
expectの過去分詞expected
&lt;span class="spacer"&gt;&lt;/span&gt;ここから、起きることを期待して見ていなかった、つまり「思いがけない」という意味になる。&lt;/span&gt;</v>
      </c>
      <c r="Y134" s="14" t="str">
        <f>INDEX($L:$L, MATCH("spectrum", $B:$B, 0))</f>
        <v>&lt;span class="w"&gt;&lt;b&gt;【1369.spectrum：スペクトル, （波動・変動の）範囲】&lt;/b&gt;&lt;/span&gt;
&lt;span class="ml"&gt;ラテン語に由来する語で、以下の2つの要素から成る。
&lt;span class="spacer"&gt;&lt;/span&gt;specere（見る, 眺める）
um（名詞化）
&lt;span class="spacer"&gt;&lt;/span&gt;このまま日本語にすると「見えるもの」となり、核は「本来は見えないものが目の前に現れたもの」。
&lt;span class="spacer"&gt;&lt;/span&gt;物理学者のアイザック・ニュートンが、プリズムを通した太陽光が虹色に分かれる現象を発表した際、この暗闇に浮かび上がる光の帯を光が現れた姿と見立ててspectrumと名付けた。そこから目に見える光の色帯＝「スペクトル」という意味になった。
&lt;span class="spacer"&gt;&lt;/span&gt;さらに、光の波長が途切れることなく連続して広がっている様子から、光や音だけではなく事象や意見など、様々な物事が連続的に存在する「範囲」という意味にもなった。
&lt;div class="sample_image spectrum"&gt;&lt;/div&gt;&lt;/span&gt;</v>
      </c>
      <c r="Z134" s="14" t="str">
        <f>INDEX($L:$L, MATCH("despite", $B:$B, 0))</f>
        <v>&lt;span class="w"&gt;&lt;b&gt;【100.despite：～にもかかわらず】&lt;/b&gt;&lt;/span&gt;
&lt;span class="ml"&gt;ラテン語に由来する語で、以下の2つの要素から成る。
&lt;span class="spacer"&gt;&lt;/span&gt;de（下に）
specere（見る）
&lt;span class="spacer"&gt;&lt;/span&gt;このまま日本語にすると「下に見る」となる。これは見下すという対象の存在を軽く見る行為。「対象があってもなくても関係ない」から「～にもかかわらず」という意味になる。
&lt;span class="spacer"&gt;&lt;/span&gt;ターゲットの例文 "They went hiking despite the fact a storm was coming" は「嵐が来ている事実を、それが事実であろうとなかろうと関係なくハイキングに行った」ということを伝えている。この日本語訳を「嵐が来ているという事実&lt;strong&gt;にもかかわらず&lt;/strong&gt;」と表現しているだけ。&lt;/span&gt;</v>
      </c>
      <c r="AU134" s="15"/>
      <c r="AV134" s="1" t="s">
        <v>1502</v>
      </c>
      <c r="BG134" s="7" t="s">
        <v>1503</v>
      </c>
      <c r="BH134" s="1" t="s">
        <v>2034</v>
      </c>
      <c r="BI134" s="2" t="s">
        <v>2382</v>
      </c>
      <c r="BJ134" s="1" t="s">
        <v>2017</v>
      </c>
      <c r="BK134" s="2" t="s">
        <v>2383</v>
      </c>
      <c r="BL134" s="1" t="s">
        <v>1865</v>
      </c>
      <c r="BM134" s="2" t="s">
        <v>2384</v>
      </c>
    </row>
    <row r="135" spans="1:71" ht="90" x14ac:dyDescent="0.45">
      <c r="A135" s="5">
        <v>134</v>
      </c>
      <c r="B135" s="8" t="s">
        <v>1265</v>
      </c>
      <c r="C135" s="6" t="s">
        <v>1816</v>
      </c>
      <c r="D135" s="7" t="s">
        <v>9752</v>
      </c>
      <c r="E135" s="1" t="s">
        <v>108</v>
      </c>
      <c r="F135" s="1"/>
      <c r="G135" s="1"/>
      <c r="J135" s="1" t="s">
        <v>9753</v>
      </c>
      <c r="K135" s="2" t="s">
        <v>7156</v>
      </c>
      <c r="L135" s="4" t="s">
        <v>8059</v>
      </c>
      <c r="P135" s="7" t="s">
        <v>1241</v>
      </c>
      <c r="Q135" s="13" t="str">
        <f>INDEX($L:$L, MATCH("research", $B:$B, 0))</f>
        <v>&lt;span class="w"&gt;&lt;b&gt;【45.research：研究, 調査】&lt;/b&gt;&lt;/span&gt;
&lt;span class="ml"&gt;search部分のもとになったのは、ラテン語circus（円）から派生した動詞circare（ぐるぐる歩き回る）。
&lt;span class="spacer"&gt;&lt;/span&gt;このラテン語が古フランス語のcercher（探し求める）となり、以下の2つの要素からreserchを構成する。
&lt;span class="spacer"&gt;&lt;/span&gt;re（強意）
cercher（探し求める）
&lt;span class="spacer"&gt;&lt;/span&gt;「円」から「ぐるぐる歩き回る」となり、歩き回る様子から何かを「探し求める」、そして名詞の「研究, 調査」となる。&lt;/span&gt;</v>
      </c>
      <c r="AU135" s="15"/>
      <c r="AV135" s="1" t="s">
        <v>1502</v>
      </c>
      <c r="BG135" s="7" t="s">
        <v>1503</v>
      </c>
      <c r="BH135" s="1" t="s">
        <v>2034</v>
      </c>
      <c r="BI135" s="2" t="s">
        <v>7313</v>
      </c>
      <c r="BJ135" s="1" t="s">
        <v>2036</v>
      </c>
      <c r="BK135" s="1" t="s">
        <v>2089</v>
      </c>
      <c r="BL135" s="1" t="s">
        <v>1504</v>
      </c>
      <c r="BM135" s="2" t="s">
        <v>2385</v>
      </c>
      <c r="BN135" s="1" t="s">
        <v>2044</v>
      </c>
      <c r="BO135" s="2" t="s">
        <v>2386</v>
      </c>
    </row>
    <row r="136" spans="1:71" ht="108" x14ac:dyDescent="0.45">
      <c r="A136" s="5">
        <v>135</v>
      </c>
      <c r="B136" s="8" t="s">
        <v>1562</v>
      </c>
      <c r="C136" s="6" t="s">
        <v>1816</v>
      </c>
      <c r="D136" s="7" t="s">
        <v>9752</v>
      </c>
      <c r="E136" s="1" t="s">
        <v>46</v>
      </c>
      <c r="F136" s="1" t="s">
        <v>1335</v>
      </c>
      <c r="G136" s="1"/>
      <c r="J136" s="1" t="s">
        <v>9753</v>
      </c>
      <c r="K136" s="2" t="s">
        <v>7314</v>
      </c>
      <c r="L136" s="9" t="s">
        <v>8060</v>
      </c>
      <c r="P136" s="7" t="s">
        <v>1241</v>
      </c>
      <c r="AU136" s="15"/>
      <c r="AV136" s="1" t="s">
        <v>1502</v>
      </c>
      <c r="BG136" s="7" t="s">
        <v>1503</v>
      </c>
      <c r="BH136" s="1" t="s">
        <v>2034</v>
      </c>
      <c r="BI136" s="2" t="s">
        <v>2387</v>
      </c>
      <c r="BJ136" s="1" t="s">
        <v>2044</v>
      </c>
      <c r="BK136" s="2" t="s">
        <v>2388</v>
      </c>
    </row>
    <row r="137" spans="1:71" ht="198" x14ac:dyDescent="0.45">
      <c r="A137" s="5">
        <v>136</v>
      </c>
      <c r="B137" s="8" t="s">
        <v>1563</v>
      </c>
      <c r="C137" s="6" t="s">
        <v>1816</v>
      </c>
      <c r="D137" s="7" t="s">
        <v>9752</v>
      </c>
      <c r="E137" s="1" t="s">
        <v>1327</v>
      </c>
      <c r="F137" s="1" t="s">
        <v>1336</v>
      </c>
      <c r="G137" s="1"/>
      <c r="J137" s="1" t="s">
        <v>9753</v>
      </c>
      <c r="K137" s="2" t="s">
        <v>7315</v>
      </c>
      <c r="L137" s="3" t="s">
        <v>8061</v>
      </c>
      <c r="M137" s="1" t="s">
        <v>12159</v>
      </c>
      <c r="P137" s="7" t="s">
        <v>1241</v>
      </c>
      <c r="Q137" s="14" t="str">
        <f>INDEX($L:$L, MATCH("inclined", $B:$B, 0))</f>
        <v>&lt;span class="w"&gt;&lt;b&gt;【1200.inclined：傾向がある】&lt;/b&gt;&lt;/span&gt;
&lt;span class="ml"&gt;ラテン語に由来する語で、以下の2つの要素から成る。
&lt;span class="spacer"&gt;&lt;/span&gt;in（中に）
clinare（傾く）
&lt;span class="spacer"&gt;&lt;/span&gt;このまま日本語にすると「中に傾く」となる。物理的に何かがある方へ傾くことから、心や性質が対象へ傾くことも表すようになった。
&lt;span class="spacer"&gt;&lt;/span&gt;be inclined to doで「〜すること」に対して心や性質が傾いている、つまり「〜する傾向がある」「〜したい気がする（考えた結果そちらに心が傾いている）」といった意味になる。
&lt;div class="sample_image inclined"&gt;&lt;/div&gt;&lt;/span&gt;</v>
      </c>
      <c r="R137" s="14" t="str">
        <f>INDEX($L:$L, MATCH("client", $B:$B, 0))</f>
        <v>&lt;span class="w"&gt;&lt;b&gt;【571.client：顧客, （弁護士などへの）依頼人】&lt;/b&gt;&lt;/span&gt;
&lt;span class="ml"&gt;ラテン語clinare（傾く）に関連するclientem（家臣, 従者）に由来する。
&lt;span class="spacer"&gt;&lt;/span&gt;この語の核は「他者に傾いて寄りかかる者」。ここから自分のことに関して誰かを頼る者を表し、弁護士などへの「依頼人」や、助言やサービスを依頼する「顧客」という意味になった。&lt;/span&gt;</v>
      </c>
      <c r="S137" s="15"/>
      <c r="T137" s="15"/>
      <c r="AU137" s="15"/>
      <c r="AV137" s="1" t="s">
        <v>1502</v>
      </c>
      <c r="BG137" s="7" t="s">
        <v>1503</v>
      </c>
      <c r="BH137" s="1" t="s">
        <v>2034</v>
      </c>
      <c r="BI137" s="2" t="s">
        <v>7316</v>
      </c>
      <c r="BJ137" s="1" t="s">
        <v>1504</v>
      </c>
      <c r="BK137" s="1" t="s">
        <v>2389</v>
      </c>
      <c r="BL137" s="1" t="s">
        <v>2044</v>
      </c>
      <c r="BM137" s="2" t="s">
        <v>2390</v>
      </c>
      <c r="BN137" s="1" t="s">
        <v>1865</v>
      </c>
      <c r="BO137" s="2" t="s">
        <v>2391</v>
      </c>
    </row>
    <row r="138" spans="1:71" ht="324" x14ac:dyDescent="0.45">
      <c r="A138" s="5">
        <v>137</v>
      </c>
      <c r="B138" s="8" t="s">
        <v>109</v>
      </c>
      <c r="C138" s="6" t="s">
        <v>1816</v>
      </c>
      <c r="D138" s="7" t="s">
        <v>9752</v>
      </c>
      <c r="E138" s="1" t="s">
        <v>1338</v>
      </c>
      <c r="F138" s="1" t="s">
        <v>1339</v>
      </c>
      <c r="G138" s="1"/>
      <c r="J138" s="1" t="s">
        <v>9753</v>
      </c>
      <c r="K138" s="2" t="s">
        <v>7317</v>
      </c>
      <c r="L138" s="3" t="s">
        <v>8062</v>
      </c>
      <c r="M138" s="1" t="s">
        <v>12152</v>
      </c>
      <c r="P138" s="7" t="s">
        <v>1241</v>
      </c>
      <c r="Q138" s="14" t="str">
        <f>INDEX($L:$L, MATCH("eventually", $B:$B, 0))</f>
        <v>&lt;span class="w"&gt;&lt;b&gt;【200.eventually：結局, 最終的に】&lt;/b&gt;&lt;/span&gt;
&lt;span class="ml"&gt;eventuallyは以下の4つの要素から成る。
&lt;span class="spacer"&gt;&lt;/span&gt;ex（外に：ラテン語）
venire（来る：ラテン語）
uel（形容詞化：古フランス語）
ly（副詞化：近代英語）
&lt;span class="spacer"&gt;&lt;/span&gt;もっとシンプルにすると
event＋ual＋lyとなる。
&lt;span class="spacer"&gt;&lt;/span&gt;「外に来る」は、様々な過程を経て何かが出てくること。つまり「最終的な結果, 出来事」を意味する。これが副詞となることで「結果的に, 結局, 最終的に」という意味になる。&lt;/span&gt;</v>
      </c>
      <c r="R138" s="14" t="str">
        <f>INDEX($L:$L, MATCH("conventional", $B:$B, 0))</f>
        <v>&lt;span class="w"&gt;&lt;b&gt;【585.conventional：従来通りの, 型にはまった】&lt;/b&gt;&lt;/span&gt;
&lt;span class="ml"&gt;ラテン語に由来する語で、以下の4つの要素から成る。
&lt;span class="spacer"&gt;&lt;/span&gt;com（共に）
venire（来る）
io（名詞化）
alis（形容詞化）
&lt;span class="spacer"&gt;&lt;/span&gt;まずは「共に来ること」から、①人が集まること、②人が集まって形成される合意、③人が集まることで作られる暗黙のルール＝慣習という意味になる。
&lt;span class="spacer"&gt;&lt;/span&gt;慣習というのは、古くから受け継がれるもの。そこから昔から変わらない、つまり「従来通りの」という意味になる。また少しネガティブなニュアンスになると、新しさがなくて「型にはまった」という意味になる。
&lt;div class="sample_image conventional"&gt;&lt;/div&gt;&lt;/span&gt;</v>
      </c>
      <c r="S138" s="14" t="str">
        <f>INDEX($L:$L, MATCH("revenue", $B:$B, 0))</f>
        <v>&lt;span class="w"&gt;&lt;b&gt;【1477.revenue：歳入, 収入】&lt;/b&gt;&lt;/span&gt;
&lt;span class="ml"&gt;ラテン語に由来する語で、以下の2つの要素から成る。
&lt;span class="spacer"&gt;&lt;/span&gt;re（後ろへ, 戻って）
venire（来る）
&lt;span class="spacer"&gt;&lt;/span&gt;この語の核は「戻ってくるもの」。お金を払って何かを手に入れ、それを使ってお金を得る、つまりお金が戻ってくることから「収入」という意味になった。またそこから、国家の一年間の収入＝「歳入」という意味にもなった。
&lt;div class="sample_image revenue"&gt;&lt;/div&gt;&lt;/span&gt;</v>
      </c>
      <c r="T138" s="14" t="str">
        <f>INDEX($L:$L, MATCH("venture", $B:$B, 0))</f>
        <v>&lt;span class="w"&gt;&lt;b&gt;【1204.venture：危険を冒して進む】&lt;/b&gt;&lt;/span&gt;
&lt;span class="ml"&gt;古ラテン語に由来する語で、以下の2つの要素から成る。
&lt;span class="spacer"&gt;&lt;/span&gt;ad（〜へ）
venire（来る）
&lt;span class="spacer"&gt;&lt;/span&gt;このまま日本語にすると「〜へ来る」となる。もともとは、どこかから何かが自分の元へやって来ることを表した。そこから、将来的に起こることという意味を経て、将来的に結果がどうなるかわからない出来事、そして結果がわからない危険な試みへと発展し、動詞で「危険を冒して進む」という意味になった。&lt;/span&gt;</v>
      </c>
      <c r="U138" s="14" t="str">
        <f>INDEX($L:$L, MATCH("convenient", $B:$B, 0))</f>
        <v>&lt;span class="w"&gt;&lt;b&gt;【395.convenient：便利な, 都合のよい】&lt;/b&gt;&lt;/span&gt;
&lt;span class="ml"&gt;ラテン語に由来する語で、以下の2つの要素から成る。
&lt;span class="spacer"&gt;&lt;/span&gt;com（共に）
venire（来る）
&lt;span class="spacer"&gt;&lt;/span&gt;このまま日本語にすると「共に来る」となる。これは何かと何かが一緒に来てそろうイメージ。例えば、条件がそろう、何かを必要としている人とそれを不要としている人が一緒に来るなど。ここから「都合のよい, 便利な」という意味になる。&lt;/span&gt;</v>
      </c>
      <c r="V138" s="14" t="str">
        <f>INDEX($L:$L, MATCH("achieve", $B:$B, 0))</f>
        <v>&lt;span class="w"&gt;&lt;b&gt;【118.achieve：～を達成する】&lt;/b&gt;&lt;/span&gt;
&lt;span class="ml"&gt;ラテン語に由来する語で、以下の3つの要素から成る。
&lt;span class="spacer"&gt;&lt;/span&gt;ad（～へ）
capt（頭）
venire（来る）
&lt;span class="spacer"&gt;&lt;/span&gt;このまま日本語にすると「頭へ来る」となる。頭は動物の体の端にあることから、端へ来る＝終わりに到達する＝何かを「達成する」という意味になる。
&lt;span class="spacer"&gt;&lt;/span&gt;ラテン語capt（頭）はcaptain（キャプテン）の語源でもある。&lt;/span&gt;</v>
      </c>
      <c r="W138" s="15"/>
      <c r="AU138" s="15"/>
      <c r="AV138" s="1" t="s">
        <v>1502</v>
      </c>
      <c r="BG138" s="7" t="s">
        <v>1503</v>
      </c>
      <c r="BH138" s="1" t="s">
        <v>2034</v>
      </c>
      <c r="BI138" s="2" t="s">
        <v>2392</v>
      </c>
      <c r="BJ138" s="1" t="s">
        <v>2324</v>
      </c>
      <c r="BK138" s="1" t="s">
        <v>2393</v>
      </c>
      <c r="BL138" s="1" t="s">
        <v>2044</v>
      </c>
      <c r="BM138" s="2" t="s">
        <v>2394</v>
      </c>
      <c r="BN138" s="1" t="s">
        <v>1865</v>
      </c>
      <c r="BO138" s="2" t="s">
        <v>2395</v>
      </c>
    </row>
    <row r="139" spans="1:71" ht="360" x14ac:dyDescent="0.45">
      <c r="A139" s="5">
        <v>138</v>
      </c>
      <c r="B139" s="8" t="s">
        <v>1340</v>
      </c>
      <c r="C139" s="6" t="s">
        <v>1816</v>
      </c>
      <c r="D139" s="7" t="s">
        <v>9752</v>
      </c>
      <c r="E139" s="1" t="s">
        <v>1684</v>
      </c>
      <c r="F139" s="1" t="s">
        <v>1250</v>
      </c>
      <c r="G139" s="1"/>
      <c r="J139" s="1" t="s">
        <v>9753</v>
      </c>
      <c r="K139" s="2" t="s">
        <v>7318</v>
      </c>
      <c r="L139" s="3" t="s">
        <v>10031</v>
      </c>
      <c r="M139" s="1" t="s">
        <v>12115</v>
      </c>
      <c r="P139" s="7" t="s">
        <v>1241</v>
      </c>
      <c r="Q139" s="14" t="str">
        <f>INDEX($L:$L, MATCH("offer", $B:$B, 0))</f>
        <v>&lt;span class="w"&gt;&lt;b&gt;【12.offer：～を提供する, ～を申し出る】&lt;/b&gt;&lt;/span&gt;
&lt;span class="ml"&gt;ラテン語に由来する語で、以下の2つの要素から成る。
&lt;span class="spacer"&gt;&lt;/span&gt;ob（～に対して）
ferre（運ぶ）
&lt;span class="spacer"&gt;&lt;/span&gt;このまま日本語にすると「～に対して運ぶ」となる。何かを相手に対して運ぶイメージから「提供する, 申し出る」という意味になる。&lt;/span&gt;</v>
      </c>
      <c r="R139" s="14" t="str">
        <f>INDEX($L:$L, MATCH("refer", $B:$B, 0))</f>
        <v>&lt;span class="w"&gt;&lt;b&gt;【102.refer：言及する, 参照する】&lt;/b&gt;&lt;/span&gt;
&lt;span class="ml"&gt;ラテン語に由来する語で、以下の2つの要素から成る。
&lt;span class="spacer"&gt;&lt;/span&gt;re（戻る）
ferre（運ぶ）
&lt;span class="spacer"&gt;&lt;/span&gt;このまま日本語にすると「運んで戻る」となる。離れた場所にある情報を取りに行き、それを運んで戻って来ることから「参照する」という意味になる。
&lt;span class="spacer"&gt;&lt;/span&gt;また別の場所へ行って再び元の場所に戻るというイメージから、会話の中である話題に立ち寄る＝何かに「言及する」という意味になる。
&lt;div class="sample_image refer"&gt;&lt;/div&gt;&lt;/span&gt;</v>
      </c>
      <c r="S139" s="14" t="str">
        <f>INDEX($L:$L, MATCH("prefer", $B:$B, 0))</f>
        <v>&lt;span class="w"&gt;&lt;b&gt;【123.prefer：～を好む】&lt;/b&gt;&lt;/span&gt;
&lt;span class="ml"&gt;ラテン語に由来する語で、以下の2つの要素から成る。
&lt;span class="spacer"&gt;&lt;/span&gt;prae（前に, 先に）
ferre（運ぶ）
&lt;span class="spacer"&gt;&lt;/span&gt;このまま日本語にすると「前に運ぶ」となる。他のものよりも前に出すことから、他よりも高く評価する、他のよりも何かを「好む」という意味になる。
&lt;div class="sample_image prefer"&gt;&lt;/div&gt;
&lt;span class="spacer"&gt;&lt;/span&gt;prefer A to B（AよりBを好む）では、比較の対象をtoで示す。これは「前へ運ぶ」が、何に対して前なのかを示すため。つまり、Bに対して（to B）Aを前に運ぶ（好む）ことを表している。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v>
      </c>
      <c r="T139" s="14" t="str">
        <f>INDEX($L:$L, MATCH("differ", $B:$B, 0))</f>
        <v>&lt;span class="w"&gt;&lt;b&gt;【514.differ：異なる】&lt;/b&gt;&lt;/span&gt;
&lt;span class="ml"&gt;ラテン語に由来する語で、以下の2つの要素から成る。
&lt;span class="spacer"&gt;&lt;/span&gt;dis（離して）
ferre（運ぶ）
&lt;span class="spacer"&gt;&lt;/span&gt;このまま日本語にすると「離れて運ぶ」となる。もともとは別々の方向に運ぶというイメージ。そこから同じではない、つまり「異なる」という意味になる。&lt;/span&gt;</v>
      </c>
      <c r="U139" s="14" t="str">
        <f>INDEX($L:$L, MATCH("transfer", $B:$B, 0))</f>
        <v>&lt;span class="w"&gt;&lt;b&gt;【611.transfer：〜を移す, 乗り換える】&lt;/b&gt;&lt;/span&gt;
&lt;span class="ml"&gt;ラテン語に由来する語で、以下の2つの要素から成る。
&lt;span class="spacer"&gt;&lt;/span&gt;trans（越えて）
ferre（運ぶ）
&lt;span class="spacer"&gt;&lt;/span&gt;このまま日本語にすると「越えて運ぶ」となる。これは、ある場所から越えた向こう側へ運ぶイメージ。そこから、物や人を一つの状態・場所・手段から別の状態・場所・手段に「移す」という意味になる。
&lt;div class="sample_image transfer"&gt;&lt;/div&gt;&lt;/span&gt;</v>
      </c>
      <c r="V139" s="14" t="str">
        <f>INDEX($L:$L, MATCH("infer", $B:$B, 0))</f>
        <v>&lt;span class="w"&gt;&lt;b&gt;【1201.infer：〜を推論する, 推測する】&lt;/b&gt;&lt;/span&gt;
&lt;span class="ml"&gt;ラテン語に由来する語で、以下の2つの要素から成る。
&lt;span class="spacer"&gt;&lt;/span&gt;in（中に）
ferre（運ぶ）
&lt;span class="spacer"&gt;&lt;/span&gt;このまま日本語にすると「中に運ぶ」となる。既にある事柄を思考の中に持ち込んで結論を出すことから、既知の情報をもとに「推論する, 推測する」という意味になる。
&lt;div class="sample_image infer"&gt;&lt;/div&gt;&lt;/span&gt;</v>
      </c>
      <c r="W139" s="14" t="str">
        <f>INDEX($L:$L, MATCH("conference", $B:$B, 0))</f>
        <v>&lt;span class="w"&gt;&lt;b&gt;【461.conference：会議, 協議】&lt;/b&gt;&lt;/span&gt;
&lt;span class="ml"&gt;ラテン語に由来する語で、以下の2つの要素から成る。
&lt;span class="spacer"&gt;&lt;/span&gt;com（共に）
ferre（運ぶ）
&lt;span class="spacer"&gt;&lt;/span&gt;このまま日本語にすると「共に運ぶ」となる。これは、人々が意見や話題を持ち寄って集まるというイメージ。そこから、意見や問題を持ち寄って話し合う「会議, 協議」という意味になる。
&lt;div class="sample_image conference"&gt;&lt;/div&gt;&lt;/span&gt;</v>
      </c>
      <c r="X139" s="14" t="str">
        <f>INDEX($L:$L, MATCH("indifferent", $B:$B, 0))</f>
        <v>&lt;span class="w"&gt;&lt;b&gt;【1091.indifferent：無関心な, どちらでもいい】&lt;/b&gt;&lt;/span&gt;
&lt;span class="ml"&gt;ラテン語に由来する語で、以下の3つの要素から成る。
&lt;span class="spacer"&gt;&lt;/span&gt;in（否定）
dis（離れて）
ferre（運ぶ）
&lt;span class="spacer"&gt;&lt;/span&gt;different（異なる）に否定のinが付いたと考えればよい。興味を引くような違いがない、違いがあったとしても気にしないというイメージから「無関心な, どちらでもいい」という意味になる。&lt;/span&gt;</v>
      </c>
      <c r="AU139" s="15"/>
      <c r="AV139" s="1" t="s">
        <v>1502</v>
      </c>
      <c r="BG139" s="7" t="s">
        <v>1503</v>
      </c>
      <c r="BH139" s="1" t="s">
        <v>2034</v>
      </c>
      <c r="BI139" s="2" t="s">
        <v>10032</v>
      </c>
      <c r="BJ139" s="1" t="s">
        <v>2048</v>
      </c>
      <c r="BK139" s="1" t="s">
        <v>2396</v>
      </c>
      <c r="BL139" s="1" t="s">
        <v>1504</v>
      </c>
      <c r="BM139" s="1" t="s">
        <v>2397</v>
      </c>
      <c r="BN139" s="1" t="s">
        <v>2044</v>
      </c>
      <c r="BO139" s="2" t="s">
        <v>2398</v>
      </c>
    </row>
    <row r="140" spans="1:71" ht="234" x14ac:dyDescent="0.45">
      <c r="A140" s="5">
        <v>139</v>
      </c>
      <c r="B140" s="8" t="s">
        <v>1564</v>
      </c>
      <c r="C140" s="6" t="s">
        <v>1816</v>
      </c>
      <c r="D140" s="7" t="s">
        <v>9752</v>
      </c>
      <c r="E140" s="1" t="s">
        <v>1341</v>
      </c>
      <c r="F140" s="1" t="s">
        <v>1342</v>
      </c>
      <c r="G140" s="1"/>
      <c r="J140" s="1" t="s">
        <v>9753</v>
      </c>
      <c r="K140" s="2" t="s">
        <v>7319</v>
      </c>
      <c r="L140" s="4" t="s">
        <v>8063</v>
      </c>
      <c r="M140" s="1" t="s">
        <v>12160</v>
      </c>
      <c r="P140" s="7" t="s">
        <v>1241</v>
      </c>
      <c r="Q140" s="14" t="str">
        <f>INDEX($L:$L, MATCH("revive", $B:$B, 0))</f>
        <v>&lt;span class="w"&gt;&lt;b&gt;【1303.revive：〜を復活させる, 復活する】&lt;/b&gt;&lt;/span&gt;
&lt;span class="ml"&gt;ラテン語に由来する語で、以下の2つの要素から成る。
&lt;span class="spacer"&gt;&lt;/span&gt;re（再び）
vivere（生きる）
&lt;span class="spacer"&gt;&lt;/span&gt;このまま日本語にすると「再び生きる」となり、「復活させる, 復活する」という意味になる。vive部分はsurvive（生き延びる）と同じ。&lt;/span&gt;</v>
      </c>
      <c r="R140" s="14" t="str">
        <f>INDEX($L:$L, MATCH("vivid", $B:$B, 0))</f>
        <v>&lt;span class="w"&gt;&lt;b&gt;【1393.vivid：鮮やかな, 生き生きとした】&lt;/b&gt;&lt;/span&gt;
&lt;span class="ml"&gt;ラテン語に由来する語で、以下の2つの要素から成る。
&lt;span class="spacer"&gt;&lt;/span&gt;vivus（生きている）
idus（形容詞化）
&lt;span class="spacer"&gt;&lt;/span&gt;vividのviv部分は、surviveやreviveのviveと同じで「生きる, 生命」に関連する。
&lt;span class="spacer"&gt;&lt;/span&gt;まるで命が宿っているかのように鮮やかで強烈に目を引く感じや、目の前で実際に起きているかのようにありありと思い浮かぶことを表し、色や記憶などが「鮮やかな」、表現や描写が「生き生きとした」という意味になった。&lt;/span&gt;</v>
      </c>
      <c r="S140" s="13" t="str">
        <f>INDEX($L:$L, MATCH("vital", $B:$B, 0))</f>
        <v>&lt;span class="w"&gt;&lt;b&gt;【584.vital：必要不可欠な, 生命に関わる】&lt;/b&gt;&lt;/span&gt;
&lt;span class="ml"&gt;ラテン語に由来する語で、以下の2つの要素から成る。
&lt;span class="spacer"&gt;&lt;/span&gt;vivere（生きる）に関連するvita（生命）
alis（形容詞化）
&lt;span class="spacer"&gt;&lt;/span&gt;このまま日本語にすると「生命に関わる」という意味になる。また、実際に生命の維持に関わることから比喩的に、何かにおいて欠かせないほど重要であることを表し、「必要不可欠な」という意味になった。&lt;/span&gt;</v>
      </c>
      <c r="AU140" s="15"/>
      <c r="AV140" s="1" t="s">
        <v>1502</v>
      </c>
      <c r="BG140" s="7" t="s">
        <v>1503</v>
      </c>
      <c r="BH140" s="1" t="s">
        <v>2034</v>
      </c>
      <c r="BI140" s="2" t="s">
        <v>2399</v>
      </c>
      <c r="BJ140" s="1" t="s">
        <v>2324</v>
      </c>
      <c r="BK140" s="1" t="s">
        <v>2400</v>
      </c>
      <c r="BL140" s="1" t="s">
        <v>1504</v>
      </c>
      <c r="BM140" s="1" t="s">
        <v>2401</v>
      </c>
      <c r="BN140" s="1" t="s">
        <v>2044</v>
      </c>
      <c r="BO140" s="2" t="s">
        <v>2402</v>
      </c>
    </row>
    <row r="141" spans="1:71" ht="126" x14ac:dyDescent="0.45">
      <c r="A141" s="5">
        <v>140</v>
      </c>
      <c r="B141" s="8" t="s">
        <v>110</v>
      </c>
      <c r="C141" s="6" t="s">
        <v>1816</v>
      </c>
      <c r="D141" s="7" t="s">
        <v>9752</v>
      </c>
      <c r="E141" s="1" t="s">
        <v>110</v>
      </c>
      <c r="F141" s="1"/>
      <c r="G141" s="1"/>
      <c r="J141" s="1" t="s">
        <v>9753</v>
      </c>
      <c r="K141" s="2" t="s">
        <v>7320</v>
      </c>
      <c r="L141" s="4" t="s">
        <v>8064</v>
      </c>
      <c r="P141" s="7" t="s">
        <v>1241</v>
      </c>
      <c r="Q141" s="13" t="str">
        <f>INDEX($L:$L, MATCH("public", $B:$B, 0))</f>
        <v>&lt;span class="w"&gt;&lt;b&gt;【83.public：公の, 公衆の, 公開の】&lt;/b&gt;&lt;/span&gt;
&lt;span class="ml"&gt;ラテン語に由来する語で、以下の2つの要素から成
る。
&lt;span class="spacer"&gt;&lt;/span&gt;populus（民衆：peopleの語源）
icus（形容詞化）
&lt;span class="spacer"&gt;&lt;/span&gt;このまま日本語にすると「民衆の」となる。つまり個人や特定の集団ではなく民衆全体に開かれている＝「公の, 公衆の, 公開の」という意味になる。&lt;/span&gt;</v>
      </c>
      <c r="R141" s="13" t="str">
        <f>INDEX($L:$L, MATCH("republic", $B:$B, 0))</f>
        <v>&lt;span class="w"&gt;&lt;b&gt;【1267.republic：共和国, 共和制】&lt;/b&gt;&lt;/span&gt;
&lt;span class="ml"&gt;ラテン語に由来する語で、以下の2つの要素から成る。
&lt;span class="spacer"&gt;&lt;/span&gt;res（事柄, 物）
publica（公共の, 人々の）
&lt;span class="spacer"&gt;&lt;/span&gt;このまま日本語にすると「公共の事柄, 人々の事柄」となる。これは、王の私物・王の私的な事柄と対になる概念だと考えればよい。
&lt;span class="spacer"&gt;&lt;/span&gt;古代ローマは当初、王が国を統治し、政治や軍事、領土、財産、法律などあらゆるものが王の私物に近かった。そのため王家による専制的な支配や暴政に対する人々の不満が膨らみ、最終的にローマ人たちは王を追放し、王政廃止へと至った。
&lt;span class="spacer"&gt;&lt;/span&gt;そうすると、王が所有していたものはすべてローマ市民全体で共有し、管理すべき公共の事柄となる。国家の運営は、一部の権力者の私事ではなく、市民全体の公共の事柄であるという理念が定着すると、公共の事柄という概念そのものが、やがて国家は国民のものだとする「共和制」や、その理念に基づく「共和国」を意味するようになった。&lt;/span&gt;</v>
      </c>
      <c r="AU141" s="15"/>
      <c r="AV141" s="1" t="s">
        <v>1502</v>
      </c>
      <c r="BG141" s="7" t="s">
        <v>1503</v>
      </c>
      <c r="BH141" s="1" t="s">
        <v>2034</v>
      </c>
      <c r="BI141" s="2" t="s">
        <v>2403</v>
      </c>
      <c r="BJ141" s="1" t="s">
        <v>1504</v>
      </c>
      <c r="BK141" s="1" t="s">
        <v>2404</v>
      </c>
      <c r="BL141" s="1" t="s">
        <v>2044</v>
      </c>
      <c r="BM141" s="2" t="s">
        <v>2405</v>
      </c>
    </row>
    <row r="142" spans="1:71" ht="144" x14ac:dyDescent="0.45">
      <c r="A142" s="5">
        <v>141</v>
      </c>
      <c r="B142" s="8" t="s">
        <v>7321</v>
      </c>
      <c r="C142" s="6" t="s">
        <v>6850</v>
      </c>
      <c r="D142" s="7" t="s">
        <v>9752</v>
      </c>
      <c r="E142" s="1" t="s">
        <v>1343</v>
      </c>
      <c r="F142" s="1" t="s">
        <v>7322</v>
      </c>
      <c r="G142" s="1" t="s">
        <v>1522</v>
      </c>
      <c r="J142" s="1" t="s">
        <v>9753</v>
      </c>
      <c r="K142" s="2" t="s">
        <v>7323</v>
      </c>
      <c r="L142" s="3" t="s">
        <v>8065</v>
      </c>
      <c r="M142" s="1" t="s">
        <v>12161</v>
      </c>
      <c r="P142" s="7" t="s">
        <v>1241</v>
      </c>
      <c r="Q142" s="13" t="str">
        <f>INDEX($L:$L, MATCH("import", $B:$B, 0))</f>
        <v>&lt;span class="w"&gt;&lt;b&gt;【633.import：〜を輸入する, 〜を取り込む】&lt;/b&gt;&lt;/span&gt;
&lt;span class="ml"&gt;ラテン語に由来する語で、以下の2つの要素から成る。
&lt;span class="spacer"&gt;&lt;/span&gt;in（中に）
portare（運ぶ）
&lt;span class="spacer"&gt;&lt;/span&gt;このまま日本語にすると「中に運ぶ」となる。他国や他地域から運び込むイメージから「輸入する」や、外から「取り込む」という意味になる。&lt;/span&gt;</v>
      </c>
      <c r="R142" s="13" t="str">
        <f>INDEX($L:$L, MATCH("export", $B:$B, 0))</f>
        <v>&lt;span class="w"&gt;&lt;b&gt;【634.export：〜を輸出する】&lt;/b&gt;&lt;/span&gt;
&lt;span class="ml"&gt;ラテン語に由来する語で、以下の2つの要素から成る。
&lt;span class="spacer"&gt;&lt;/span&gt;ex（外に）
portare（運ぶ）
&lt;span class="spacer"&gt;&lt;/span&gt;このまま日本語にすると「外に運ぶ」となる。他国や他地域へ運び出すイメージから「輸出する」という意味になる。&lt;/span&gt;</v>
      </c>
      <c r="S142" s="13" t="str">
        <f>INDEX($L:$L, MATCH("transport", $B:$B, 0))</f>
        <v>&lt;span class="w"&gt;&lt;b&gt;【528.transport：〜を輸送する, 〜を運ぶ】&lt;/b&gt;&lt;/span&gt;
&lt;span class="ml"&gt;ラテン語に由来する語で、以下の2つの要素から成る。
&lt;span class="spacer"&gt;&lt;/span&gt;trans（越えて）
portare（運ぶ）
&lt;span class="spacer"&gt;&lt;/span&gt;このまま日本語にすると「越えて運ぶ」となる。ある場所から別の場所へ運ぶことから「輸送する, 運ぶ」という意味になる。&lt;/span&gt;</v>
      </c>
      <c r="AU142" s="15"/>
      <c r="AV142" s="1" t="s">
        <v>1502</v>
      </c>
      <c r="BG142" s="7" t="s">
        <v>1503</v>
      </c>
      <c r="BH142" s="1" t="s">
        <v>2034</v>
      </c>
      <c r="BI142" s="2" t="s">
        <v>7324</v>
      </c>
      <c r="BJ142" s="1" t="s">
        <v>1504</v>
      </c>
      <c r="BK142" s="1" t="s">
        <v>2406</v>
      </c>
      <c r="BL142" s="1" t="s">
        <v>2044</v>
      </c>
      <c r="BM142" s="2" t="s">
        <v>2407</v>
      </c>
    </row>
    <row r="143" spans="1:71" ht="144" x14ac:dyDescent="0.45">
      <c r="A143" s="5">
        <v>142</v>
      </c>
      <c r="B143" s="8" t="s">
        <v>111</v>
      </c>
      <c r="C143" s="6" t="s">
        <v>6850</v>
      </c>
      <c r="D143" s="7" t="s">
        <v>9752</v>
      </c>
      <c r="E143" s="1" t="s">
        <v>111</v>
      </c>
      <c r="F143" s="1"/>
      <c r="G143" s="1"/>
      <c r="J143" s="1" t="s">
        <v>9753</v>
      </c>
      <c r="K143" s="2" t="s">
        <v>7325</v>
      </c>
      <c r="L143" s="9" t="s">
        <v>8066</v>
      </c>
      <c r="P143" s="7" t="s">
        <v>1241</v>
      </c>
      <c r="Q143" s="19" t="str">
        <f>INDEX($L:$L, MATCH("contact", $B:$B, 0))</f>
        <v>&lt;span class="w"&gt;&lt;b&gt;【131.contact：〜と連絡を取る, 接触する】&lt;/b&gt;&lt;/span&gt;
&lt;span class="ml"&gt;ラテン語に由来する語で、以下の2つの要素から成る。
&lt;span class="spacer"&gt;&lt;/span&gt;com（共に）
tangere（触れる）
&lt;span class="spacer"&gt;&lt;/span&gt;このまま日本語にすると「共に触れる」となる。誰かと誰かが直接触れるなら「接触する」となり、離れていたら「連絡を取る」となる。&lt;/span&gt;</v>
      </c>
      <c r="R143" s="19" t="str">
        <f>INDEX($L:$L, MATCH("entire", $B:$B, 0))</f>
        <v>&lt;span class="w"&gt;&lt;b&gt;【285.entire：全体の, 全部の, 完全な】&lt;/b&gt;&lt;/span&gt;
&lt;span class="ml"&gt;ラテン語に由来する語で、以下の2つの要素から成る。
&lt;span class="spacer"&gt;&lt;/span&gt;in（否定）
tangere（触れる）
&lt;span class="spacer"&gt;&lt;/span&gt;このまま日本語にすると「触れられていない」となる。誰も触っていないから汚れておらず、何も失われていない完全な状態。ここから「全体の, 全部の, 完全な」という意味になる。&lt;/span&gt;</v>
      </c>
      <c r="S143" s="19" t="str">
        <f>INDEX($L:$L, MATCH("integrate", $B:$B, 0))</f>
        <v>&lt;span class="w"&gt;&lt;b&gt;【1239.integrate：〜を統合する, 〜を融合する】&lt;/b&gt;&lt;/span&gt;
&lt;span class="ml"&gt;ラテン語に由来する語で、以下の2つの要素から成る。
&lt;span class="spacer"&gt;&lt;/span&gt;in（否定）
tangere（触れる）
&lt;span class="spacer"&gt;&lt;/span&gt;このまま日本語にすると「触れられていない」となる。触れられていないということは、欠けている部分が全くなく、汚れてもいない完全な状態を表す。そこから、何かを完全な状態にすることへと発展し、バラバラな要素をひとつにまとめて完全にする＝「統合する, 融合する」という意味になった。
&lt;div class="sample_image integrate"&gt;&lt;/div&gt;
&lt;span class="spacer"&gt;&lt;/span&gt;全く同じ語源からはinteger（整数）も生まれている。小数や分数のように端数や分割のない完全な数字＝整数を意味する。&lt;/span&gt;</v>
      </c>
      <c r="T143" s="19" t="str">
        <f>INDEX($L:$L, MATCH("attain", $B:$B, 0))</f>
        <v>&lt;span class="w"&gt;&lt;b&gt;【1406.attain：〜を達成する, 獲得する】&lt;/b&gt;&lt;/span&gt;
&lt;span class="ml"&gt;ラテン語に由来する語で、以下の2つの要素から成る。
&lt;span class="spacer"&gt;&lt;/span&gt;ad（〜へ）
tangere（触れる）
&lt;span class="spacer"&gt;&lt;/span&gt;このまま日本語にすると「何かへ触れる」となる。目標へ向かって手を伸ばして、ついに触れるというイメージから、何かを「獲得する」や目標を「達成する」という意味になる。
&lt;span class="spacer"&gt;&lt;/span&gt;obtain, contain, maintain, retainは、ラテン語tenere（保つ）に由来する。tainというスペルだが語源が異なる。
&lt;div class="sample_image attain"&gt;&lt;/div&gt;&lt;/span&gt;</v>
      </c>
      <c r="AU143" s="15"/>
      <c r="AV143" s="1" t="s">
        <v>1502</v>
      </c>
      <c r="BG143" s="7" t="s">
        <v>1503</v>
      </c>
      <c r="BH143" s="1" t="s">
        <v>2034</v>
      </c>
      <c r="BI143" s="2" t="s">
        <v>2408</v>
      </c>
      <c r="BJ143" s="1" t="s">
        <v>1980</v>
      </c>
      <c r="BK143" s="1" t="s">
        <v>7326</v>
      </c>
      <c r="BL143" s="1" t="s">
        <v>2048</v>
      </c>
      <c r="BM143" s="1" t="s">
        <v>2409</v>
      </c>
      <c r="BN143" s="1" t="s">
        <v>2410</v>
      </c>
      <c r="BO143" s="1" t="s">
        <v>2411</v>
      </c>
      <c r="BP143" s="1" t="s">
        <v>2044</v>
      </c>
      <c r="BQ143" s="2" t="s">
        <v>2412</v>
      </c>
      <c r="BR143" s="1" t="s">
        <v>1865</v>
      </c>
      <c r="BS143" s="2" t="s">
        <v>2413</v>
      </c>
    </row>
    <row r="144" spans="1:71" ht="180" x14ac:dyDescent="0.45">
      <c r="A144" s="5">
        <v>143</v>
      </c>
      <c r="B144" s="8" t="s">
        <v>1523</v>
      </c>
      <c r="C144" s="6" t="s">
        <v>6850</v>
      </c>
      <c r="D144" s="7" t="s">
        <v>9752</v>
      </c>
      <c r="E144" s="1" t="s">
        <v>8887</v>
      </c>
      <c r="F144" s="1" t="s">
        <v>8888</v>
      </c>
      <c r="G144" s="1"/>
      <c r="J144" s="1" t="s">
        <v>9753</v>
      </c>
      <c r="K144" s="2" t="s">
        <v>7327</v>
      </c>
      <c r="L144" s="4" t="s">
        <v>8067</v>
      </c>
      <c r="M144" s="1" t="s">
        <v>12162</v>
      </c>
      <c r="P144" s="7" t="s">
        <v>1241</v>
      </c>
      <c r="Q144" s="14" t="str">
        <f>INDEX($L:$L, MATCH("structure", $B:$B, 0))</f>
        <v>&lt;span class="w"&gt;&lt;b&gt;【175.structure：構造, 体系, 構造物】&lt;/b&gt;&lt;/span&gt;
&lt;span class="ml"&gt;ラテン語に由来する語で、以下の2つの要素から成る。
&lt;span class="spacer"&gt;&lt;/span&gt;struere（積み上げる）の過去分詞structus
ura（名詞化）
&lt;span class="spacer"&gt;&lt;/span&gt;このまま日本語にすると「積み上げられたもの」となる。ここから「構造物, 構造, 体系」といった意味になる。
&lt;div class="sample_image structure"&gt;&lt;/div&gt;&lt;/span&gt;</v>
      </c>
      <c r="R144" s="14" t="str">
        <f>INDEX($L:$L, MATCH("infrastructure", $B:$B, 0))</f>
        <v>&lt;span class="w"&gt;&lt;b&gt;【1046.infrastructure：インフラ, 基本的施設, 基盤】&lt;/b&gt;&lt;/span&gt;
&lt;span class="ml"&gt;フランス語に由来する語で、以下の2つの要素から成る。
&lt;span class="spacer"&gt;&lt;/span&gt;infra（下の）
structure（構造）
&lt;span class="spacer"&gt;&lt;/span&gt;このまま日本語にすると「下にある構造」となる。そこから物事の支えとなる「基盤」や、社会や経済に必要な「基本的施設」という意味になった。これらを「インフラ」と呼ぶ。&lt;/span&gt;</v>
      </c>
      <c r="S144" s="14" t="str">
        <f>INDEX($L:$L, MATCH("construct", $B:$B, 0))</f>
        <v>&lt;span class="w"&gt;&lt;b&gt;【520.construct：〜を建設する, 〜を構成する】&lt;/b&gt;&lt;/span&gt;
&lt;span class="ml"&gt;ラテン語に由来する語で、以下の2つの要素から成る。
&lt;span class="spacer"&gt;&lt;/span&gt;com（共に）
struere（積み上げる）
&lt;span class="spacer"&gt;&lt;/span&gt;このまま日本語にすると「共に積み上げる」となる。パーツを一緒にして積み上げるイメージから「建設する, 構成する」という意味になる。
&lt;div class="sample_image construct"&gt;&lt;/div&gt;&lt;/span&gt;</v>
      </c>
      <c r="T144" s="14" t="str">
        <f>INDEX($L:$L, MATCH("instruction", $B:$B, 0))</f>
        <v>&lt;span class="w"&gt;&lt;b&gt;【442.instruction：指示, 使用書】&lt;/b&gt;&lt;/span&gt;
&lt;span class="ml"&gt;ラテン語に由来する語で、以下の2つの要素から成る。
&lt;span class="spacer"&gt;&lt;/span&gt;in（中に）
struere（積み上げる）
&lt;span class="spacer"&gt;&lt;/span&gt;このまま日本語にすると「中に積み上げる」となる。これは、相手の中に知識や方法を積み上げていくイメージ。そこから、何かをするための知識や手順を与えることを表し、「指示, 使用書」という意味になる。&lt;/span&gt;</v>
      </c>
      <c r="U144" s="13" t="str">
        <f>INDEX($L:$L, MATCH("instrument", $B:$B, 0))</f>
        <v>&lt;span class="w"&gt;&lt;b&gt;【449.instrument：器具, 道具,  楽器】&lt;/b&gt;&lt;/span&gt;
&lt;span class="ml"&gt;ラテン語に由来する語で、以下の3つの要素から成る。
&lt;span class="spacer"&gt;&lt;/span&gt;in（中に）
struere（積み上げる）
mentum（名詞化）
&lt;span class="spacer"&gt;&lt;/span&gt;このまま日本語にすると「中に積み上げるもの」となる。これは、何かを秩序立てて築き上げるための手段というイメージ。そこから、何かを作り上げる・目的を達成するため手段＝「器具, 道具」という意味になり、音楽を作り上げるためのものなら「楽器」という意味になる。
&lt;div class="sample_image instrument"&gt;&lt;/div&gt;&lt;/span&gt;</v>
      </c>
      <c r="V144" s="13" t="str">
        <f>INDEX($L:$L, MATCH("destroy", $B:$B, 0))</f>
        <v>&lt;span class="w"&gt;&lt;b&gt;【326.destroy：～を破壊する】&lt;/b&gt;&lt;/span&gt;
&lt;span class="ml"&gt;ラテン語に由来する語で、以下の2つの要素から成る。
&lt;span class="spacer"&gt;&lt;/span&gt;de（下へ, 反対）
struere（積み上げる, 築く）
&lt;span class="spacer"&gt;&lt;/span&gt;これは積み上げるの反対なので、積み上げられたものを「破壊する」という意味になる。&lt;/span&gt;</v>
      </c>
      <c r="AU144" s="15"/>
      <c r="AV144" s="1" t="s">
        <v>1502</v>
      </c>
      <c r="BG144" s="7" t="s">
        <v>1503</v>
      </c>
      <c r="BH144" s="1" t="s">
        <v>2414</v>
      </c>
      <c r="BI144" s="2" t="s">
        <v>2415</v>
      </c>
      <c r="BJ144" s="1" t="s">
        <v>2034</v>
      </c>
      <c r="BK144" s="2" t="s">
        <v>2416</v>
      </c>
      <c r="BL144" s="1" t="s">
        <v>1504</v>
      </c>
      <c r="BM144" s="1" t="s">
        <v>2417</v>
      </c>
      <c r="BN144" s="1" t="s">
        <v>2044</v>
      </c>
      <c r="BO144" s="2" t="s">
        <v>2418</v>
      </c>
      <c r="BP144" s="1" t="s">
        <v>2419</v>
      </c>
      <c r="BQ144" s="2" t="s">
        <v>2420</v>
      </c>
    </row>
    <row r="145" spans="1:71" ht="198" x14ac:dyDescent="0.45">
      <c r="A145" s="5">
        <v>144</v>
      </c>
      <c r="B145" s="8" t="s">
        <v>1565</v>
      </c>
      <c r="C145" s="6" t="s">
        <v>6850</v>
      </c>
      <c r="D145" s="7" t="s">
        <v>9752</v>
      </c>
      <c r="E145" s="1" t="s">
        <v>112</v>
      </c>
      <c r="F145" s="1"/>
      <c r="G145" s="1"/>
      <c r="J145" s="1" t="s">
        <v>9753</v>
      </c>
      <c r="K145" s="2" t="s">
        <v>7328</v>
      </c>
      <c r="L145" s="4" t="s">
        <v>8068</v>
      </c>
      <c r="M145" s="1" t="s">
        <v>12163</v>
      </c>
      <c r="P145" s="7" t="s">
        <v>1241</v>
      </c>
      <c r="Q145" s="14" t="str">
        <f>INDEX($L:$L, MATCH("immediate", $B:$B, 0))</f>
        <v>&lt;span class="w"&gt;&lt;b&gt;【498.immediate：即座の, 当面の, 直接の】&lt;/b&gt;&lt;/span&gt;
&lt;span class="ml"&gt;ラテン語に由来する語で、以下の2つの要素から成る。
&lt;span class="spacer"&gt;&lt;/span&gt;in（否定）
medius（中間の）
&lt;span class="spacer"&gt;&lt;/span&gt;このまま日本語にすると「間に何もない」となる。間に何も介さないことから「直接の」という意味になる。また時間において、何かと何かの間に余分な時間がないことから「即座の, 当面の」という意味になる。&lt;/span&gt;</v>
      </c>
      <c r="R145" s="14" t="str">
        <f>INDEX($L:$L, MATCH("means", $B:$B, 0))</f>
        <v>&lt;span class="w"&gt;&lt;b&gt;【757.means：手段, 資力, 収入】&lt;/b&gt;&lt;/span&gt;
&lt;span class="ml"&gt;ラテン語medius（中間の）に由来する。
&lt;span class="spacer"&gt;&lt;/span&gt;この語の核は「スタートとゴールの中間にあるもの」。そこから、ゴール（目的）に到達するための「手段」という意味になった。また目的を達成するための手段として「資力, 収入」という意味にもなった。
&lt;div class="sample_image means"&gt;&lt;/div&gt;&lt;/span&gt;</v>
      </c>
      <c r="S145" s="14" t="str">
        <f>INDEX($L:$L, MATCH("medieval", $B:$B, 0))</f>
        <v>&lt;span class="w"&gt;&lt;b&gt;【1097.medieval：中世の】&lt;/b&gt;&lt;/span&gt;
&lt;span class="ml"&gt;近代英語において、ラテン語をもとに造られた語で、以下の2つの要素から成る。
&lt;span class="spacer"&gt;&lt;/span&gt;medium（中間）
aevum（時代）
&lt;span class="spacer"&gt;&lt;/span&gt;このまま日本語にすると「中間の時代」となる。そこから原始時代と近代の間の「中世の」という意味になった。
&lt;span class="spacer"&gt;&lt;/span&gt;ラテン語aevumはageやeverと同じ語源にさかのぼる。英語で言えばmiddle＋age＝medievalだと考えればよい。&lt;/span&gt;</v>
      </c>
      <c r="T145" s="15"/>
      <c r="AU145" s="15"/>
      <c r="AV145" s="1" t="s">
        <v>1502</v>
      </c>
      <c r="BG145" s="7" t="s">
        <v>1503</v>
      </c>
      <c r="BH145" s="1" t="s">
        <v>2034</v>
      </c>
      <c r="BI145" s="2" t="s">
        <v>2421</v>
      </c>
      <c r="BJ145" s="1" t="s">
        <v>1865</v>
      </c>
      <c r="BK145" s="2" t="s">
        <v>2422</v>
      </c>
    </row>
    <row r="146" spans="1:71" ht="126" x14ac:dyDescent="0.45">
      <c r="A146" s="5">
        <v>145</v>
      </c>
      <c r="B146" s="8" t="s">
        <v>113</v>
      </c>
      <c r="C146" s="6" t="s">
        <v>6850</v>
      </c>
      <c r="D146" s="7" t="s">
        <v>9752</v>
      </c>
      <c r="E146" s="1" t="s">
        <v>1344</v>
      </c>
      <c r="F146" s="1" t="s">
        <v>1345</v>
      </c>
      <c r="G146" s="1"/>
      <c r="J146" s="1" t="s">
        <v>9753</v>
      </c>
      <c r="K146" s="2" t="s">
        <v>7329</v>
      </c>
      <c r="L146" s="9" t="s">
        <v>8069</v>
      </c>
      <c r="P146" s="7" t="s">
        <v>1241</v>
      </c>
      <c r="Q146" s="13" t="str">
        <f>INDEX($L:$L, MATCH("ecology", $B:$B, 0))</f>
        <v>&lt;span class="w"&gt;&lt;b&gt;【973.ecology：生態学, 生態系, 環境保護】&lt;/b&gt;&lt;/span&gt;
&lt;span class="ml"&gt;ギリシャ語から造られた語で、以下の2つの要素から成る。
&lt;span class="spacer"&gt;&lt;/span&gt;oikos（家, 居住地）
logia（学問, 研究）
&lt;span class="spacer"&gt;&lt;/span&gt;このまま日本語にすると「居住地に関する学問」となる。これは生物の住む場所つまり自然環境と、そこに住む生物の関係＝「生態系」を研究する学問である「生態学」という意味になる。
&lt;span class="spacer"&gt;&lt;/span&gt;また、生物の生息環境を破壊しない活動に対してこの語が使われるようになって「環境保護」と意味になった。&lt;/span&gt;</v>
      </c>
      <c r="AU146" s="15"/>
      <c r="AV146" s="1" t="s">
        <v>1502</v>
      </c>
      <c r="BG146" s="7" t="s">
        <v>1503</v>
      </c>
      <c r="BH146" s="1" t="s">
        <v>2423</v>
      </c>
      <c r="BI146" s="2" t="s">
        <v>2424</v>
      </c>
      <c r="BJ146" s="1" t="s">
        <v>2034</v>
      </c>
      <c r="BK146" s="2" t="s">
        <v>2425</v>
      </c>
      <c r="BL146" s="1" t="s">
        <v>1865</v>
      </c>
      <c r="BM146" s="2" t="s">
        <v>2426</v>
      </c>
    </row>
    <row r="147" spans="1:71" ht="216" x14ac:dyDescent="0.45">
      <c r="A147" s="5">
        <v>146</v>
      </c>
      <c r="B147" s="8" t="s">
        <v>1348</v>
      </c>
      <c r="C147" s="6" t="s">
        <v>6850</v>
      </c>
      <c r="D147" s="7" t="s">
        <v>9752</v>
      </c>
      <c r="E147" s="1" t="s">
        <v>114</v>
      </c>
      <c r="F147" s="1"/>
      <c r="G147" s="1"/>
      <c r="J147" s="1" t="s">
        <v>9753</v>
      </c>
      <c r="K147" s="2" t="s">
        <v>7330</v>
      </c>
      <c r="L147" s="4" t="s">
        <v>8070</v>
      </c>
      <c r="P147" s="7" t="s">
        <v>1241</v>
      </c>
      <c r="Q147" s="13" t="str">
        <f>INDEX($L:$L, MATCH("political", $B:$B, 0))</f>
        <v>&lt;span class="w"&gt;&lt;b&gt;【95.political：政治の】&lt;/b&gt;&lt;/span&gt;
&lt;span class="ml"&gt;ギリシャ語に由来する語で、以下の3つの要素から成る。
&lt;span class="spacer"&gt;&lt;/span&gt;polis（都市）から派生したpolitēs（市民）
ikos（形容詞化）
&lt;span class="obsolete"&gt;al（形容詞化）は英語段階で付いた&lt;/span&gt;
&lt;span class="spacer"&gt;&lt;/span&gt;古代ギリシャのpolis（都市国家, ポリス）から、そこに住む市民（politēs）、そして市民の統治＝「政治の」（politikos）という語が生まれた。
&lt;span class="spacer"&gt;&lt;/span&gt;polis（ポリス）に由来する語には以下のものがある。
political（政治の）
politics（政治, 政治学）
policy（政策）
police（警察, 市民の平和を守る組織）&lt;/span&gt;</v>
      </c>
      <c r="R147" s="13" t="str">
        <f>INDEX($L:$L, MATCH("metropolitan", $B:$B, 0))</f>
        <v>&lt;span class="w"&gt;&lt;b&gt;【1488.metropolitan：大都市の, 首都圏の】&lt;/b&gt;&lt;/span&gt;
&lt;span class="ml"&gt;ギリシャ語に由来する語で、以下の2つの要素から成る。
&lt;span class="spacer"&gt;&lt;/span&gt;meter（母）
polis（都市）
&lt;span class="spacer"&gt;&lt;/span&gt;このまま日本語にすると「母なる都市」となる。これは最も中心的な都市である大都市や首都圏を表し、「大都市の, 首都圏の」という意味になる。&lt;/span&gt;</v>
      </c>
      <c r="AU147" s="15"/>
      <c r="AV147" s="1" t="s">
        <v>1502</v>
      </c>
      <c r="BG147" s="7" t="s">
        <v>1503</v>
      </c>
      <c r="BH147" s="1" t="s">
        <v>2423</v>
      </c>
      <c r="BI147" s="2" t="s">
        <v>2427</v>
      </c>
      <c r="BJ147" s="1" t="s">
        <v>2324</v>
      </c>
      <c r="BK147" s="2" t="s">
        <v>2428</v>
      </c>
      <c r="BL147" s="1" t="s">
        <v>1504</v>
      </c>
      <c r="BM147" s="1" t="s">
        <v>7331</v>
      </c>
      <c r="BN147" s="1" t="s">
        <v>2044</v>
      </c>
      <c r="BO147" s="2" t="s">
        <v>7332</v>
      </c>
    </row>
    <row r="148" spans="1:71" ht="234" x14ac:dyDescent="0.45">
      <c r="A148" s="5">
        <v>147</v>
      </c>
      <c r="B148" s="8" t="s">
        <v>115</v>
      </c>
      <c r="C148" s="6" t="s">
        <v>6850</v>
      </c>
      <c r="D148" s="7" t="s">
        <v>9752</v>
      </c>
      <c r="E148" s="1" t="s">
        <v>1346</v>
      </c>
      <c r="F148" s="1" t="s">
        <v>1347</v>
      </c>
      <c r="G148" s="1"/>
      <c r="J148" s="1" t="s">
        <v>9753</v>
      </c>
      <c r="K148" s="2" t="s">
        <v>7333</v>
      </c>
      <c r="L148" s="4" t="s">
        <v>10645</v>
      </c>
      <c r="M148" s="1" t="s">
        <v>12164</v>
      </c>
      <c r="P148" s="7" t="s">
        <v>1241</v>
      </c>
      <c r="Q148" s="14" t="str">
        <f>INDEX($L:$L, MATCH("discount", $B:$B, 0))</f>
        <v>&lt;span class="w"&gt;&lt;b&gt;【672.discount：割引, 値引き】&lt;/b&gt;&lt;/span&gt;
&lt;span class="ml"&gt;中世ラテン語に由来する語で、以下の2つの要素から成る。
&lt;span class="spacer"&gt;&lt;/span&gt;dis（分離, 否定）
computare（数える, 計算する）
&lt;span class="spacer"&gt;&lt;/span&gt;この語の核は「計算からの分離」。つまり、ある部分を含めずに計算することから「割引き, 値引き」という意味になる。&lt;/span&gt;</v>
      </c>
      <c r="R148" s="14" t="str">
        <f>INDEX($L:$L, MATCH("dispute", $B:$B, 0))</f>
        <v>&lt;span class="w"&gt;&lt;b&gt;【1018.dispute：〜に異議を唱える, 議論する】&lt;/b&gt;&lt;/span&gt;
&lt;span class="ml"&gt;ラテン語に由来する語で、以下の2つの要素から成る。
&lt;span class="spacer"&gt;&lt;/span&gt;dis（分けて）
putare（考える, 計算する）
&lt;span class="spacer"&gt;&lt;/span&gt;このまま日本語にすると「分けて考える」となる。複数の立場やさまざまな意見をもとに物事を考えることから「議論する」という意味になった。さらに、議論の中では当然相手と反対の意見が出てきて激しく対立することがあるため、相手に対して「異議を唱える」という意味にもなった。
&lt;div class="sample_image dispute"&gt;&lt;/div&gt;&lt;/span&gt;</v>
      </c>
      <c r="S148" s="13" t="str">
        <f>INDEX($L:$L, MATCH("compute", $B:$B, 0))</f>
        <v>&lt;span class="w"&gt;&lt;b&gt;【1332.compute：計算する】&lt;/b&gt;&lt;/span&gt;
&lt;span class="ml"&gt;ラテン語に由来する語で、以下の2つの要素から成る。
&lt;span class="spacer"&gt;&lt;/span&gt;com（共に）
putare（剪定する, 計算する）
&lt;span class="spacer"&gt;&lt;/span&gt;pute部分は、もともとは不要な枝を剪定して、木をすっきりと綺麗にする行為を表した。そこから意味が抽象化して、頭の中の不要な要素を切り捨てて整理する＝考えることや、数をきれいに整理する＝計算することへとつながった。
&lt;span class="spacer"&gt;&lt;/span&gt;computeは、複数の数字や要素を一緒に整理して考えることから「計算する」やコンピュータなどで「処理する」という意味になった。&lt;/span&gt;</v>
      </c>
      <c r="T148" s="13" t="str">
        <f>INDEX($L:$L, MATCH("reputation", $B:$B, 0))</f>
        <v>&lt;span class="w"&gt;&lt;b&gt;【678.reputation：評判, 名声】&lt;/b&gt;&lt;/span&gt;
&lt;span class="ml"&gt;ラテン語に由来する語で、以下の3つの要素から成る。
&lt;span class="spacer"&gt;&lt;/span&gt;re（再び, 繰り返し）
putare（判断する）
io（名詞化）
&lt;span class="spacer"&gt;&lt;/span&gt;このまま日本語にすると「繰り返し判断すること」となる。人々が何度も判断する、世間から何度も評価されるといったニュアンスから「評判, 名声」という意味になった。
&lt;div class="sample_image reputation"&gt;&lt;/div&gt;&lt;/span&gt;</v>
      </c>
      <c r="AU148" s="15"/>
      <c r="AV148" s="1" t="s">
        <v>1502</v>
      </c>
      <c r="BG148" s="7" t="s">
        <v>1503</v>
      </c>
      <c r="BH148" s="1" t="s">
        <v>2034</v>
      </c>
      <c r="BI148" s="2" t="s">
        <v>2429</v>
      </c>
      <c r="BJ148" s="1" t="s">
        <v>2324</v>
      </c>
      <c r="BK148" s="2" t="s">
        <v>2430</v>
      </c>
      <c r="BL148" s="1" t="s">
        <v>1504</v>
      </c>
      <c r="BM148" s="2" t="s">
        <v>2431</v>
      </c>
      <c r="BN148" s="1" t="s">
        <v>2044</v>
      </c>
      <c r="BO148" s="2" t="s">
        <v>2484</v>
      </c>
      <c r="BP148" s="1" t="s">
        <v>1865</v>
      </c>
      <c r="BQ148" s="2" t="s">
        <v>7334</v>
      </c>
    </row>
    <row r="149" spans="1:71" ht="108" x14ac:dyDescent="0.45">
      <c r="A149" s="5">
        <v>148</v>
      </c>
      <c r="B149" s="8" t="s">
        <v>116</v>
      </c>
      <c r="C149" s="6" t="s">
        <v>6850</v>
      </c>
      <c r="D149" s="7" t="s">
        <v>9752</v>
      </c>
      <c r="E149" s="1" t="s">
        <v>116</v>
      </c>
      <c r="F149" s="1"/>
      <c r="G149" s="1"/>
      <c r="J149" s="1" t="s">
        <v>9753</v>
      </c>
      <c r="K149" s="2" t="s">
        <v>7335</v>
      </c>
      <c r="L149" s="9" t="s">
        <v>8071</v>
      </c>
      <c r="P149" s="7" t="s">
        <v>1241</v>
      </c>
      <c r="AV149" s="1" t="s">
        <v>1502</v>
      </c>
      <c r="BG149" s="7" t="s">
        <v>1503</v>
      </c>
      <c r="BH149" s="1" t="s">
        <v>7336</v>
      </c>
      <c r="BI149" s="1" t="s">
        <v>2432</v>
      </c>
      <c r="BJ149" s="1" t="s">
        <v>2044</v>
      </c>
      <c r="BK149" s="2" t="s">
        <v>7337</v>
      </c>
      <c r="BL149" s="1" t="s">
        <v>1865</v>
      </c>
      <c r="BM149" s="2" t="s">
        <v>2433</v>
      </c>
    </row>
    <row r="150" spans="1:71" ht="270" x14ac:dyDescent="0.45">
      <c r="A150" s="5">
        <v>149</v>
      </c>
      <c r="B150" s="8" t="s">
        <v>117</v>
      </c>
      <c r="C150" s="6" t="s">
        <v>6850</v>
      </c>
      <c r="D150" s="7" t="s">
        <v>9752</v>
      </c>
      <c r="E150" s="1" t="s">
        <v>117</v>
      </c>
      <c r="F150" s="1"/>
      <c r="G150" s="1"/>
      <c r="J150" s="1" t="s">
        <v>9753</v>
      </c>
      <c r="K150" s="2" t="s">
        <v>7338</v>
      </c>
      <c r="L150" s="4" t="s">
        <v>8072</v>
      </c>
      <c r="M150" s="1" t="s">
        <v>12165</v>
      </c>
      <c r="P150" s="7" t="s">
        <v>1241</v>
      </c>
      <c r="Q150" s="14" t="str">
        <f>INDEX($L:$L, MATCH("mode", $B:$B, 0))</f>
        <v>&lt;span class="w"&gt;&lt;b&gt;【844.mode：方式, 形態, モード】&lt;/b&gt;&lt;/span&gt;
&lt;span class="ml"&gt;ラテン語modus（尺度, 方法）に由来する。
&lt;span class="spacer"&gt;&lt;/span&gt;尺度とは物事を測るための基準であり、その基準に従って行動すると、自然と一定のやり方（方法）が定まってくる。その「基準に沿ったやり方」が固定化されて「方式, 形態」といった意味になる。&lt;/span&gt;</v>
      </c>
      <c r="R150" s="14" t="str">
        <f>INDEX($L:$L, MATCH("modest", $B:$B, 0))</f>
        <v>&lt;span class="w"&gt;&lt;b&gt;【998.modest：謙虚な, 適度な, 質素な】&lt;/b&gt;&lt;/span&gt;
&lt;span class="ml"&gt;ラテン語に由来する語で、以下の2つの要素から成る。
&lt;span class="spacer"&gt;&lt;/span&gt;modus（尺度, 方法）
tus（形容詞化）
&lt;span class="spacer"&gt;&lt;/span&gt;この語の核は「尺度の中に収まっている」。出過ぎることなくちょうどよい感じから「謙虚な, 適度な, 質素な」という意味になる。ラテン語modusは英語modelの語源でもあるため、モデル（基準）の中に収まっていて出過ぎていない、とイメージしてもよい。&lt;/span&gt;</v>
      </c>
      <c r="S150" s="14" t="str">
        <f>INDEX($L:$L, MATCH("moderate", $B:$B, 0))</f>
        <v>&lt;span class="w"&gt;&lt;b&gt;【1082.moderate：適度な, 穏健な】&lt;/b&gt;&lt;/span&gt;
&lt;span class="ml"&gt;ラテン語moderari（尺度を定める, 尺度内にとどめる）に由来する。
&lt;span class="spacer"&gt;&lt;/span&gt;この語の核は「尺度内にとどめる」。そこから程度が過度ではなく「適度な」という意味になる。また人の立場や考え方が過激でなく「穏健な」という意味にもなる。&lt;/span&gt;</v>
      </c>
      <c r="T150" s="14" t="str">
        <f>INDEX($L:$L, MATCH("modify", $B:$B, 0))</f>
        <v>&lt;span class="w"&gt;&lt;b&gt;【839.modify：～を修正する, ～を調整する】&lt;/b&gt;&lt;/span&gt;
&lt;span class="ml"&gt;ラテン語に由来する語で、以下の2つの要素から成る。
&lt;span class="spacer"&gt;&lt;/span&gt;modus（尺度）
facere（行う, 作る）
&lt;span class="spacer"&gt;&lt;/span&gt;この語の核は「一定の尺度に収まるようにする」。ラテン語modusは、英語model（モデル）の語源でもあるので「一定のモデル（基準）に収まるようにする」と考えてもよい。
&lt;span class="spacer"&gt;&lt;/span&gt;基準の中に収めるので、はみ出した部分があれば基準に合うように「調整する」という意味になる。また基準が変われば、それに収めるためにで部分的に「修正する」という意味にもなる。
&lt;div class="sample_image modify"&gt;&lt;/div&gt;&lt;/span&gt;</v>
      </c>
      <c r="U150" s="14" t="str">
        <f>INDEX($L:$L, MATCH("commodity", $B:$B, 0))</f>
        <v>&lt;span class="w"&gt;&lt;b&gt;【1262.commodity：商品, 有用なもの】&lt;/b&gt;&lt;/span&gt;
&lt;span class="ml"&gt;ラテン語に由来する語で、以下の3つの要素から成る。
&lt;span class="spacer"&gt;&lt;/span&gt;com（強意）
modus（尺度, 方法）
tas（名詞化）
&lt;span class="spacer"&gt;&lt;/span&gt;もともとは、状況や目的といった尺度（基準）にピッタリ合っていることから、基準にあった「有用なもの」を意味した。
&lt;span class="spacer"&gt;&lt;/span&gt;そうした有用なものは価値があり、利益を生むことから、やがて市場で取引される「商品」を意味するようになった。&lt;/span&gt;</v>
      </c>
      <c r="V150" s="15"/>
      <c r="W150" s="15"/>
      <c r="X150" s="15"/>
      <c r="AV150" s="1" t="s">
        <v>1502</v>
      </c>
      <c r="BG150" s="7" t="s">
        <v>1503</v>
      </c>
      <c r="BH150" s="1" t="s">
        <v>1976</v>
      </c>
      <c r="BI150" s="1" t="s">
        <v>2434</v>
      </c>
      <c r="BJ150" s="1" t="s">
        <v>2034</v>
      </c>
      <c r="BK150" s="2" t="s">
        <v>7339</v>
      </c>
      <c r="BL150" s="1" t="s">
        <v>2048</v>
      </c>
      <c r="BM150" s="1" t="s">
        <v>2435</v>
      </c>
      <c r="BN150" s="1" t="s">
        <v>1994</v>
      </c>
      <c r="BO150" s="1" t="s">
        <v>2436</v>
      </c>
      <c r="BP150" s="1" t="s">
        <v>1996</v>
      </c>
      <c r="BQ150" s="1" t="s">
        <v>2437</v>
      </c>
      <c r="BR150" s="1" t="s">
        <v>1865</v>
      </c>
      <c r="BS150" s="2" t="s">
        <v>2438</v>
      </c>
    </row>
    <row r="151" spans="1:71" ht="162" x14ac:dyDescent="0.45">
      <c r="A151" s="5">
        <v>150</v>
      </c>
      <c r="B151" s="8" t="s">
        <v>118</v>
      </c>
      <c r="C151" s="6" t="s">
        <v>6850</v>
      </c>
      <c r="D151" s="7" t="s">
        <v>9752</v>
      </c>
      <c r="E151" s="1" t="s">
        <v>118</v>
      </c>
      <c r="F151" s="1"/>
      <c r="G151" s="1"/>
      <c r="J151" s="1" t="s">
        <v>9753</v>
      </c>
      <c r="K151" s="2" t="s">
        <v>7340</v>
      </c>
      <c r="L151" s="3" t="s">
        <v>8073</v>
      </c>
      <c r="P151" s="7" t="s">
        <v>1241</v>
      </c>
      <c r="W151" s="15"/>
      <c r="AU151" s="15"/>
      <c r="AV151" s="1" t="s">
        <v>1502</v>
      </c>
      <c r="BG151" s="7" t="s">
        <v>1503</v>
      </c>
      <c r="BH151" s="1" t="s">
        <v>2034</v>
      </c>
      <c r="BI151" s="2" t="s">
        <v>2439</v>
      </c>
      <c r="BJ151" s="1" t="s">
        <v>2324</v>
      </c>
      <c r="BK151" s="1" t="s">
        <v>2440</v>
      </c>
      <c r="BL151" s="1" t="s">
        <v>1504</v>
      </c>
      <c r="BM151" s="1" t="s">
        <v>2441</v>
      </c>
      <c r="BN151" s="1" t="s">
        <v>2044</v>
      </c>
      <c r="BO151" s="2" t="s">
        <v>2442</v>
      </c>
      <c r="BP151" s="1" t="s">
        <v>1865</v>
      </c>
      <c r="BQ151" s="2" t="s">
        <v>2443</v>
      </c>
    </row>
    <row r="152" spans="1:71" ht="180" x14ac:dyDescent="0.45">
      <c r="A152" s="5">
        <v>151</v>
      </c>
      <c r="B152" s="8" t="s">
        <v>119</v>
      </c>
      <c r="C152" s="6" t="s">
        <v>6850</v>
      </c>
      <c r="D152" s="7" t="s">
        <v>9752</v>
      </c>
      <c r="E152" s="1" t="s">
        <v>119</v>
      </c>
      <c r="F152" s="1"/>
      <c r="G152" s="1"/>
      <c r="J152" s="1" t="s">
        <v>9753</v>
      </c>
      <c r="K152" s="2" t="s">
        <v>7341</v>
      </c>
      <c r="L152" s="3" t="s">
        <v>8074</v>
      </c>
      <c r="P152" s="7" t="s">
        <v>1241</v>
      </c>
      <c r="AU152" s="15"/>
      <c r="AV152" s="1" t="s">
        <v>1502</v>
      </c>
      <c r="BG152" s="7" t="s">
        <v>1503</v>
      </c>
      <c r="BH152" s="1" t="s">
        <v>2034</v>
      </c>
      <c r="BI152" s="2" t="s">
        <v>2444</v>
      </c>
      <c r="BJ152" s="1" t="s">
        <v>1875</v>
      </c>
      <c r="BK152" s="2" t="s">
        <v>2445</v>
      </c>
      <c r="BL152" s="1" t="s">
        <v>1865</v>
      </c>
      <c r="BM152" s="2" t="s">
        <v>2446</v>
      </c>
    </row>
    <row r="153" spans="1:71" ht="162" x14ac:dyDescent="0.45">
      <c r="A153" s="5">
        <v>152</v>
      </c>
      <c r="B153" s="8" t="s">
        <v>1349</v>
      </c>
      <c r="C153" s="6" t="s">
        <v>6850</v>
      </c>
      <c r="D153" s="7" t="s">
        <v>9752</v>
      </c>
      <c r="E153" s="1" t="s">
        <v>120</v>
      </c>
      <c r="F153" s="1"/>
      <c r="G153" s="1"/>
      <c r="J153" s="1" t="s">
        <v>9753</v>
      </c>
      <c r="K153" s="2" t="s">
        <v>7342</v>
      </c>
      <c r="L153" s="4" t="s">
        <v>8075</v>
      </c>
      <c r="P153" s="7" t="s">
        <v>1241</v>
      </c>
      <c r="Q153" s="22" t="str">
        <f>INDEX($L:$L, MATCH("imagine", $B:$B, 0))</f>
        <v>&lt;span class="w"&gt;&lt;b&gt;【105.imagine：～を想像する】&lt;/b&gt;&lt;/span&gt;
&lt;span class="ml"&gt;ラテン語imitārī（模倣する）に由来する。&lt;span class="obsolete"&gt;これはimitate（まねをする）の語源。&lt;/span&gt;
&lt;span class="spacer"&gt;&lt;/span&gt;「模倣する」から現実に似せた像を心に描く＝「想像する」という意味になる。&lt;/span&gt;</v>
      </c>
      <c r="R153" s="22" t="str">
        <f>INDEX($L:$L, MATCH("imitate", $B:$B, 0))</f>
        <v>&lt;span class="w"&gt;&lt;b&gt;【729.imitate：〜をまねる】&lt;/b&gt;&lt;/span&gt;
&lt;span class="ml"&gt;印相祖語*aim-（コピーする）に由来する。
&lt;span class="spacer"&gt;&lt;/span&gt;この印欧祖語からはimage（イメージ）やimagine（想像する）も生まれている。imageが現実を頭の中でマネしたものだと考えれば、imitate「まねをする」という意味も納得できる。
&lt;div class="sample_image imitate"&gt;&lt;/div&gt;&lt;/span&gt;</v>
      </c>
      <c r="AU153" s="15"/>
      <c r="AV153" s="1" t="s">
        <v>1502</v>
      </c>
      <c r="BG153" s="7" t="s">
        <v>1503</v>
      </c>
      <c r="BH153" s="1" t="s">
        <v>2034</v>
      </c>
      <c r="BI153" s="2" t="s">
        <v>7343</v>
      </c>
      <c r="BJ153" s="1" t="s">
        <v>1504</v>
      </c>
      <c r="BK153" s="2" t="s">
        <v>2447</v>
      </c>
      <c r="BL153" s="1" t="s">
        <v>1875</v>
      </c>
      <c r="BM153" s="2" t="s">
        <v>2448</v>
      </c>
    </row>
    <row r="154" spans="1:71" ht="252" x14ac:dyDescent="0.45">
      <c r="A154" s="5">
        <v>153</v>
      </c>
      <c r="B154" s="8" t="s">
        <v>1350</v>
      </c>
      <c r="C154" s="6" t="s">
        <v>6850</v>
      </c>
      <c r="D154" s="7" t="s">
        <v>9752</v>
      </c>
      <c r="E154" s="1" t="s">
        <v>1454</v>
      </c>
      <c r="F154" s="1" t="s">
        <v>8889</v>
      </c>
      <c r="G154" s="1" t="s">
        <v>1580</v>
      </c>
      <c r="J154" s="1" t="s">
        <v>9753</v>
      </c>
      <c r="K154" s="2" t="s">
        <v>7344</v>
      </c>
      <c r="L154" s="4" t="s">
        <v>8076</v>
      </c>
      <c r="M154" s="1" t="s">
        <v>12166</v>
      </c>
      <c r="P154" s="7" t="s">
        <v>1241</v>
      </c>
      <c r="Q154" s="14" t="str">
        <f>INDEX($L:$L, MATCH("motion", $B:$B, 0))</f>
        <v>&lt;span class="w"&gt;&lt;b&gt;【565.motion：動き, 運動】&lt;/b&gt;&lt;/span&gt;
&lt;span class="ml"&gt;ラテン語に由来する語で、以下の2つの要素から成る。
&lt;span class="spacer"&gt;&lt;/span&gt;movere（動かす）
io（名詞化）
&lt;span class="spacer"&gt;&lt;/span&gt;このまま日本語にすると「動かすこと」となり、そのまま「動き, 運動」という意味になる。&lt;/span&gt;</v>
      </c>
      <c r="R154" s="14" t="str">
        <f>INDEX($L:$L, MATCH("promote", $B:$B, 0))</f>
        <v>&lt;span class="w"&gt;&lt;b&gt;【213.promote：～を促進する, （受け身で）昇進する】&lt;/b&gt;&lt;/span&gt;
&lt;span class="ml"&gt;ラテン語に由来する語で、以下の2つの要素から成る。
&lt;span class="spacer"&gt;&lt;/span&gt;pro（前へ）
movere（動かす：moveの語源）
&lt;span class="spacer"&gt;&lt;/span&gt;このまま日本語にすると「前へ動かす」となる。ここから「促進する, 昇進させる」という意味になる。
&lt;span class="spacer"&gt;&lt;/span&gt;&lt;span class="obsolete"&gt;promoteは古フランス語経由で英語に入ったため、英語では動詞となっている。
remoteはラテン語から直接英語に入ったため、英語でも形容詞となっている。&lt;/span&gt;&lt;/span&gt;</v>
      </c>
      <c r="S154" s="14" t="str">
        <f>INDEX($L:$L, MATCH("remove", $B:$B, 0))</f>
        <v>&lt;span class="w"&gt;&lt;b&gt;【234.remove：～を取り除く, ～を解雇する】&lt;/b&gt;&lt;/span&gt;
&lt;span class="ml"&gt;ラテン語に由来する語で、以下の2つの要素から成る。
&lt;span class="spacer"&gt;&lt;/span&gt;re（後ろへ）
movere（動かす：moveの語源）
&lt;span class="spacer"&gt;&lt;/span&gt;このまま日本語にすると「後ろへ動かす」となる。いまある場所から後ろに引っ込めて視界から外すイメージから「取り除く, 解雇する」という意味になる。&lt;/span&gt;</v>
      </c>
      <c r="T154" s="14" t="str">
        <f>INDEX($L:$L, MATCH("remote", $B:$B, 0))</f>
        <v>&lt;span class="w"&gt;&lt;b&gt;【682.remote：遠く離れた】&lt;/b&gt;&lt;/span&gt;
&lt;span class="ml"&gt;ラテン語に由来する語で、以下の2つの要素から成る。
&lt;span class="spacer"&gt;&lt;/span&gt;re（後ろへ）
movere（動かす）
&lt;span class="spacer"&gt;&lt;/span&gt;このまま日本語にすると「後ろへ動かす, 遠ざける」となる。ここから「遠く離れた」という意味になった。&lt;/span&gt;</v>
      </c>
      <c r="U154" s="14" t="str">
        <f>INDEX($L:$L, MATCH("mobile", $B:$B, 0))</f>
        <v>&lt;span class="w"&gt;&lt;b&gt;【195.mobile：可動式の, 動かせる】&lt;/b&gt;&lt;/span&gt;
&lt;span class="ml"&gt;ラテン語に由来する語で、以下の2つの要素から成る。
&lt;span class="spacer"&gt;&lt;/span&gt;movere（動かす：moveの語源）
bilis（〜できる）
&lt;span class="spacer"&gt;&lt;/span&gt;ラテン語から意味の変化はほとんどない。&lt;/span&gt;</v>
      </c>
      <c r="V154" s="14" t="str">
        <f>INDEX($L:$L, MATCH("motor", $B:$B, 0))</f>
        <v>&lt;span class="w"&gt;&lt;b&gt;【748.motor：モーター, 原動力】&lt;/b&gt;&lt;/span&gt;
&lt;span class="ml"&gt;ラテン語に由来する語で、以下の2つの要素から成る。
&lt;span class="spacer"&gt;&lt;/span&gt;movere（動かす）
or（〜するもの）
&lt;span class="spacer"&gt;&lt;/span&gt;このまま日本語にすると「動かすもの」つまり「原動力, モーター」という意味になる。&lt;/span&gt;</v>
      </c>
      <c r="W154" s="14" t="str">
        <f>INDEX($L:$L, MATCH("motive", $B:$B, 0))</f>
        <v>&lt;span class="w"&gt;&lt;b&gt;【1274.motive：動機】&lt;/b&gt;&lt;/span&gt;
&lt;span class="ml"&gt;ラテン語に由来する語で、以下の2つの要素から成る。
&lt;span class="spacer"&gt;&lt;/span&gt;movere（動かす）
ivus（形容詞化）
&lt;span class="spacer"&gt;&lt;/span&gt;何かを動かす、駆り立てるという形容詞が名詞となり、人を行動へと動かすもの＝「動機」という意味になった。&lt;/span&gt;</v>
      </c>
      <c r="AU154" s="15"/>
      <c r="AV154" s="1" t="s">
        <v>1502</v>
      </c>
      <c r="BG154" s="7" t="s">
        <v>1503</v>
      </c>
      <c r="BH154" s="1" t="s">
        <v>2034</v>
      </c>
      <c r="BI154" s="2" t="s">
        <v>2449</v>
      </c>
      <c r="BJ154" s="1" t="s">
        <v>1504</v>
      </c>
      <c r="BK154" s="2" t="s">
        <v>2450</v>
      </c>
      <c r="BL154" s="1" t="s">
        <v>2017</v>
      </c>
      <c r="BM154" s="1" t="s">
        <v>2451</v>
      </c>
      <c r="BN154" s="1" t="s">
        <v>1865</v>
      </c>
      <c r="BO154" s="2" t="s">
        <v>2452</v>
      </c>
    </row>
    <row r="155" spans="1:71" ht="198" x14ac:dyDescent="0.45">
      <c r="A155" s="5">
        <v>154</v>
      </c>
      <c r="B155" s="8" t="s">
        <v>1352</v>
      </c>
      <c r="C155" s="6" t="s">
        <v>6850</v>
      </c>
      <c r="D155" s="7" t="s">
        <v>9752</v>
      </c>
      <c r="E155" s="1" t="s">
        <v>121</v>
      </c>
      <c r="F155" s="1"/>
      <c r="G155" s="1"/>
      <c r="J155" s="1" t="s">
        <v>9753</v>
      </c>
      <c r="K155" s="2" t="s">
        <v>7345</v>
      </c>
      <c r="L155" s="4" t="s">
        <v>8077</v>
      </c>
      <c r="M155" s="1" t="s">
        <v>12167</v>
      </c>
      <c r="P155" s="7" t="s">
        <v>1241</v>
      </c>
      <c r="Q155" s="14" t="str">
        <f>INDEX($L:$L, MATCH("distress", $B:$B, 0))</f>
        <v>&lt;span class="w"&gt;&lt;b&gt;【1048.distress：苦悩, 苦痛】&lt;/b&gt;&lt;/span&gt;
&lt;span class="ml"&gt;ラテン語に由来する語で、以下の2つの要素から成る。
&lt;span class="spacer"&gt;&lt;/span&gt;dis（離れて）
stringere（引き締める, 強く引く）
&lt;span class="spacer"&gt;&lt;/span&gt;もともとは何かを引き離すことから、対象を引き離して拘束するということを表した。この物理的な身体の締め付けから、比喩的に心理的・社会的に追い詰められた状態へと発展して「苦痛, 苦悩, 困窮」という意味になった。&lt;/span&gt;</v>
      </c>
      <c r="R155" s="14" t="str">
        <f>INDEX($L:$L, MATCH("strict", $B:$B, 0))</f>
        <v>&lt;span class="w"&gt;&lt;b&gt;【489.strict：厳しい, 厳格な】&lt;/b&gt;&lt;/span&gt;
&lt;span class="ml"&gt;ラテン語stringere（強く引き締める）の過去分詞strictus（引き締められた）に由来する。
&lt;span class="spacer"&gt;&lt;/span&gt;この語の核は「強く引き締める」。何かを強く引き締めるように、きつく制限されて「厳しい, 厳格な」という意味になる。&lt;/span&gt;</v>
      </c>
      <c r="S155" s="14" t="str">
        <f>INDEX($L:$L, MATCH("district", $B:$B, 0))</f>
        <v>&lt;span class="w"&gt;&lt;b&gt;【665.district：地区, 行政区】&lt;/b&gt;&lt;/span&gt;
&lt;span class="ml"&gt;ラテン語に由来する語で、以下の2つの要素から成る。
&lt;span class="spacer"&gt;&lt;/span&gt;dis（離れて）
stringere（引き締める）
&lt;span class="spacer"&gt;&lt;/span&gt;このまま日本語にすると「引き離す」となる。もともとは、土地の支配者が、違反者を社会から引き離したり、個人の財産を法的に引き離したりすることができる管轄区域を表していた。こうした強制的な支配というニュアンスは、時代が進むにつれて薄まっていき、特定の目的をもった「地区, 行政区」という意味になった。&lt;/span&gt;</v>
      </c>
      <c r="T155" s="14" t="str">
        <f>INDEX($L:$L, MATCH("restrict", $B:$B, 0))</f>
        <v>&lt;span class="w"&gt;&lt;b&gt;【711.restrict：〜を制限する】&lt;/b&gt;&lt;/span&gt;
&lt;span class="ml"&gt;ラテン語に由来する語で、以下の2つの要素から成る。
&lt;span class="spacer"&gt;&lt;/span&gt;re（後ろへ）
stringere（引っ張る）
&lt;span class="spacer"&gt;&lt;/span&gt;このまま日本語にすると「後ろへ引っ張る」となる。前に出ないようにする、抑制するということから「制限する」という意味になる。&lt;/span&gt;</v>
      </c>
      <c r="U155" s="13" t="str">
        <f>INDEX($L:$L, MATCH("strain", $B:$B, 0))</f>
        <v>&lt;span class="w"&gt;&lt;b&gt;【1326.strain：〜に負担をかける, 〜を緊張させる】&lt;/b&gt;&lt;/span&gt;
&lt;span class="ml"&gt;ラテン語stringere（きつく引く, 圧縮する）に由来する。
&lt;span class="spacer"&gt;&lt;/span&gt;これは「ひもを限界までギューっと引っ張る」イメージ。きつく引っぱるという物理的な動作から発展して、物だけではなく、精神・能力・金銭状況・人間関係など、さまざまな対象を「緊張させる」、また引っ張りすぎて「負担をかける」という意味になった。&lt;/span&gt;</v>
      </c>
      <c r="AU155" s="15"/>
      <c r="AV155" s="1" t="s">
        <v>1502</v>
      </c>
      <c r="BG155" s="7" t="s">
        <v>1503</v>
      </c>
      <c r="BH155" s="1" t="s">
        <v>2034</v>
      </c>
      <c r="BI155" s="2" t="s">
        <v>2453</v>
      </c>
      <c r="BJ155" s="1" t="s">
        <v>2048</v>
      </c>
      <c r="BK155" s="1" t="s">
        <v>2454</v>
      </c>
      <c r="BL155" s="1" t="s">
        <v>1504</v>
      </c>
      <c r="BM155" s="2" t="s">
        <v>2455</v>
      </c>
      <c r="BN155" s="1" t="s">
        <v>1875</v>
      </c>
      <c r="BO155" s="2" t="s">
        <v>2456</v>
      </c>
      <c r="BP155" s="1" t="s">
        <v>1865</v>
      </c>
      <c r="BQ155" s="2" t="s">
        <v>2457</v>
      </c>
    </row>
    <row r="156" spans="1:71" ht="252" x14ac:dyDescent="0.45">
      <c r="A156" s="5">
        <v>155</v>
      </c>
      <c r="B156" s="8" t="s">
        <v>122</v>
      </c>
      <c r="C156" s="6" t="s">
        <v>6850</v>
      </c>
      <c r="D156" s="7" t="s">
        <v>9752</v>
      </c>
      <c r="E156" s="1" t="s">
        <v>8890</v>
      </c>
      <c r="F156" s="1" t="s">
        <v>2476</v>
      </c>
      <c r="G156" s="1"/>
      <c r="J156" s="1" t="s">
        <v>9753</v>
      </c>
      <c r="K156" s="2" t="s">
        <v>7346</v>
      </c>
      <c r="L156" s="9" t="s">
        <v>8078</v>
      </c>
      <c r="P156" s="7" t="s">
        <v>1241</v>
      </c>
      <c r="AU156" s="15"/>
      <c r="AV156" s="1" t="s">
        <v>1502</v>
      </c>
      <c r="BG156" s="7" t="s">
        <v>1503</v>
      </c>
      <c r="BH156" s="1" t="s">
        <v>2458</v>
      </c>
      <c r="BI156" s="2" t="s">
        <v>2459</v>
      </c>
      <c r="BJ156" s="1" t="s">
        <v>2324</v>
      </c>
      <c r="BK156" s="1" t="s">
        <v>2460</v>
      </c>
      <c r="BL156" s="1" t="s">
        <v>1504</v>
      </c>
      <c r="BM156" s="2" t="s">
        <v>7347</v>
      </c>
      <c r="BN156" s="1" t="s">
        <v>1875</v>
      </c>
      <c r="BO156" s="2" t="s">
        <v>2461</v>
      </c>
      <c r="BP156" s="1" t="s">
        <v>1865</v>
      </c>
      <c r="BQ156" s="2" t="s">
        <v>2462</v>
      </c>
    </row>
    <row r="157" spans="1:71" ht="108" x14ac:dyDescent="0.45">
      <c r="A157" s="5">
        <v>156</v>
      </c>
      <c r="B157" s="8" t="s">
        <v>123</v>
      </c>
      <c r="C157" s="6" t="s">
        <v>6850</v>
      </c>
      <c r="D157" s="7" t="s">
        <v>9752</v>
      </c>
      <c r="E157" s="1" t="s">
        <v>123</v>
      </c>
      <c r="F157" s="1"/>
      <c r="G157" s="1"/>
      <c r="J157" s="1" t="s">
        <v>9753</v>
      </c>
      <c r="K157" s="2" t="s">
        <v>7348</v>
      </c>
      <c r="L157" s="3" t="s">
        <v>8079</v>
      </c>
      <c r="P157" s="7" t="s">
        <v>1241</v>
      </c>
      <c r="Q157" s="13" t="str">
        <f>INDEX($L:$L, MATCH("arrange", $B:$B, 0))</f>
        <v>&lt;span class="w"&gt;&lt;b&gt;【538.arrange：段取りをつける, 手配する, 配置する】&lt;/b&gt;&lt;/span&gt;
&lt;span class="ml"&gt;古フランス語に由来する語で、以下の2つの要素から成る。
&lt;span class="spacer"&gt;&lt;/span&gt;a（〜へ）
rang（列, 階級, ランク）から派生したrangier（列に並べる）
&lt;span class="spacer"&gt;&lt;/span&gt;arrangeは、rank（ランク）と同じ語源に由来する。この語の核は、ランク付けのように「列に並べて整える」こと。ここから、何かを「配置する」という意味になった。
&lt;span class="spacer"&gt;&lt;/span&gt;また、予定や計画を並べて整えることから「段取りをつける, 手配する」という意味になった。
&lt;div class="sample_image arrange"&gt;&lt;/div&gt;&lt;/span&gt;</v>
      </c>
      <c r="AU157" s="15"/>
      <c r="AV157" s="1" t="s">
        <v>1502</v>
      </c>
      <c r="BG157" s="7" t="s">
        <v>1503</v>
      </c>
      <c r="BH157" s="1" t="s">
        <v>1504</v>
      </c>
      <c r="BI157" s="2" t="s">
        <v>7349</v>
      </c>
      <c r="BJ157" s="1" t="s">
        <v>1875</v>
      </c>
      <c r="BK157" s="2" t="s">
        <v>2463</v>
      </c>
      <c r="BM157" s="2"/>
    </row>
    <row r="158" spans="1:71" ht="144" x14ac:dyDescent="0.45">
      <c r="A158" s="5">
        <v>157</v>
      </c>
      <c r="B158" s="8" t="s">
        <v>124</v>
      </c>
      <c r="C158" s="6" t="s">
        <v>6850</v>
      </c>
      <c r="D158" s="7" t="s">
        <v>9752</v>
      </c>
      <c r="E158" s="1" t="s">
        <v>124</v>
      </c>
      <c r="F158" s="1"/>
      <c r="G158" s="1"/>
      <c r="J158" s="1" t="s">
        <v>9753</v>
      </c>
      <c r="K158" s="2" t="s">
        <v>7350</v>
      </c>
      <c r="L158" s="9" t="s">
        <v>8080</v>
      </c>
      <c r="P158" s="7" t="s">
        <v>1241</v>
      </c>
      <c r="AU158" s="15"/>
      <c r="AV158" s="1" t="s">
        <v>1502</v>
      </c>
      <c r="BG158" s="7" t="s">
        <v>1503</v>
      </c>
      <c r="BH158" s="1" t="s">
        <v>2458</v>
      </c>
      <c r="BI158" s="2" t="s">
        <v>7351</v>
      </c>
      <c r="BJ158" s="1" t="s">
        <v>2034</v>
      </c>
      <c r="BK158" s="2" t="s">
        <v>2464</v>
      </c>
      <c r="BL158" s="1" t="s">
        <v>1504</v>
      </c>
      <c r="BM158" s="2" t="s">
        <v>2465</v>
      </c>
      <c r="BN158" s="1" t="s">
        <v>1875</v>
      </c>
      <c r="BO158" s="2" t="s">
        <v>2466</v>
      </c>
      <c r="BP158" s="1" t="s">
        <v>1865</v>
      </c>
      <c r="BQ158" s="2" t="s">
        <v>2467</v>
      </c>
    </row>
    <row r="159" spans="1:71" ht="198" x14ac:dyDescent="0.45">
      <c r="A159" s="5">
        <v>158</v>
      </c>
      <c r="B159" s="8" t="s">
        <v>125</v>
      </c>
      <c r="C159" s="6" t="s">
        <v>6850</v>
      </c>
      <c r="D159" s="7" t="s">
        <v>9752</v>
      </c>
      <c r="E159" s="1" t="s">
        <v>1353</v>
      </c>
      <c r="F159" s="1" t="s">
        <v>1931</v>
      </c>
      <c r="G159" s="1" t="s">
        <v>1748</v>
      </c>
      <c r="J159" s="1" t="s">
        <v>9753</v>
      </c>
      <c r="K159" s="2" t="s">
        <v>7352</v>
      </c>
      <c r="L159" s="4" t="s">
        <v>8081</v>
      </c>
      <c r="M159" s="1" t="s">
        <v>12148</v>
      </c>
      <c r="P159" s="7" t="s">
        <v>1241</v>
      </c>
      <c r="Q159" s="14" t="str">
        <f>INDEX($L:$L, MATCH("ancient", $B:$B, 0))</f>
        <v>&lt;span class="w"&gt;&lt;b&gt;【98.ancient：古代の, 昔からの】&lt;/b&gt;&lt;/span&gt;
&lt;span class="ml"&gt;ラテン語ante（前の）に由来する。
&lt;span class="spacer"&gt;&lt;/span&gt;「（時間的に）前の」から「古代の, 昔からの」という意味になる。
&lt;span class="spacer"&gt;&lt;/span&gt;以下の時代区分も参考に。
modern（近代・現代）
medieval（中世）
ancient（古代の）&lt;/span&gt;</v>
      </c>
      <c r="R159" s="14" t="str">
        <f>INDEX($L:$L, MATCH("ancestor", $B:$B, 0))</f>
        <v>&lt;span class="w"&gt;&lt;b&gt;【274.ancestor：祖先】&lt;/b&gt;&lt;/span&gt;
&lt;span class="ml"&gt;ラテン語に由来する語で、以下の3つの要素から成る。
&lt;span class="spacer"&gt;&lt;/span&gt;ante（前に）
cedere（行く, 進む）
or（〜する人）
&lt;span class="spacer"&gt;&lt;/span&gt;このまま日本語にすると「前に行く人」となる。自分たちよりも時間的に前を行く人から先代の人＝「祖先」という意味になる。
&lt;div class="sample_image ancestor"&gt;&lt;/div&gt;&lt;/span&gt;</v>
      </c>
      <c r="S159" s="14" t="str">
        <f>INDEX($L:$L, MATCH("advance", $B:$B, 0))</f>
        <v>&lt;span class="w"&gt;&lt;b&gt;【114.advance：～を進歩させる, ～を前進する】&lt;/b&gt;&lt;/span&gt;
&lt;span class="ml"&gt;ラテン語に由来する語で、以下の2つの要素から成る。
&lt;span class="spacer"&gt;&lt;/span&gt;ab（～から）
ante（前に）
&lt;span class="spacer"&gt;&lt;/span&gt;このまま日本語にすると「～から前に」となる。ここから前方への移動を表して「進歩させる, 前進する」という意味になる。&lt;/span&gt;</v>
      </c>
      <c r="T159" s="14" t="str">
        <f>INDEX($L:$L, MATCH("disadvantage", $B:$B, 0))</f>
        <v>&lt;span class="w"&gt;&lt;b&gt;【563.disadvantage：不利, 障害】&lt;/b&gt;&lt;/span&gt;
&lt;span class="ml"&gt;古フランス語に由来する語で、以下の2つの要素から成る。
&lt;span class="spacer"&gt;&lt;/span&gt;des（否定）
avantage（有利, 利益）
&lt;span class="spacer"&gt;&lt;/span&gt;有利や利益の否定なので「不利, 障害」という意味になる。&lt;/span&gt;</v>
      </c>
      <c r="U159" s="15"/>
      <c r="AU159" s="15"/>
      <c r="AV159" s="1" t="s">
        <v>1502</v>
      </c>
      <c r="BG159" s="7" t="s">
        <v>1503</v>
      </c>
      <c r="BH159" s="1" t="s">
        <v>2034</v>
      </c>
      <c r="BI159" s="2" t="s">
        <v>2468</v>
      </c>
      <c r="BJ159" s="1" t="s">
        <v>3658</v>
      </c>
      <c r="BK159" s="1" t="s">
        <v>2469</v>
      </c>
      <c r="BL159" s="1" t="s">
        <v>1504</v>
      </c>
      <c r="BM159" s="2" t="s">
        <v>7353</v>
      </c>
      <c r="BN159" s="1" t="s">
        <v>2044</v>
      </c>
      <c r="BO159" s="2" t="s">
        <v>2477</v>
      </c>
      <c r="BP159" s="1" t="s">
        <v>1865</v>
      </c>
      <c r="BQ159" s="2" t="s">
        <v>2478</v>
      </c>
    </row>
    <row r="160" spans="1:71" ht="72" x14ac:dyDescent="0.45">
      <c r="A160" s="5">
        <v>159</v>
      </c>
      <c r="B160" s="8" t="s">
        <v>126</v>
      </c>
      <c r="C160" s="6" t="s">
        <v>6850</v>
      </c>
      <c r="D160" s="7" t="s">
        <v>9752</v>
      </c>
      <c r="E160" s="1" t="s">
        <v>126</v>
      </c>
      <c r="F160" s="1"/>
      <c r="G160" s="1"/>
      <c r="J160" s="1" t="s">
        <v>9753</v>
      </c>
      <c r="K160" s="2" t="s">
        <v>7354</v>
      </c>
      <c r="L160" s="9" t="s">
        <v>8082</v>
      </c>
      <c r="P160" s="7" t="s">
        <v>1241</v>
      </c>
      <c r="AU160" s="15"/>
      <c r="AV160" s="1" t="s">
        <v>1502</v>
      </c>
      <c r="BG160" s="7" t="s">
        <v>1503</v>
      </c>
      <c r="BH160" s="1" t="s">
        <v>2458</v>
      </c>
      <c r="BI160" s="2" t="s">
        <v>2470</v>
      </c>
      <c r="BJ160" s="1" t="s">
        <v>2471</v>
      </c>
      <c r="BK160" s="1" t="s">
        <v>2472</v>
      </c>
      <c r="BL160" s="1" t="s">
        <v>1865</v>
      </c>
      <c r="BM160" s="2" t="s">
        <v>2485</v>
      </c>
    </row>
    <row r="161" spans="1:69" ht="72" x14ac:dyDescent="0.45">
      <c r="A161" s="5">
        <v>160</v>
      </c>
      <c r="B161" s="8" t="s">
        <v>1358</v>
      </c>
      <c r="C161" s="6" t="s">
        <v>6850</v>
      </c>
      <c r="D161" s="7" t="s">
        <v>9752</v>
      </c>
      <c r="E161" s="1" t="s">
        <v>1354</v>
      </c>
      <c r="F161" s="1"/>
      <c r="G161" s="1"/>
      <c r="J161" s="1" t="s">
        <v>9753</v>
      </c>
      <c r="K161" s="2" t="s">
        <v>7355</v>
      </c>
      <c r="L161" s="9" t="s">
        <v>8083</v>
      </c>
      <c r="P161" s="7" t="s">
        <v>1241</v>
      </c>
      <c r="AU161" s="15"/>
      <c r="AV161" s="1" t="s">
        <v>1502</v>
      </c>
      <c r="BG161" s="7" t="s">
        <v>1503</v>
      </c>
      <c r="BH161" s="1" t="s">
        <v>2034</v>
      </c>
      <c r="BI161" s="2" t="s">
        <v>2473</v>
      </c>
      <c r="BJ161" s="1" t="s">
        <v>1504</v>
      </c>
      <c r="BK161" s="2" t="s">
        <v>2474</v>
      </c>
      <c r="BL161" s="1" t="s">
        <v>2044</v>
      </c>
      <c r="BM161" s="2" t="s">
        <v>2475</v>
      </c>
    </row>
    <row r="162" spans="1:69" ht="144" x14ac:dyDescent="0.45">
      <c r="A162" s="5">
        <v>161</v>
      </c>
      <c r="B162" s="8" t="s">
        <v>127</v>
      </c>
      <c r="C162" s="6" t="s">
        <v>6850</v>
      </c>
      <c r="D162" s="7" t="s">
        <v>9752</v>
      </c>
      <c r="E162" s="1" t="s">
        <v>29</v>
      </c>
      <c r="F162" s="1" t="s">
        <v>1355</v>
      </c>
      <c r="G162" s="1"/>
      <c r="J162" s="1" t="s">
        <v>9753</v>
      </c>
      <c r="K162" s="2" t="s">
        <v>7356</v>
      </c>
      <c r="L162" s="9" t="s">
        <v>8084</v>
      </c>
      <c r="P162" s="7" t="s">
        <v>1241</v>
      </c>
      <c r="AU162" s="15"/>
      <c r="AV162" s="1" t="s">
        <v>1502</v>
      </c>
      <c r="BG162" s="7" t="s">
        <v>1503</v>
      </c>
      <c r="BH162" s="1" t="s">
        <v>2034</v>
      </c>
      <c r="BI162" s="2" t="s">
        <v>2486</v>
      </c>
      <c r="BJ162" s="1" t="s">
        <v>1865</v>
      </c>
      <c r="BK162" s="2" t="s">
        <v>2487</v>
      </c>
    </row>
    <row r="163" spans="1:69" ht="162" x14ac:dyDescent="0.45">
      <c r="A163" s="5">
        <v>162</v>
      </c>
      <c r="B163" s="8" t="s">
        <v>128</v>
      </c>
      <c r="C163" s="6" t="s">
        <v>6850</v>
      </c>
      <c r="D163" s="7" t="s">
        <v>9752</v>
      </c>
      <c r="E163" s="1" t="s">
        <v>8891</v>
      </c>
      <c r="F163" s="1" t="s">
        <v>1566</v>
      </c>
      <c r="G163" s="1"/>
      <c r="J163" s="1" t="s">
        <v>9753</v>
      </c>
      <c r="K163" s="2" t="s">
        <v>7357</v>
      </c>
      <c r="L163" s="9" t="s">
        <v>8085</v>
      </c>
      <c r="P163" s="7" t="s">
        <v>1241</v>
      </c>
      <c r="AU163" s="15"/>
      <c r="AV163" s="1" t="s">
        <v>1502</v>
      </c>
      <c r="BG163" s="7" t="s">
        <v>1503</v>
      </c>
      <c r="BH163" s="1" t="s">
        <v>2458</v>
      </c>
      <c r="BI163" s="2" t="s">
        <v>2488</v>
      </c>
      <c r="BJ163" s="1" t="s">
        <v>2034</v>
      </c>
      <c r="BK163" s="2" t="s">
        <v>2489</v>
      </c>
      <c r="BL163" s="1" t="s">
        <v>2044</v>
      </c>
      <c r="BM163" s="2" t="s">
        <v>2490</v>
      </c>
      <c r="BN163" s="1" t="s">
        <v>1865</v>
      </c>
      <c r="BO163" s="2" t="s">
        <v>2491</v>
      </c>
    </row>
    <row r="164" spans="1:69" ht="270" x14ac:dyDescent="0.45">
      <c r="A164" s="5">
        <v>163</v>
      </c>
      <c r="B164" s="8" t="s">
        <v>1359</v>
      </c>
      <c r="C164" s="6" t="s">
        <v>6850</v>
      </c>
      <c r="D164" s="7" t="s">
        <v>9752</v>
      </c>
      <c r="E164" s="1" t="s">
        <v>1251</v>
      </c>
      <c r="F164" s="1" t="s">
        <v>8892</v>
      </c>
      <c r="G164" s="1" t="s">
        <v>8893</v>
      </c>
      <c r="J164" s="1" t="s">
        <v>9753</v>
      </c>
      <c r="K164" s="2" t="s">
        <v>7358</v>
      </c>
      <c r="L164" s="4" t="s">
        <v>8086</v>
      </c>
      <c r="M164" s="1" t="s">
        <v>12140</v>
      </c>
      <c r="P164" s="7" t="s">
        <v>1241</v>
      </c>
      <c r="Q164" s="14" t="str">
        <f>INDEX($L:$L, MATCH("source", $B:$B, 0))</f>
        <v>&lt;span class="w"&gt;&lt;b&gt;【75.source：源, 情報源】&lt;/b&gt;&lt;/span&gt;
&lt;span class="ml"&gt;ラテン語に由来する語で、以下の2つの要素から成る。
&lt;span class="spacer"&gt;&lt;/span&gt;sub（下から上に）
regere（まっすぐ導く）
&lt;span class="spacer"&gt;&lt;/span&gt;このまま日本語にすると「下から上にまっすぐ導く」となる。これは地下から水が湧き出てくるイメージ。ここから「源, 情報源」という意味になる。&lt;/span&gt;</v>
      </c>
      <c r="R164" s="14" t="str">
        <f>INDEX($L:$L, MATCH("region", $B:$B, 0))</f>
        <v>&lt;span class="w"&gt;&lt;b&gt;【164.region：地域, 領域, 部位】&lt;/b&gt;&lt;/span&gt;
&lt;span class="ml"&gt;ラテン語に由来する語で、以下の2つの要素から成る。
&lt;span class="spacer"&gt;&lt;/span&gt;regere（まっすぐ導く, 支配する）
io（名詞化）
&lt;span class="spacer"&gt;&lt;/span&gt;このまま日本語にすると「まっすぐ導くこと, 支配する者」となる。支配者が領土に線を引いて区分けするイメージから「地域, 領域, 部位」という意味になる。
&lt;div class="sample_image region"&gt;&lt;/div&gt;&lt;/span&gt;</v>
      </c>
      <c r="S164" s="14" t="str">
        <f>INDEX($L:$L, MATCH("correct", $B:$B, 0))</f>
        <v>&lt;span class="w"&gt;&lt;b&gt;【99.correct：正しい】&lt;/b&gt;&lt;/span&gt;
&lt;span class="ml"&gt;ラテン語に由来する語で、以下の2つの要素から成る。
&lt;span class="spacer"&gt;&lt;/span&gt;com（強意）
regere（まっすぐ導く）
&lt;span class="spacer"&gt;&lt;/span&gt;このまま日本語にすると「しっかりとまっすぐ導く」となる。間違いにそれることなくまっすぐに正すことから「正しい」という意味になる。&lt;/span&gt;</v>
      </c>
      <c r="T164" s="14" t="str">
        <f>INDEX($L:$L, MATCH("address", $B:$B, 0))</f>
        <v>&lt;span class="w"&gt;&lt;b&gt;【330.address：問題に対処する, 演説する, ～宛てに出す】&lt;/b&gt;&lt;/span&gt;
&lt;span class="ml"&gt;ラテン語に由来する語で、以下の2つの要素から成る。
&lt;span class="spacer"&gt;&lt;/span&gt;ad（～へ）
dis（強意）
regere（まっすぐ導く）
&lt;span class="spacer"&gt;&lt;/span&gt;このまま日本語にすると「ある方向へしっかりまっすぐ導く」となる。ここから問題に対して自分の意識をまっすぐ向けて、問題を解消してまっすぐな状態＝正常な状態にしようとする＝「対処する」という意味になる。
&lt;span class="spacer"&gt;&lt;/span&gt;また対象へまっすぐ届けることから、手紙などを「～へ宛てて送る」となる。手紙ではなく言葉を直接届ける場合は「演説をする」となる。
&lt;div class="sample_image address"&gt;&lt;/div&gt;&lt;/span&gt;</v>
      </c>
      <c r="U164" s="13" t="str">
        <f>INDEX($L:$L, MATCH("alert", $B:$B, 0))</f>
        <v>&lt;span class="w"&gt;&lt;b&gt;【985.alert：警戒して】&lt;/b&gt;&lt;/span&gt;
&lt;span class="ml"&gt;［ert部分］
ラテン語に由来する語で、以下の2つの要素から成る。
&lt;span class="spacer"&gt;&lt;/span&gt;ex（外に, 上に）
regere（導く）
&lt;span class="spacer"&gt;&lt;/span&gt;［al+ert］
イタリア語に由来する語で、以下の3つの要素から成る。
&lt;span class="spacer"&gt;&lt;/span&gt;a（〜へ）
la（＝the）
erta（高い塔, 見張り台）
&lt;span class="spacer"&gt;&lt;/span&gt;ラテン語の「上に導く（erigere）」から派生した言葉が「高く持ち上げられた場所（erta）」となり、それがイタリア語で「高台」や「見張り台」を表すようになった。そして、兵士に対する「見張り台へ！（all'erta）」という軍事的な呼びかけの言葉が、フランス語を経由して英語に取り入れられ、alert「警戒して」という意味になった。&lt;/span&gt;</v>
      </c>
      <c r="AU164" s="15"/>
      <c r="AV164" s="1" t="s">
        <v>1502</v>
      </c>
      <c r="BG164" s="7" t="s">
        <v>1503</v>
      </c>
      <c r="BH164" s="1" t="s">
        <v>2034</v>
      </c>
      <c r="BI164" s="2" t="s">
        <v>7359</v>
      </c>
      <c r="BJ164" s="1" t="s">
        <v>1504</v>
      </c>
      <c r="BK164" s="2" t="s">
        <v>2492</v>
      </c>
      <c r="BL164" s="1" t="s">
        <v>1865</v>
      </c>
      <c r="BM164" s="2" t="s">
        <v>2493</v>
      </c>
    </row>
    <row r="165" spans="1:69" ht="270" x14ac:dyDescent="0.45">
      <c r="A165" s="5">
        <v>164</v>
      </c>
      <c r="B165" s="8" t="s">
        <v>1360</v>
      </c>
      <c r="C165" s="6" t="s">
        <v>6850</v>
      </c>
      <c r="D165" s="7" t="s">
        <v>9752</v>
      </c>
      <c r="E165" s="1" t="s">
        <v>8894</v>
      </c>
      <c r="F165" s="1" t="s">
        <v>1584</v>
      </c>
      <c r="G165" s="1"/>
      <c r="J165" s="1" t="s">
        <v>9753</v>
      </c>
      <c r="K165" s="2" t="s">
        <v>7360</v>
      </c>
      <c r="L165" s="3" t="s">
        <v>8087</v>
      </c>
      <c r="M165" s="1" t="s">
        <v>12140</v>
      </c>
      <c r="P165" s="7" t="s">
        <v>1241</v>
      </c>
      <c r="Q165" s="14" t="str">
        <f>INDEX($L:$L, MATCH("source", $B:$B, 0))</f>
        <v>&lt;span class="w"&gt;&lt;b&gt;【75.source：源, 情報源】&lt;/b&gt;&lt;/span&gt;
&lt;span class="ml"&gt;ラテン語に由来する語で、以下の2つの要素から成る。
&lt;span class="spacer"&gt;&lt;/span&gt;sub（下から上に）
regere（まっすぐ導く）
&lt;span class="spacer"&gt;&lt;/span&gt;このまま日本語にすると「下から上にまっすぐ導く」となる。これは地下から水が湧き出てくるイメージ。ここから「源, 情報源」という意味になる。&lt;/span&gt;</v>
      </c>
      <c r="R165" s="14" t="str">
        <f>INDEX($L:$L, MATCH("resource", $B:$B, 0))</f>
        <v>&lt;span class="w"&gt;&lt;b&gt;【163.resource：資源, 資金】&lt;/b&gt;&lt;/span&gt;
&lt;span class="ml"&gt;ラテン語に由来する語で、以下の3つの要素から成る。
&lt;span class="spacer"&gt;&lt;/span&gt;re（再び）
sub（下から）
regere（まっすぐ導く）
&lt;span class="spacer"&gt;&lt;/span&gt;このまま日本語にすると「再び下からまっすぐ導く」となる。崩れたものをを再び立て直すことから、困ったときに立ち直らせる源＝「資源, 資金」という意味になる。&lt;/span&gt;</v>
      </c>
      <c r="S165" s="14" t="str">
        <f>INDEX($L:$L, MATCH("correct", $B:$B, 0))</f>
        <v>&lt;span class="w"&gt;&lt;b&gt;【99.correct：正しい】&lt;/b&gt;&lt;/span&gt;
&lt;span class="ml"&gt;ラテン語に由来する語で、以下の2つの要素から成る。
&lt;span class="spacer"&gt;&lt;/span&gt;com（強意）
regere（まっすぐ導く）
&lt;span class="spacer"&gt;&lt;/span&gt;このまま日本語にすると「しっかりとまっすぐ導く」となる。間違いにそれることなくまっすぐに正すことから「正しい」という意味になる。&lt;/span&gt;</v>
      </c>
      <c r="T165" s="14" t="str">
        <f>INDEX($L:$L, MATCH("address", $B:$B, 0))</f>
        <v>&lt;span class="w"&gt;&lt;b&gt;【330.address：問題に対処する, 演説する, ～宛てに出す】&lt;/b&gt;&lt;/span&gt;
&lt;span class="ml"&gt;ラテン語に由来する語で、以下の2つの要素から成る。
&lt;span class="spacer"&gt;&lt;/span&gt;ad（～へ）
dis（強意）
regere（まっすぐ導く）
&lt;span class="spacer"&gt;&lt;/span&gt;このまま日本語にすると「ある方向へしっかりまっすぐ導く」となる。ここから問題に対して自分の意識をまっすぐ向けて、問題を解消してまっすぐな状態＝正常な状態にしようとする＝「対処する」という意味になる。
&lt;span class="spacer"&gt;&lt;/span&gt;また対象へまっすぐ届けることから、手紙などを「～へ宛てて送る」となる。手紙ではなく言葉を直接届ける場合は「演説をする」となる。
&lt;div class="sample_image address"&gt;&lt;/div&gt;&lt;/span&gt;</v>
      </c>
      <c r="U165" s="13" t="str">
        <f>INDEX($L:$L, MATCH("alert", $B:$B, 0))</f>
        <v>&lt;span class="w"&gt;&lt;b&gt;【985.alert：警戒して】&lt;/b&gt;&lt;/span&gt;
&lt;span class="ml"&gt;［ert部分］
ラテン語に由来する語で、以下の2つの要素から成る。
&lt;span class="spacer"&gt;&lt;/span&gt;ex（外に, 上に）
regere（導く）
&lt;span class="spacer"&gt;&lt;/span&gt;［al+ert］
イタリア語に由来する語で、以下の3つの要素から成る。
&lt;span class="spacer"&gt;&lt;/span&gt;a（〜へ）
la（＝the）
erta（高い塔, 見張り台）
&lt;span class="spacer"&gt;&lt;/span&gt;ラテン語の「上に導く（erigere）」から派生した言葉が「高く持ち上げられた場所（erta）」となり、それがイタリア語で「高台」や「見張り台」を表すようになった。そして、兵士に対する「見張り台へ！（all'erta）」という軍事的な呼びかけの言葉が、フランス語を経由して英語に取り入れられ、alert「警戒して」という意味になった。&lt;/span&gt;</v>
      </c>
      <c r="AU165" s="15"/>
      <c r="AV165" s="1" t="s">
        <v>1502</v>
      </c>
      <c r="BG165" s="7" t="s">
        <v>1503</v>
      </c>
      <c r="BH165" s="1" t="s">
        <v>2034</v>
      </c>
      <c r="BI165" s="2" t="s">
        <v>7361</v>
      </c>
      <c r="BJ165" s="1" t="s">
        <v>1504</v>
      </c>
      <c r="BK165" s="2" t="s">
        <v>2494</v>
      </c>
      <c r="BL165" s="1" t="s">
        <v>2321</v>
      </c>
      <c r="BM165" s="1" t="s">
        <v>2495</v>
      </c>
      <c r="BN165" s="1" t="s">
        <v>2044</v>
      </c>
      <c r="BO165" s="2" t="s">
        <v>2496</v>
      </c>
      <c r="BQ165" s="2"/>
    </row>
    <row r="166" spans="1:69" ht="252" x14ac:dyDescent="0.45">
      <c r="A166" s="5">
        <v>165</v>
      </c>
      <c r="B166" s="8" t="s">
        <v>1361</v>
      </c>
      <c r="C166" s="6" t="s">
        <v>6850</v>
      </c>
      <c r="D166" s="7" t="s">
        <v>9752</v>
      </c>
      <c r="E166" s="1" t="s">
        <v>129</v>
      </c>
      <c r="F166" s="1"/>
      <c r="G166" s="1"/>
      <c r="J166" s="1" t="s">
        <v>9753</v>
      </c>
      <c r="K166" s="2" t="s">
        <v>7362</v>
      </c>
      <c r="L166" s="4" t="s">
        <v>8088</v>
      </c>
      <c r="P166" s="7" t="s">
        <v>1241</v>
      </c>
      <c r="Q166" s="14" t="str">
        <f>INDEX($L:$L, MATCH("remedy", $B:$B, 0))</f>
        <v>&lt;span class="w"&gt;&lt;b&gt;【1444.remedy：治療（法）, 治療薬, 改善策】&lt;/b&gt;&lt;/span&gt;
&lt;span class="ml"&gt;ラテン語に由来する語で、以下の2つの要素から成る。
&lt;span class="spacer"&gt;&lt;/span&gt;re（強意）
mederi（癒す）
um（名詞化）
&lt;span class="spacer"&gt;&lt;/span&gt;このまま日本語にすると「癒すこと, 癒すもの」となる。この語の核は「悪い状態を正常な状態へ戻すもの」。
&lt;span class="spacer"&gt;&lt;/span&gt;そこから、もともとの病気やけがの「治療（法）, 治療薬」という意味に加えて、比喩的に、問題・欠陥・損害などを正す「解決策」という意味にもなった。
&lt;span class="spacer"&gt;&lt;/span&gt;remedyのmed部分は、medicineやmedicalのmedと同じで「癒す」という意味。まずは「癒すもの＝悪い状態を正常な状態へ戻すもの」というイメージを持ち、あとは文脈をもとに日本語にすればよい。&lt;/span&gt;</v>
      </c>
      <c r="R166" s="15"/>
      <c r="S166" s="15"/>
      <c r="T166" s="15"/>
      <c r="U166" s="15"/>
      <c r="V166" s="15"/>
      <c r="W166" s="15"/>
      <c r="X166" s="15"/>
      <c r="AV166" s="1" t="s">
        <v>1502</v>
      </c>
      <c r="BG166" s="7" t="s">
        <v>1503</v>
      </c>
      <c r="BH166" s="1" t="s">
        <v>1976</v>
      </c>
      <c r="BI166" s="1" t="s">
        <v>7363</v>
      </c>
      <c r="BJ166" s="1" t="s">
        <v>2034</v>
      </c>
      <c r="BK166" s="2" t="s">
        <v>2497</v>
      </c>
      <c r="BL166" s="1" t="s">
        <v>1504</v>
      </c>
      <c r="BM166" s="2" t="s">
        <v>2498</v>
      </c>
      <c r="BN166" s="1" t="s">
        <v>2044</v>
      </c>
      <c r="BO166" s="2" t="s">
        <v>2499</v>
      </c>
    </row>
    <row r="167" spans="1:69" ht="144" x14ac:dyDescent="0.45">
      <c r="A167" s="5">
        <v>166</v>
      </c>
      <c r="B167" s="8" t="s">
        <v>130</v>
      </c>
      <c r="C167" s="6" t="s">
        <v>6850</v>
      </c>
      <c r="D167" s="7" t="s">
        <v>9752</v>
      </c>
      <c r="E167" s="1" t="s">
        <v>1327</v>
      </c>
      <c r="F167" s="1" t="s">
        <v>1356</v>
      </c>
      <c r="G167" s="1"/>
      <c r="J167" s="1" t="s">
        <v>9753</v>
      </c>
      <c r="K167" s="2" t="s">
        <v>7364</v>
      </c>
      <c r="L167" s="9" t="s">
        <v>8089</v>
      </c>
      <c r="M167" s="1" t="s">
        <v>12168</v>
      </c>
      <c r="P167" s="7" t="s">
        <v>1241</v>
      </c>
      <c r="Q167" s="13" t="str">
        <f>INDEX($L:$L, MATCH("retail", $B:$B, 0))</f>
        <v>&lt;span class="w"&gt;&lt;b&gt;【1154.retail：小売り】&lt;/b&gt;&lt;/span&gt;
&lt;span class="ml"&gt;古フランス語に由来する語で、以下の2つの要素から成る。
&lt;span class="spacer"&gt;&lt;/span&gt;re（再び）
taillier（切る, 整える）
&lt;span class="spacer"&gt;&lt;/span&gt;このまま日本語にすると「再び切る」となる。大きなものを繰り返し切って細かくすることから、まとまった商品を切り分けて売る「小売り」という意味になった。
&lt;div class="sample_image retail"&gt;&lt;/div&gt;&lt;/span&gt;</v>
      </c>
      <c r="AU167" s="15"/>
      <c r="AV167" s="1" t="s">
        <v>1502</v>
      </c>
      <c r="BG167" s="7" t="s">
        <v>1503</v>
      </c>
      <c r="BH167" s="1" t="s">
        <v>1504</v>
      </c>
      <c r="BI167" s="2" t="s">
        <v>2500</v>
      </c>
      <c r="BJ167" s="1" t="s">
        <v>2017</v>
      </c>
      <c r="BK167" s="1" t="s">
        <v>2501</v>
      </c>
      <c r="BL167" s="1" t="s">
        <v>1865</v>
      </c>
      <c r="BM167" s="2" t="s">
        <v>2502</v>
      </c>
    </row>
    <row r="168" spans="1:69" ht="108" x14ac:dyDescent="0.45">
      <c r="A168" s="5">
        <v>167</v>
      </c>
      <c r="B168" s="8" t="s">
        <v>1524</v>
      </c>
      <c r="C168" s="6" t="s">
        <v>6850</v>
      </c>
      <c r="D168" s="7" t="s">
        <v>9752</v>
      </c>
      <c r="E168" s="1" t="s">
        <v>4609</v>
      </c>
      <c r="F168" s="1" t="s">
        <v>1525</v>
      </c>
      <c r="G168" s="1"/>
      <c r="J168" s="1" t="s">
        <v>9753</v>
      </c>
      <c r="K168" s="2" t="s">
        <v>7365</v>
      </c>
      <c r="L168" s="9" t="s">
        <v>8090</v>
      </c>
      <c r="P168" s="7" t="s">
        <v>1241</v>
      </c>
      <c r="Q168" s="13" t="str">
        <f>INDEX($L:$L, MATCH("profit", $B:$B, 0))</f>
        <v>&lt;span class="w"&gt;&lt;b&gt;【349.profit：利益, 収益, 得】&lt;/b&gt;&lt;/span&gt;
&lt;span class="ml"&gt;ラテン語に由来する語で、以下の2つの要素から成る。
&lt;span class="spacer"&gt;&lt;/span&gt;pro（前へ）
facere（作る, する）
&lt;span class="spacer"&gt;&lt;/span&gt;何かを前へ進めて成果を作り出すことから、進展や成長という意味を経て、成果や収益などの具体的な「利益, 収益, 得」という意味になる。&lt;/span&gt;</v>
      </c>
      <c r="R168" s="13" t="str">
        <f>INDEX($L:$L, MATCH("benefit", $B:$B, 0))</f>
        <v>&lt;span class="w"&gt;&lt;b&gt;【61.benefit：利益】&lt;/b&gt;&lt;/span&gt;
&lt;span class="ml"&gt;ラテン語に由来する語で、以下の2つの要素から成る。
&lt;span class="spacer"&gt;&lt;/span&gt;bene（よく）
facere（行う）
&lt;span class="spacer"&gt;&lt;/span&gt;このまま日本語にすると「良く行う」となる。よい行いは誰かにとって「利益, 恩恵」となる。&lt;/span&gt;</v>
      </c>
      <c r="S168" s="13" t="str">
        <f>INDEX($L:$L, MATCH("artificial", $B:$B, 0))</f>
        <v>&lt;span class="w"&gt;&lt;b&gt;【384.artificial：人工の, 不自然な】&lt;/b&gt;&lt;/span&gt;
&lt;span class="ml"&gt;ラテン語に由来する語で、以下の3つの要素から成る。
ars（技術, 芸術）
facere（する, 作る）
alis（形容詞化）
&lt;span class="spacer"&gt;&lt;/span&gt;これは、自然ではなく人間の技術で作られた＝「人工的な」という意味になる。また明らかに人工的であることから「不自然な」という意味にもなる。&lt;/span&gt;</v>
      </c>
      <c r="AU168" s="15"/>
      <c r="AV168" s="1" t="s">
        <v>1502</v>
      </c>
      <c r="BG168" s="7" t="s">
        <v>1503</v>
      </c>
      <c r="BH168" s="1" t="s">
        <v>2034</v>
      </c>
      <c r="BI168" s="2" t="s">
        <v>7366</v>
      </c>
      <c r="BJ168" s="1" t="s">
        <v>1504</v>
      </c>
      <c r="BK168" s="2" t="s">
        <v>2503</v>
      </c>
      <c r="BL168" s="1" t="s">
        <v>2321</v>
      </c>
      <c r="BM168" s="2" t="s">
        <v>2504</v>
      </c>
      <c r="BN168" s="1" t="s">
        <v>2044</v>
      </c>
      <c r="BO168" s="2" t="s">
        <v>7367</v>
      </c>
      <c r="BP168" s="1" t="s">
        <v>1865</v>
      </c>
      <c r="BQ168" s="2" t="s">
        <v>2505</v>
      </c>
    </row>
    <row r="169" spans="1:69" ht="180" x14ac:dyDescent="0.45">
      <c r="A169" s="5">
        <v>168</v>
      </c>
      <c r="B169" s="8" t="s">
        <v>131</v>
      </c>
      <c r="C169" s="6" t="s">
        <v>6850</v>
      </c>
      <c r="D169" s="7" t="s">
        <v>9752</v>
      </c>
      <c r="E169" s="1" t="s">
        <v>8895</v>
      </c>
      <c r="F169" s="1" t="s">
        <v>1580</v>
      </c>
      <c r="G169" s="1"/>
      <c r="J169" s="1" t="s">
        <v>9753</v>
      </c>
      <c r="K169" s="2" t="s">
        <v>7368</v>
      </c>
      <c r="L169" s="2" t="s">
        <v>8091</v>
      </c>
      <c r="P169" s="7" t="s">
        <v>1241</v>
      </c>
      <c r="AU169" s="15"/>
      <c r="AV169" s="1" t="s">
        <v>1502</v>
      </c>
      <c r="BG169" s="7" t="s">
        <v>1503</v>
      </c>
      <c r="BH169" s="1" t="s">
        <v>2034</v>
      </c>
      <c r="BI169" s="2" t="s">
        <v>7369</v>
      </c>
      <c r="BJ169" s="1" t="s">
        <v>2017</v>
      </c>
      <c r="BK169" s="1" t="s">
        <v>2506</v>
      </c>
      <c r="BL169" s="1" t="s">
        <v>1865</v>
      </c>
      <c r="BM169" s="2" t="s">
        <v>2507</v>
      </c>
    </row>
    <row r="170" spans="1:69" ht="409.6" x14ac:dyDescent="0.45">
      <c r="A170" s="5">
        <v>169</v>
      </c>
      <c r="B170" s="8" t="s">
        <v>132</v>
      </c>
      <c r="C170" s="6" t="s">
        <v>6850</v>
      </c>
      <c r="D170" s="7" t="s">
        <v>9752</v>
      </c>
      <c r="E170" s="1" t="s">
        <v>1346</v>
      </c>
      <c r="F170" s="1" t="s">
        <v>1357</v>
      </c>
      <c r="G170" s="1"/>
      <c r="J170" s="1" t="s">
        <v>9753</v>
      </c>
      <c r="K170" s="2" t="s">
        <v>7370</v>
      </c>
      <c r="L170" s="4" t="s">
        <v>8092</v>
      </c>
      <c r="M170" s="1" t="s">
        <v>12169</v>
      </c>
      <c r="P170" s="7" t="s">
        <v>1241</v>
      </c>
      <c r="Q170" s="14" t="str">
        <f>INDEX($L:$L, MATCH("succeed", $B:$B, 0))</f>
        <v>&lt;span class="w"&gt;&lt;b&gt;【240.succeed：成功する（in）, 継承する（to）】&lt;/b&gt;&lt;/span&gt;
&lt;span class="ml"&gt;ラテン語に由来する語で、以下の2つの要素から成る。
&lt;span class="spacer"&gt;&lt;/span&gt;sub（後に）
cedere（行く, 進む）
&lt;span class="spacer"&gt;&lt;/span&gt;このまま日本語にすると「後に行く」となる。ここから次の2つの意味に発展する。
&lt;span class="spacer"&gt;&lt;/span&gt;①前任者の後を行くというイメージから「何かを継承する」という意味になる。この場合はsucceed &lt;strong&gt;to&lt;/strong&gt; Aで「Aに成功する」となる。
&lt;span class="spacer"&gt;&lt;/span&gt;②行為の後に結果が続くというイメージから「成功する」という意味になる。この場合はsucceed &lt;strong&gt;in&lt;/strong&gt; Aで「Aを継承する」となる。
&lt;div class="sample_image succeed"&gt;&lt;/div&gt;
&lt;span class="spacer"&gt;&lt;/span&gt;&lt;span class="obsolete"&gt;succeedは、もともとは何かに続いて結果が出るという意味で、良い結果（成功）を意味したわけではない。
&lt;span class="spacer"&gt;&lt;/span&gt;16世紀頃にsucceed well（ことがうまくいく）という表現があり、ここからwellが省略されてsucceed（成功する）となった。
&lt;span class="spacer"&gt;&lt;/span&gt;これと同じことがlikeでも起こり、最初はlike ~ wellで「好む」という意味だったが、likeの1語のみになった。
&lt;span class="spacer"&gt;&lt;/span&gt;「～の方が好き / ～が一番好き」という場合、wellの比較級 / 最上級を使ってlike ~ better / the bestとなるが、これはlike〜wellの名残である。&lt;/span&gt;&lt;/span&gt;</v>
      </c>
      <c r="R170" s="14" t="str">
        <f>INDEX($L:$L, MATCH("proceed", $B:$B, 0))</f>
        <v>&lt;span class="w"&gt;&lt;b&gt;【1101.proceed：進む, 進行する】&lt;/b&gt;&lt;/span&gt;
&lt;span class="ml"&gt;ラテン語に由来する語で、以下の2つの要素から成る。
&lt;span class="spacer"&gt;&lt;/span&gt;pro（前へ）
cedere（行く, 進む）
&lt;span class="spacer"&gt;&lt;/span&gt;このまま日本語にすると「前へ進む」となり「進む, 進行する」という意味になる。名詞になるとprocess（過程, 経過）やprocedure（手続き）という進行途中や進行手順を表す。&lt;/span&gt;</v>
      </c>
      <c r="S170" s="14" t="str">
        <f>INDEX($L:$L, MATCH("exceed", $B:$B, 0))</f>
        <v>&lt;span class="w"&gt;&lt;b&gt;【936.exceed：〜を超える, 〜を勝る】&lt;/b&gt;&lt;/span&gt;
&lt;span class="ml"&gt;ラテン語に由来する語で、以下の2つの要素から成る。
&lt;span class="spacer"&gt;&lt;/span&gt;ex（外に）
cedere（行く）
&lt;span class="spacer"&gt;&lt;/span&gt;このまま日本語にすると「外に行く」となる。ある範囲や基準の外に出て行くことから、何かを「超える, 勝る」という意味になる。
&lt;div class="sample_image exceed"&gt;&lt;/div&gt;&lt;/span&gt;</v>
      </c>
      <c r="T170" s="14" t="str">
        <f>INDEX($L:$L, MATCH("excess", $B:$B, 0))</f>
        <v>&lt;span class="w"&gt;&lt;b&gt;【1163.excess：過剰, 超過】&lt;/b&gt;&lt;/span&gt;
&lt;span class="ml"&gt;ラテン語に由来する語で、以下の3つの要素から成る。
&lt;span class="spacer"&gt;&lt;/span&gt;ex（外に）
cedere（行く）
us（名詞化）
&lt;span class="spacer"&gt;&lt;/span&gt;このまま日本語にすると「外に行くこと」となる。もともとは、物理的に何かの範囲や領域、境界から外へ出ることを表した。そこから意味が抽象化し、基準や度合を超えること、つまり「超過, 過剰」という意味になった。&lt;/span&gt;</v>
      </c>
      <c r="U170" s="14" t="str">
        <f>INDEX($L:$L, MATCH("recession", $B:$B, 0))</f>
        <v>&lt;span class="w"&gt;&lt;b&gt;【1171.recession：不況, 後退】&lt;/b&gt;&lt;/span&gt;
&lt;span class="ml"&gt;ラテン語に由来する語で、以下の3つの要素から成る。
&lt;span class="spacer"&gt;&lt;/span&gt;re（後ろへ）
cedere（行く, 進む）
io（名詞化）
&lt;span class="spacer"&gt;&lt;/span&gt;このまま日本語にすると「後ろへ行くこと」つまり「後退」という意味になる。世界恐慌時にdepression（大不況）よりも程度が軽く、一時的な経済の後退を表す言葉として使われたことから「不況」という意味になった。
&lt;div class="sample_image recession"&gt;&lt;/div&gt;&lt;/span&gt;</v>
      </c>
      <c r="V170" s="14" t="str">
        <f>INDEX($L:$L, MATCH("necessary", $B:$B, 0))</f>
        <v>&lt;span class="w"&gt;&lt;b&gt;【199.necessary：必要な】&lt;/b&gt;&lt;/span&gt;
&lt;span class="ml"&gt;ラテン語に由来する語で、以下の3つの要素から成る。
&lt;span class="spacer"&gt;&lt;/span&gt;ne（=not：否定）
cedere（退く）
arius（形容詞化）
&lt;span class="spacer"&gt;&lt;/span&gt;このまま日本語にすると「退けない」となる。つまり何かを避けられない、それなしでは通れないということから不可欠＝「必要な」という意味になる。&lt;/span&gt;</v>
      </c>
      <c r="W170" s="14" t="str">
        <f>INDEX($L:$L, MATCH("cease", $B:$B, 0))</f>
        <v>&lt;span class="w"&gt;&lt;b&gt;【1135.cease：〜をやめる】&lt;/b&gt;&lt;/span&gt;
&lt;span class="ml"&gt;ラテン語cedere（行く, 退く）から派生した反復形cessare（やめる）に由来する。
&lt;span class="spacer"&gt;&lt;/span&gt;もともとはその場から立ち去る、身を引くという物理的な動作を表した。そこから、今まで行っていた活動や状態から身を引く＝「やめる」という意味になった。&lt;/span&gt;</v>
      </c>
      <c r="X170" s="14" t="str">
        <f>INDEX($L:$L, MATCH("precede", $B:$B, 0))</f>
        <v>&lt;span class="w"&gt;&lt;b&gt;【1302.precede：〜に先行する】&lt;/b&gt;&lt;/span&gt;
&lt;span class="ml"&gt;ラテン語に由来する語で、以下の2つの要素から成る。
&lt;span class="spacer"&gt;&lt;/span&gt;prae（前に）
cedere（行く）
&lt;span class="spacer"&gt;&lt;/span&gt;このまま日本語にすると「前に行く」となり、時間的・空間的に何かに「先行する」という意味になる。&lt;/span&gt;
&lt;div class="animation precede"&gt;&lt;/div&gt;</v>
      </c>
      <c r="Y170" s="14" t="str">
        <f>INDEX($L:$L, MATCH("unprecedented", $B:$B, 0))</f>
        <v>&lt;span class="w"&gt;&lt;b&gt;【1380.unprecedented：前例のない】&lt;/b&gt;&lt;/span&gt;
&lt;span class="ml"&gt;近代英語にさかのぼり、以下の3つの要素から成る。
&lt;span class="spacer"&gt;&lt;/span&gt;un（否定）
precedent（前例を与える）
ed（過去分詞化）
&lt;span class="spacer"&gt;&lt;/span&gt;precedent部分は、ラテン語prae（前に）＋cedere（行く）に由来するprecede（先行する）と関連する。
&lt;span class="spacer"&gt;&lt;/span&gt;否定のunが付くことで、先行するものがない、つまり「前例がない」という意味になる。&lt;/span&gt;</v>
      </c>
      <c r="Z170" s="14" t="str">
        <f>INDEX($L:$L, MATCH("ancestor", $B:$B, 0))</f>
        <v>&lt;span class="w"&gt;&lt;b&gt;【274.ancestor：祖先】&lt;/b&gt;&lt;/span&gt;
&lt;span class="ml"&gt;ラテン語に由来する語で、以下の3つの要素から成る。
&lt;span class="spacer"&gt;&lt;/span&gt;ante（前に）
cedere（行く, 進む）
or（〜する人）
&lt;span class="spacer"&gt;&lt;/span&gt;このまま日本語にすると「前に行く人」となる。自分たちよりも時間的に前を行く人から先代の人＝「祖先」という意味になる。
&lt;div class="sample_image ancestor"&gt;&lt;/div&gt;&lt;/span&gt;</v>
      </c>
      <c r="AA170" s="15"/>
      <c r="AB170" s="15"/>
      <c r="AU170" s="15"/>
      <c r="AV170" s="1" t="s">
        <v>1502</v>
      </c>
      <c r="BG170" s="7" t="s">
        <v>1503</v>
      </c>
      <c r="BH170" s="1" t="s">
        <v>2034</v>
      </c>
      <c r="BI170" s="2" t="s">
        <v>7371</v>
      </c>
      <c r="BJ170" s="1" t="s">
        <v>1504</v>
      </c>
      <c r="BK170" s="2" t="s">
        <v>2508</v>
      </c>
      <c r="BL170" s="1" t="s">
        <v>2044</v>
      </c>
      <c r="BM170" s="2" t="s">
        <v>7372</v>
      </c>
      <c r="BN170" s="1" t="s">
        <v>1865</v>
      </c>
      <c r="BO170" s="2" t="s">
        <v>2509</v>
      </c>
    </row>
    <row r="171" spans="1:69" ht="144" x14ac:dyDescent="0.45">
      <c r="A171" s="5">
        <v>170</v>
      </c>
      <c r="B171" s="8" t="s">
        <v>133</v>
      </c>
      <c r="C171" s="6" t="s">
        <v>6850</v>
      </c>
      <c r="D171" s="7" t="s">
        <v>9752</v>
      </c>
      <c r="E171" s="1" t="s">
        <v>133</v>
      </c>
      <c r="F171" s="1"/>
      <c r="G171" s="1"/>
      <c r="J171" s="1" t="s">
        <v>9753</v>
      </c>
      <c r="K171" s="2" t="s">
        <v>7373</v>
      </c>
      <c r="L171" s="9" t="s">
        <v>8093</v>
      </c>
      <c r="P171" s="7" t="s">
        <v>1241</v>
      </c>
      <c r="T171" s="15"/>
      <c r="W171" s="15"/>
      <c r="AU171" s="15"/>
      <c r="AV171" s="1" t="s">
        <v>1502</v>
      </c>
      <c r="BG171" s="7" t="s">
        <v>1503</v>
      </c>
      <c r="BH171" s="1" t="s">
        <v>2034</v>
      </c>
      <c r="BI171" s="2" t="s">
        <v>2510</v>
      </c>
      <c r="BJ171" s="1" t="s">
        <v>2044</v>
      </c>
      <c r="BK171" s="2" t="s">
        <v>2511</v>
      </c>
      <c r="BL171" s="1" t="s">
        <v>1865</v>
      </c>
      <c r="BM171" s="2" t="s">
        <v>2512</v>
      </c>
    </row>
    <row r="172" spans="1:69" ht="108" x14ac:dyDescent="0.45">
      <c r="A172" s="5">
        <v>171</v>
      </c>
      <c r="B172" s="8" t="s">
        <v>1130</v>
      </c>
      <c r="C172" s="6" t="s">
        <v>6850</v>
      </c>
      <c r="D172" s="7" t="s">
        <v>9752</v>
      </c>
      <c r="E172" s="1" t="s">
        <v>27</v>
      </c>
      <c r="F172" s="1" t="s">
        <v>1362</v>
      </c>
      <c r="G172" s="1"/>
      <c r="J172" s="1" t="s">
        <v>9753</v>
      </c>
      <c r="K172" s="2" t="s">
        <v>7374</v>
      </c>
      <c r="L172" s="9" t="s">
        <v>8094</v>
      </c>
      <c r="P172" s="7" t="s">
        <v>1241</v>
      </c>
      <c r="Q172" s="13" t="str">
        <f>INDEX($L:$L, MATCH("outcome", $B:$B, 0))</f>
        <v>&lt;span class="w"&gt;&lt;b&gt;【452.outcome：結果, 成り行き】&lt;/b&gt;&lt;/span&gt;
&lt;span class="ml"&gt;近代英語にさかのぼり、以下の2つの要素から成る。
&lt;span class="spacer"&gt;&lt;/span&gt;out（外に）
come（来る）
&lt;span class="spacer"&gt;&lt;/span&gt;このまま日本語にすると「外に来る」となる。これは、何かから生じるものを表し、「結果, 成り行き」という意味になる。&lt;/span&gt;</v>
      </c>
      <c r="R172" s="13" t="str">
        <f>INDEX($L:$L, MATCH("overcome", $B:$B, 0))</f>
        <v>&lt;span class="w"&gt;&lt;b&gt;【506.overcome：〜を克服する, 〜に打ち勝つ】&lt;/b&gt;&lt;/span&gt;
&lt;span class="ml"&gt;古英語にさかのぼり、以下の2つの要素から成る。
&lt;span class="spacer"&gt;&lt;/span&gt;ofer（上に, 越えて）
cuman（来る）
&lt;span class="spacer"&gt;&lt;/span&gt;このまま日本語にすると「越えて来る」となる。もともとは「上から来る, 乗り越えて来る」というイメージ。そこから、相手や困難を上から押さえつけるようにして勝つという意味に発展し、「克服する, 打ち勝つ」という意味になった。&lt;/span&gt;</v>
      </c>
      <c r="AU172" s="15"/>
      <c r="AV172" s="1" t="s">
        <v>1502</v>
      </c>
      <c r="BG172" s="7" t="s">
        <v>1503</v>
      </c>
      <c r="BH172" s="1" t="s">
        <v>1872</v>
      </c>
      <c r="BI172" s="2" t="s">
        <v>2513</v>
      </c>
      <c r="BJ172" s="1" t="s">
        <v>2044</v>
      </c>
      <c r="BK172" s="2" t="s">
        <v>2514</v>
      </c>
      <c r="BL172" s="1" t="s">
        <v>1865</v>
      </c>
      <c r="BM172" s="2" t="s">
        <v>2515</v>
      </c>
    </row>
    <row r="173" spans="1:69" ht="162" x14ac:dyDescent="0.45">
      <c r="A173" s="5">
        <v>172</v>
      </c>
      <c r="B173" s="8" t="s">
        <v>1567</v>
      </c>
      <c r="C173" s="6" t="s">
        <v>6850</v>
      </c>
      <c r="D173" s="7" t="s">
        <v>9752</v>
      </c>
      <c r="E173" s="1" t="s">
        <v>8896</v>
      </c>
      <c r="F173" s="1" t="s">
        <v>1568</v>
      </c>
      <c r="G173" s="1"/>
      <c r="J173" s="1" t="s">
        <v>9753</v>
      </c>
      <c r="K173" s="2" t="s">
        <v>1363</v>
      </c>
      <c r="L173" s="3" t="s">
        <v>8095</v>
      </c>
      <c r="P173" s="7" t="s">
        <v>1241</v>
      </c>
      <c r="Q173" s="22" t="str">
        <f>INDEX($L:$L, MATCH("adapt", $B:$B, 0))</f>
        <v>&lt;span class="w"&gt;&lt;b&gt;【227.adapt：適応する, 〜を適合させる】&lt;/b&gt;&lt;/span&gt;
&lt;span class="ml"&gt;ラテン語に由来する語で、以下の2つの要素から成る。
&lt;span class="spacer"&gt;&lt;/span&gt;ad（～へ）
aptus（適切な）から派生した動詞aptare（適合させる）
&lt;span class="spacer"&gt;&lt;/span&gt;このまま日本語にすると「何かへ適切な状態にする＝適合させる」という意味なる。
&lt;span class="spacer"&gt;&lt;/span&gt;このラテン語はbe apt to do（〜する傾向がある, 〜しがちである）のaptの語源でもある。&lt;/span&gt;</v>
      </c>
      <c r="R173" s="15"/>
      <c r="AU173" s="15"/>
      <c r="AV173" s="1" t="s">
        <v>1502</v>
      </c>
      <c r="BG173" s="7" t="s">
        <v>1503</v>
      </c>
      <c r="BH173" s="1" t="s">
        <v>2034</v>
      </c>
      <c r="BI173" s="2" t="s">
        <v>2516</v>
      </c>
      <c r="BJ173" s="1" t="s">
        <v>2147</v>
      </c>
      <c r="BK173" s="2" t="s">
        <v>2517</v>
      </c>
      <c r="BL173" s="1" t="s">
        <v>1994</v>
      </c>
      <c r="BM173" s="1" t="s">
        <v>2518</v>
      </c>
      <c r="BN173" s="1" t="s">
        <v>2519</v>
      </c>
      <c r="BO173" s="2" t="s">
        <v>2520</v>
      </c>
      <c r="BP173" s="1" t="s">
        <v>1865</v>
      </c>
      <c r="BQ173" s="2" t="s">
        <v>2521</v>
      </c>
    </row>
    <row r="174" spans="1:69" ht="90" x14ac:dyDescent="0.45">
      <c r="A174" s="5">
        <v>173</v>
      </c>
      <c r="B174" s="8" t="s">
        <v>1364</v>
      </c>
      <c r="C174" s="6" t="s">
        <v>6850</v>
      </c>
      <c r="D174" s="7" t="s">
        <v>9752</v>
      </c>
      <c r="E174" s="1" t="s">
        <v>134</v>
      </c>
      <c r="F174" s="1"/>
      <c r="G174" s="1"/>
      <c r="J174" s="1" t="s">
        <v>9753</v>
      </c>
      <c r="K174" s="2" t="s">
        <v>7375</v>
      </c>
      <c r="L174" s="4" t="s">
        <v>8096</v>
      </c>
      <c r="P174" s="7" t="s">
        <v>1241</v>
      </c>
      <c r="AU174" s="15"/>
      <c r="AV174" s="1" t="s">
        <v>1502</v>
      </c>
      <c r="BG174" s="7" t="s">
        <v>1503</v>
      </c>
      <c r="BH174" s="1" t="s">
        <v>2034</v>
      </c>
      <c r="BI174" s="2" t="s">
        <v>7376</v>
      </c>
      <c r="BJ174" s="1" t="s">
        <v>1504</v>
      </c>
      <c r="BK174" s="2" t="s">
        <v>2522</v>
      </c>
      <c r="BL174" s="1" t="s">
        <v>2321</v>
      </c>
      <c r="BM174" s="2" t="s">
        <v>2522</v>
      </c>
      <c r="BN174" s="1" t="s">
        <v>2044</v>
      </c>
      <c r="BO174" s="2" t="s">
        <v>2523</v>
      </c>
    </row>
    <row r="175" spans="1:69" ht="409.6" x14ac:dyDescent="0.45">
      <c r="A175" s="5">
        <v>174</v>
      </c>
      <c r="B175" s="8" t="s">
        <v>1365</v>
      </c>
      <c r="C175" s="6" t="s">
        <v>6850</v>
      </c>
      <c r="D175" s="7" t="s">
        <v>9752</v>
      </c>
      <c r="E175" s="1" t="s">
        <v>1621</v>
      </c>
      <c r="F175" s="1" t="s">
        <v>4768</v>
      </c>
      <c r="G175" s="1"/>
      <c r="J175" s="1" t="s">
        <v>9753</v>
      </c>
      <c r="K175" s="2" t="s">
        <v>7377</v>
      </c>
      <c r="L175" s="3" t="s">
        <v>8097</v>
      </c>
      <c r="M175" s="1" t="s">
        <v>12135</v>
      </c>
      <c r="P175" s="7" t="s">
        <v>1241</v>
      </c>
      <c r="Q175" s="14" t="str">
        <f>INDEX($L:$L, MATCH("respect", $B:$B, 0))</f>
        <v>&lt;span class="w"&gt;&lt;b&gt;【133.respect：〜を尊敬する】&lt;/b&gt;&lt;/span&gt;
&lt;span class="ml"&gt;ラテン語に由来する語で、以下の2つの要素から成る。
&lt;span class="spacer"&gt;&lt;/span&gt;re（後ろへ）
specere（見る）
&lt;span class="spacer"&gt;&lt;/span&gt;このまま日本語にすると「後ろを見る」となる。振り返って見る、1度見たものを何度もよく見るというイメージから、対象に注意、配慮、敬意を向ける、つまり「尊敬する」という意味になる。
&lt;span class="spacer"&gt;&lt;/span&gt;名詞respectは、ある事柄に何度も目を向けることから、目を向ける先の「ポイント」や「関係」を意味する。&lt;/span&gt;</v>
      </c>
      <c r="R175" s="14" t="str">
        <f>INDEX($L:$L, MATCH("suspect", $B:$B, 0))</f>
        <v>&lt;span class="w"&gt;&lt;b&gt;【630.suspect：〜を疑う, 〜ではないかと思う】&lt;/b&gt;&lt;/span&gt;
&lt;span class="ml"&gt;ラテン語に由来する語で、以下の2つの要素から成る。
&lt;span class="spacer"&gt;&lt;/span&gt;sub（下から）
specere（見る）
&lt;span class="spacer"&gt;&lt;/span&gt;このまま日本語にすると「下から見る」となる。これは、下からこっそり見上げて疑いの目を向けるイメージ。ここから「疑う」という意味になる。
&lt;div class="sample_image suspect"&gt;&lt;/div&gt;&lt;/span&gt;</v>
      </c>
      <c r="S175" s="14" t="str">
        <f>INDEX($L:$L, MATCH("prospect", $B:$B, 0))</f>
        <v>&lt;span class="w"&gt;&lt;b&gt;【860.prospect：見込み, 未来への展望, 有望な人】&lt;/b&gt;&lt;/span&gt;
&lt;span class="ml"&gt;ラテン語に由来する語で、以下の2つの要素から成る。
&lt;span class="spacer"&gt;&lt;/span&gt;pro（前へ）
specere（見る）
&lt;span class="spacer"&gt;&lt;/span&gt;このまま日本語にすると「前方を見る」となる。物理的に遠くを見ることから、時間的に遠い将来を見ることへと発展して「見込み, 未来への展望」という意味になった。また未来を期待される人＝「将来有望な人」という意味にもなった。&lt;/span&gt;</v>
      </c>
      <c r="T175" s="14" t="str">
        <f>INDEX($L:$L, MATCH("perspective", $B:$B, 0))</f>
        <v>&lt;span class="w"&gt;&lt;b&gt;【365.perspective：観点（≒立場）, 大局観, 遠近法】&lt;/b&gt;&lt;/span&gt;
&lt;span class="ml"&gt;ラテン語に由来する語で、以下の2つの要素から成る。
&lt;span class="spacer"&gt;&lt;/span&gt;per（通して）
specere（見る）
&lt;span class="spacer"&gt;&lt;/span&gt;このまま日本語にすると「見通す」となる。これは「ある視点から対象の奥側まで全体を見通す」というイメージで、次の3つのポイントがある。①見る視点・②全体を見ること・③奥まで見ること。
&lt;span class="spacer"&gt;&lt;/span&gt;「見る視点」からは、物事を見るときの視点＝「観点, 立場」という意味になる。
&lt;span class="spacer"&gt;&lt;/span&gt;「全体を見る」からは、対局を見通す「大局観」という意味になる。
&lt;span class="spacer"&gt;&lt;/span&gt;「奥まで見る」からは、空間を見通して奥行や距離を正しく把握する「遠近法」という意味になる。
&lt;div class="sample_image perspective"&gt;&lt;/div&gt;
&lt;span class="spacer"&gt;&lt;/span&gt;perspectiveは、ある「観点, 立場」から「全体を見ること」。そしてその見方の一例が「遠近法」だと覚えればよい。&lt;/span&gt;</v>
      </c>
      <c r="U175" s="14" t="str">
        <f>INDEX($L:$L, MATCH("spectator", $B:$B, 0))</f>
        <v>&lt;span class="w"&gt;&lt;b&gt;【1465.spectator：観客】&lt;/b&gt;&lt;/span&gt;
&lt;span class="ml"&gt;ラテン語に由来する語で、以下の2つの要素から成る。
&lt;span class="spacer"&gt;&lt;/span&gt;spectare（繰り返し見る, 観察する）
or（〜する人）
&lt;span class="spacer"&gt;&lt;/span&gt;このまま日本語にすると「しっかり見る人, 観察する人」すなわち「観客」という意味になる。
&lt;span class="spacer"&gt;&lt;/span&gt;spectを見たら「見る」系の意味だと覚えておくとよい。&lt;/span&gt;</v>
      </c>
      <c r="V175" s="14" t="str">
        <f>INDEX($L:$L, MATCH("species", $B:$B, 0))</f>
        <v>&lt;span class="w"&gt;&lt;b&gt;【56.species：（生物の）種】&lt;/b&gt;&lt;/span&gt;
&lt;span class="ml"&gt;ラテン語specere（注視する）に由来する。
&lt;span class="spacer"&gt;&lt;/span&gt;何かを注視するということは、全体を見るのではなく、全体の中の特定のものに目を向けるということ。ここから生物全体の中の特定の種類＝「生物の種」という意味になる。
&lt;span class="spacer"&gt;&lt;/span&gt;ラテン語のspeciesが英語になっただけなので、-iesは英語の名詞複数形ではない。&lt;/span&gt;</v>
      </c>
      <c r="W175" s="14" t="str">
        <f>INDEX($L:$L, MATCH("specific", $B:$B, 0))</f>
        <v>&lt;span class="w"&gt;&lt;b&gt;【184.specific：特定の, 明確な, 具体的な, ～に特有の】&lt;/b&gt;&lt;/span&gt;
&lt;span class="ml"&gt;ラテン語に由来する語で、以下の2つの要素から成る。
&lt;span class="spacer"&gt;&lt;/span&gt;species（種類）
facere（作る, する）
&lt;span class="spacer"&gt;&lt;/span&gt;このまま日本語にすると「ある種類を作る」となる。何かの種類を作るとは、他の種類にはない特定の性質を持たせるということ。ここから「特定の, 特有の」という意味になる。
&lt;span class="spacer"&gt;&lt;/span&gt;また特定という意味から曖昧ではなく「明確な, 具体的な」という意味になる。&lt;/span&gt;</v>
      </c>
      <c r="X175" s="14" t="str">
        <f>INDEX($L:$L, MATCH("unexpected", $B:$B, 0))</f>
        <v>&lt;span class="w"&gt;&lt;b&gt;【594.unexpected：思いがけない】&lt;/b&gt;&lt;/span&gt;
&lt;span class="ml"&gt;［expectの語源］
ラテン語に由来する語で、以下の2つの要素から成る。
&lt;span class="spacer"&gt;&lt;/span&gt;ex（外に, 徹底的に）
specere（見る）
&lt;span class="spacer"&gt;&lt;/span&gt;このまま日本語にすると「外を徹底的に見る」となる。これが頭の中で未来の出来事に目を向けることへと発展し、未来に起こることを「期待する」という意味になった。
&lt;span class="spacer"&gt;&lt;/span&gt;［unexpectedの語源］
近代英語にさかのぼり、以下の2つの要素から成る。
&lt;span class="spacer"&gt;&lt;/span&gt;un（否定）
expectの過去分詞expected
&lt;span class="spacer"&gt;&lt;/span&gt;ここから、起きることを期待して見ていなかった、つまり「思いがけない」という意味になる。&lt;/span&gt;</v>
      </c>
      <c r="Y175" s="14" t="str">
        <f>INDEX($L:$L, MATCH("spectrum", $B:$B, 0))</f>
        <v>&lt;span class="w"&gt;&lt;b&gt;【1369.spectrum：スペクトル, （波動・変動の）範囲】&lt;/b&gt;&lt;/span&gt;
&lt;span class="ml"&gt;ラテン語に由来する語で、以下の2つの要素から成る。
&lt;span class="spacer"&gt;&lt;/span&gt;specere（見る, 眺める）
um（名詞化）
&lt;span class="spacer"&gt;&lt;/span&gt;このまま日本語にすると「見えるもの」となり、核は「本来は見えないものが目の前に現れたもの」。
&lt;span class="spacer"&gt;&lt;/span&gt;物理学者のアイザック・ニュートンが、プリズムを通した太陽光が虹色に分かれる現象を発表した際、この暗闇に浮かび上がる光の帯を光が現れた姿と見立ててspectrumと名付けた。そこから目に見える光の色帯＝「スペクトル」という意味になった。
&lt;span class="spacer"&gt;&lt;/span&gt;さらに、光の波長が途切れることなく連続して広がっている様子から、光や音だけではなく事象や意見など、様々な物事が連続的に存在する「範囲」という意味にもなった。
&lt;div class="sample_image spectrum"&gt;&lt;/div&gt;&lt;/span&gt;</v>
      </c>
      <c r="Z175" s="14" t="str">
        <f>INDEX($L:$L, MATCH("despite", $B:$B, 0))</f>
        <v>&lt;span class="w"&gt;&lt;b&gt;【100.despite：～にもかかわらず】&lt;/b&gt;&lt;/span&gt;
&lt;span class="ml"&gt;ラテン語に由来する語で、以下の2つの要素から成る。
&lt;span class="spacer"&gt;&lt;/span&gt;de（下に）
specere（見る）
&lt;span class="spacer"&gt;&lt;/span&gt;このまま日本語にすると「下に見る」となる。これは見下すという対象の存在を軽く見る行為。「対象があってもなくても関係ない」から「～にもかかわらず」という意味になる。
&lt;span class="spacer"&gt;&lt;/span&gt;ターゲットの例文 "They went hiking despite the fact a storm was coming" は「嵐が来ている事実を、それが事実であろうとなかろうと関係なくハイキングに行った」ということを伝えている。この日本語訳を「嵐が来ているという事実&lt;strong&gt;にもかかわらず&lt;/strong&gt;」と表現しているだけ。&lt;/span&gt;</v>
      </c>
      <c r="AU175" s="15"/>
      <c r="AV175" s="1" t="s">
        <v>1502</v>
      </c>
      <c r="BG175" s="7" t="s">
        <v>1503</v>
      </c>
      <c r="BH175" s="1" t="s">
        <v>2034</v>
      </c>
      <c r="BI175" s="2" t="s">
        <v>7378</v>
      </c>
      <c r="BJ175" s="1" t="s">
        <v>2044</v>
      </c>
      <c r="BK175" s="2" t="s">
        <v>2524</v>
      </c>
      <c r="BM175" s="2"/>
    </row>
    <row r="176" spans="1:69" ht="234" x14ac:dyDescent="0.45">
      <c r="A176" s="5">
        <v>175</v>
      </c>
      <c r="B176" s="8" t="s">
        <v>1366</v>
      </c>
      <c r="C176" s="6" t="s">
        <v>6850</v>
      </c>
      <c r="D176" s="7" t="s">
        <v>9752</v>
      </c>
      <c r="E176" s="1" t="s">
        <v>7745</v>
      </c>
      <c r="F176" s="1" t="s">
        <v>1525</v>
      </c>
      <c r="G176" s="1"/>
      <c r="J176" s="1" t="s">
        <v>9753</v>
      </c>
      <c r="K176" s="2" t="s">
        <v>7379</v>
      </c>
      <c r="L176" s="3" t="s">
        <v>8098</v>
      </c>
      <c r="M176" s="1" t="s">
        <v>12162</v>
      </c>
      <c r="P176" s="7" t="s">
        <v>1241</v>
      </c>
      <c r="Q176" s="14" t="str">
        <f>INDEX($L:$L, MATCH("infrastructure", $B:$B, 0))</f>
        <v>&lt;span class="w"&gt;&lt;b&gt;【1046.infrastructure：インフラ, 基本的施設, 基盤】&lt;/b&gt;&lt;/span&gt;
&lt;span class="ml"&gt;フランス語に由来する語で、以下の2つの要素から成る。
&lt;span class="spacer"&gt;&lt;/span&gt;infra（下の）
structure（構造）
&lt;span class="spacer"&gt;&lt;/span&gt;このまま日本語にすると「下にある構造」となる。そこから物事の支えとなる「基盤」や、社会や経済に必要な「基本的施設」という意味になった。これらを「インフラ」と呼ぶ。&lt;/span&gt;</v>
      </c>
      <c r="R176" s="14" t="str">
        <f>INDEX($L:$L, MATCH("construct", $B:$B, 0))</f>
        <v>&lt;span class="w"&gt;&lt;b&gt;【520.construct：〜を建設する, 〜を構成する】&lt;/b&gt;&lt;/span&gt;
&lt;span class="ml"&gt;ラテン語に由来する語で、以下の2つの要素から成る。
&lt;span class="spacer"&gt;&lt;/span&gt;com（共に）
struere（積み上げる）
&lt;span class="spacer"&gt;&lt;/span&gt;このまま日本語にすると「共に積み上げる」となる。パーツを一緒にして積み上げるイメージから「建設する, 構成する」という意味になる。
&lt;div class="sample_image construct"&gt;&lt;/div&gt;&lt;/span&gt;</v>
      </c>
      <c r="S176" s="14" t="str">
        <f>INDEX($L:$L, MATCH("instruction", $B:$B, 0))</f>
        <v>&lt;span class="w"&gt;&lt;b&gt;【442.instruction：指示, 使用書】&lt;/b&gt;&lt;/span&gt;
&lt;span class="ml"&gt;ラテン語に由来する語で、以下の2つの要素から成る。
&lt;span class="spacer"&gt;&lt;/span&gt;in（中に）
struere（積み上げる）
&lt;span class="spacer"&gt;&lt;/span&gt;このまま日本語にすると「中に積み上げる」となる。これは、相手の中に知識や方法を積み上げていくイメージ。そこから、何かをするための知識や手順を与えることを表し、「指示, 使用書」という意味になる。&lt;/span&gt;</v>
      </c>
      <c r="T176" s="14" t="str">
        <f>INDEX($L:$L, MATCH("instrument", $B:$B, 0))</f>
        <v>&lt;span class="w"&gt;&lt;b&gt;【449.instrument：器具, 道具,  楽器】&lt;/b&gt;&lt;/span&gt;
&lt;span class="ml"&gt;ラテン語に由来する語で、以下の3つの要素から成る。
&lt;span class="spacer"&gt;&lt;/span&gt;in（中に）
struere（積み上げる）
mentum（名詞化）
&lt;span class="spacer"&gt;&lt;/span&gt;このまま日本語にすると「中に積み上げるもの」となる。これは、何かを秩序立てて築き上げるための手段というイメージ。そこから、何かを作り上げる・目的を達成するため手段＝「器具, 道具」という意味になり、音楽を作り上げるためのものなら「楽器」という意味になる。
&lt;div class="sample_image instrument"&gt;&lt;/div&gt;&lt;/span&gt;</v>
      </c>
      <c r="U176" s="13" t="str">
        <f>INDEX($L:$L, MATCH("industry", $B:$B, 0))</f>
        <v>&lt;span class="w"&gt;&lt;b&gt;【143.industry：産業, 勤勉】&lt;/b&gt;&lt;/span&gt;
&lt;span class="ml"&gt;ラテン語に由来する語で、以下の2つの要素から成る。
&lt;span class="spacer"&gt;&lt;/span&gt;indu（中に）
struere（積み上げる, 築く）
&lt;span class="spacer"&gt;&lt;/span&gt;このまま日本語にすると「中に積み上げる」となる。コツコツと努力して積み上げていくイメージから「勤勉」という意味になる。そして「勤勉」から勤勉な労働、仕事、仕事の分野と広がっていき、「産業」という意味になる。&lt;/span&gt;</v>
      </c>
      <c r="V176" s="13" t="str">
        <f>INDEX($L:$L, MATCH("destroy", $B:$B, 0))</f>
        <v>&lt;span class="w"&gt;&lt;b&gt;【326.destroy：～を破壊する】&lt;/b&gt;&lt;/span&gt;
&lt;span class="ml"&gt;ラテン語に由来する語で、以下の2つの要素から成る。
&lt;span class="spacer"&gt;&lt;/span&gt;de（下へ, 反対）
struere（積み上げる, 築く）
&lt;span class="spacer"&gt;&lt;/span&gt;これは積み上げるの反対なので、積み上げられたものを「破壊する」という意味になる。&lt;/span&gt;</v>
      </c>
      <c r="AU176" s="15"/>
      <c r="AV176" s="1" t="s">
        <v>1502</v>
      </c>
      <c r="BG176" s="7" t="s">
        <v>1503</v>
      </c>
      <c r="BH176" s="1" t="s">
        <v>2034</v>
      </c>
      <c r="BI176" s="2" t="s">
        <v>7380</v>
      </c>
      <c r="BJ176" s="1" t="s">
        <v>2044</v>
      </c>
      <c r="BK176" s="2" t="s">
        <v>2525</v>
      </c>
      <c r="BL176" s="1" t="s">
        <v>1865</v>
      </c>
      <c r="BM176" s="2" t="s">
        <v>2526</v>
      </c>
    </row>
    <row r="177" spans="1:69" ht="234" x14ac:dyDescent="0.45">
      <c r="A177" s="5">
        <v>176</v>
      </c>
      <c r="B177" s="8" t="s">
        <v>135</v>
      </c>
      <c r="C177" s="6" t="s">
        <v>6850</v>
      </c>
      <c r="D177" s="7" t="s">
        <v>9752</v>
      </c>
      <c r="E177" s="1" t="s">
        <v>135</v>
      </c>
      <c r="F177" s="1"/>
      <c r="G177" s="1"/>
      <c r="J177" s="1" t="s">
        <v>9753</v>
      </c>
      <c r="K177" s="2" t="s">
        <v>7381</v>
      </c>
      <c r="L177" s="9" t="s">
        <v>8099</v>
      </c>
      <c r="M177" s="1" t="s">
        <v>12170</v>
      </c>
      <c r="P177" s="7" t="s">
        <v>1241</v>
      </c>
      <c r="Q177" s="14" t="str">
        <f>INDEX($L:$L, MATCH("inhabit", $B:$B, 0))</f>
        <v>&lt;span class="w"&gt;&lt;b&gt;【1418.inhabit：〜に住んでいる, 生息している】&lt;/b&gt;&lt;/span&gt;
&lt;span class="ml"&gt;ラテン語に由来する語で、以下の2つの要素から成る。
&lt;span class="spacer"&gt;&lt;/span&gt;in（中に）
habere（持つ）の反復形habitare（持ち続ける, 住む）
&lt;span class="spacer"&gt;&lt;/span&gt;この語の核は「ある空間を自分のものとして持ち続ける」。一時的に滞在するのではなく、一定の期間その場所を自分の居場所として持ち続けるということから、人が「〜に住む」や動物が「生息する」という意味になる。
&lt;span class="spacer"&gt;&lt;/span&gt;単に生きている、生活していることを表すlive inよりも、場所との結びつきが強い。
&lt;div class="sample_image inhabit"&gt;&lt;/div&gt;&lt;/span&gt;</v>
      </c>
      <c r="R177" s="14" t="str">
        <f>INDEX($L:$L, MATCH("habitat", $B:$B, 0))</f>
        <v>&lt;span class="w"&gt;&lt;b&gt;【664.habitat：生息地, 居住地】&lt;/b&gt;&lt;/span&gt;
&lt;span class="ml"&gt;ラテン語habēre（持つ, 所有する）から派生した反復形habitāre（持ち続ける, 占有する, 住む）に由来する。
&lt;span class="spacer"&gt;&lt;/span&gt;何かをずっと持ち続けることから、ある場所を占有する、つまり住むという意味になった。
&lt;span class="spacer"&gt;&lt;/span&gt;さらに近代英語期には、動植物が生活する場所を指す専門用語として用いられるようになり、そこから「生息地」という意味が成立した。その後、この語は人間の「居住地」を表す場合にも用いられるようになった。&lt;/span&gt;</v>
      </c>
      <c r="S177" s="13" t="str">
        <f>INDEX($L:$L, MATCH("exhibit", $B:$B, 0))</f>
        <v>&lt;span class="w"&gt;&lt;b&gt;【806.exhibit：〜を示す, 〜を見せる, 〜を展示する】&lt;/b&gt;&lt;/span&gt;
&lt;span class="ml"&gt;ラテン語に由来する語で、以下の2つの要素から成る。
&lt;span class="spacer"&gt;&lt;/span&gt;ex（外に）
habere（持つ）
&lt;span class="spacer"&gt;&lt;/span&gt;このまま日本語にすると「何かを持って外へ」となる。何かを持ち出して見えるようにすることから、何かを「示す, 見せる, 展示する」という意味になる。&lt;/span&gt;</v>
      </c>
      <c r="T177" s="13" t="str">
        <f>INDEX($L:$L, MATCH("prohibit", $B:$B, 0))</f>
        <v>&lt;span class="w"&gt;&lt;b&gt;【832.prohibit：〜を禁止する】&lt;/b&gt;&lt;/span&gt;
&lt;span class="ml"&gt;ラテン語に由来する語で、以下の2つの要素から成る。
&lt;span class="spacer"&gt;&lt;/span&gt;pro（前方に）
habere（持つ）
&lt;span class="spacer"&gt;&lt;/span&gt;この語の核は「前方に出て対象を持つ」。前方で対象をつかんで近づけないように引きとめることから、何かを遠ざけて防ぐイメージになる。そこから何かを「禁止する」という意味になる。
&lt;div class="sample_image prohibit"&gt;&lt;/div&gt;&lt;/span&gt;</v>
      </c>
      <c r="AU177" s="15"/>
      <c r="AV177" s="1" t="s">
        <v>1502</v>
      </c>
      <c r="BG177" s="7" t="s">
        <v>1503</v>
      </c>
      <c r="BH177" s="1" t="s">
        <v>2034</v>
      </c>
      <c r="BI177" s="2" t="s">
        <v>7382</v>
      </c>
      <c r="BJ177" s="1" t="s">
        <v>1504</v>
      </c>
      <c r="BK177" s="2" t="s">
        <v>2527</v>
      </c>
      <c r="BL177" s="1" t="s">
        <v>2044</v>
      </c>
      <c r="BM177" s="2" t="s">
        <v>2528</v>
      </c>
    </row>
    <row r="178" spans="1:69" ht="72" x14ac:dyDescent="0.45">
      <c r="A178" s="5">
        <v>177</v>
      </c>
      <c r="B178" s="8" t="s">
        <v>1367</v>
      </c>
      <c r="C178" s="6" t="s">
        <v>6850</v>
      </c>
      <c r="D178" s="7" t="s">
        <v>9752</v>
      </c>
      <c r="E178" s="1" t="s">
        <v>136</v>
      </c>
      <c r="F178" s="1"/>
      <c r="G178" s="1"/>
      <c r="J178" s="1" t="s">
        <v>9753</v>
      </c>
      <c r="K178" s="2" t="s">
        <v>7383</v>
      </c>
      <c r="L178" s="9" t="s">
        <v>8100</v>
      </c>
      <c r="P178" s="7" t="s">
        <v>1241</v>
      </c>
      <c r="AU178" s="15"/>
      <c r="AV178" s="1" t="s">
        <v>1502</v>
      </c>
      <c r="BG178" s="7" t="s">
        <v>1503</v>
      </c>
      <c r="BH178" s="1" t="s">
        <v>2529</v>
      </c>
      <c r="BI178" s="2" t="s">
        <v>2530</v>
      </c>
      <c r="BJ178" s="1" t="s">
        <v>2044</v>
      </c>
      <c r="BK178" s="2" t="s">
        <v>2531</v>
      </c>
      <c r="BL178" s="1" t="s">
        <v>1865</v>
      </c>
      <c r="BM178" s="2" t="s">
        <v>2532</v>
      </c>
    </row>
    <row r="179" spans="1:69" ht="126" x14ac:dyDescent="0.45">
      <c r="A179" s="5">
        <v>178</v>
      </c>
      <c r="B179" s="8" t="s">
        <v>1368</v>
      </c>
      <c r="C179" s="6" t="s">
        <v>6850</v>
      </c>
      <c r="D179" s="7" t="s">
        <v>9752</v>
      </c>
      <c r="E179" s="1" t="s">
        <v>27</v>
      </c>
      <c r="F179" s="1" t="s">
        <v>8897</v>
      </c>
      <c r="G179" s="1"/>
      <c r="J179" s="1" t="s">
        <v>9753</v>
      </c>
      <c r="K179" s="2" t="s">
        <v>7384</v>
      </c>
      <c r="L179" s="4" t="s">
        <v>8101</v>
      </c>
      <c r="M179" s="1" t="s">
        <v>12171</v>
      </c>
      <c r="P179" s="7" t="s">
        <v>1241</v>
      </c>
      <c r="Q179" s="13"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R179" s="13"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S179" s="13"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T179" s="13" t="str">
        <f>INDEX($L:$L, MATCH("establish", $B:$B, 0))</f>
        <v>&lt;span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v>
      </c>
      <c r="U179" s="13" t="str">
        <f>INDEX($L:$L, MATCH("static", $B:$B, 0))</f>
        <v>&lt;span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v>
      </c>
      <c r="V179" s="13"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W179" s="13"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X179" s="13"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Y179" s="13"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Z179" s="13"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AA179" s="13" t="str">
        <f>INDEX($L:$L, MATCH("steady", $B:$B, 0))</f>
        <v>&lt;span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v>
      </c>
      <c r="AB179"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C179" s="13" t="str">
        <f>INDEX($L:$L, MATCH("restore", $B:$B, 0))</f>
        <v>&lt;span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v>
      </c>
      <c r="AD179" s="13"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AE179" s="13"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U179" s="15"/>
      <c r="AV179" s="1" t="s">
        <v>1502</v>
      </c>
      <c r="BG179" s="7" t="s">
        <v>1503</v>
      </c>
      <c r="BH179" s="1" t="s">
        <v>2034</v>
      </c>
      <c r="BI179" s="2" t="s">
        <v>2533</v>
      </c>
      <c r="BJ179" s="1" t="s">
        <v>1980</v>
      </c>
      <c r="BK179" s="2" t="s">
        <v>7385</v>
      </c>
      <c r="BL179" s="1" t="s">
        <v>1504</v>
      </c>
      <c r="BM179" s="2" t="s">
        <v>2534</v>
      </c>
      <c r="BN179" s="1" t="s">
        <v>2044</v>
      </c>
      <c r="BO179" s="2" t="s">
        <v>2535</v>
      </c>
      <c r="BP179" s="1" t="s">
        <v>1865</v>
      </c>
      <c r="BQ179" s="2" t="s">
        <v>2536</v>
      </c>
    </row>
    <row r="180" spans="1:69" ht="409.6" x14ac:dyDescent="0.45">
      <c r="A180" s="5">
        <v>179</v>
      </c>
      <c r="B180" s="8" t="s">
        <v>1369</v>
      </c>
      <c r="C180" s="6" t="s">
        <v>6851</v>
      </c>
      <c r="D180" s="7" t="s">
        <v>9752</v>
      </c>
      <c r="E180" s="1" t="s">
        <v>6472</v>
      </c>
      <c r="F180" s="1" t="s">
        <v>1528</v>
      </c>
      <c r="G180" s="1"/>
      <c r="J180" s="1" t="s">
        <v>9753</v>
      </c>
      <c r="K180" s="2" t="s">
        <v>7386</v>
      </c>
      <c r="L180" s="4" t="s">
        <v>8102</v>
      </c>
      <c r="M180" s="1" t="s">
        <v>12172</v>
      </c>
      <c r="P180" s="7" t="s">
        <v>1241</v>
      </c>
      <c r="Q180" s="14" t="str">
        <f>INDEX($L:$L, MATCH("pose", $B:$B, 0))</f>
        <v>&lt;span class="w"&gt;&lt;b&gt;【804.pose：（危険）を引き起こす, （問題など）を提起する, ポーズをとる, 装う】&lt;/b&gt;&lt;/span&gt;
&lt;span class="ml"&gt;ラテン語に由来する語で、以下の2つの要素から成る。
&lt;span class="spacer"&gt;&lt;/span&gt;pausere（止まる, 休む, 休ませる）
ponere（置く）
&lt;span class="spacer"&gt;&lt;/span&gt;この語の核は「何かを置く」。問題や危険を置くことから「問題を提起する, 危険を引き起こす」という意味になる。またある態度や性格に身を置くことから、態度や性格を「装う」、またモデルなどが「ポーズをとる」という意味になる。
&lt;span class="spacer"&gt;&lt;/span&gt;poseの目的語にくるものを「置く」ことから文に合った訳を考えればよい。
&lt;div class="sample_image pose"&gt;&lt;/div&gt;&lt;/span&gt;</v>
      </c>
      <c r="R180" s="14" t="str">
        <f>INDEX($L:$L, MATCH("expose", $B:$B, 0))</f>
        <v>&lt;span class="w"&gt;&lt;b&gt;【433.expose：～をさらす, 〜を暴露する】&lt;/b&gt;&lt;/span&gt;
&lt;span class="ml"&gt;ラテン語に由来する語で、以下の2つの要素から成る。
&lt;span class="spacer"&gt;&lt;/span&gt;ex（外に）
ponere（置く）
&lt;span class="spacer"&gt;&lt;/span&gt;このまま日本語にすると「外に置く」となる。これは、内側にあるものを外側に置くイメージ。そこから何かを「さらす, 暴露する」という意味になる。
&lt;div class="sample_image expose"&gt;&lt;/div&gt;&lt;/span&gt;</v>
      </c>
      <c r="S180" s="14" t="str">
        <f>INDEX($L:$L, MATCH("impose", $B:$B, 0))</f>
        <v>&lt;span class="w"&gt;&lt;b&gt;【826.impose：〜を課す, 〜を押し付ける】&lt;/b&gt;&lt;/span&gt;
&lt;span class="ml"&gt;古フランス語に由来する語で、以下の2つの要素から成る。
&lt;span class="spacer"&gt;&lt;/span&gt;in（中に）
poser（置く）
&lt;span class="spacer"&gt;&lt;/span&gt;このまま日本語にすると「中に置く」となる。相手の領域の中に押し込んで置くイメージから、対象に何かを「押し付ける, 課す」という意味になる。
&lt;div class="sample_image impose"&gt;&lt;/div&gt;&lt;/span&gt;</v>
      </c>
      <c r="T180" s="14" t="str">
        <f>INDEX($L:$L, MATCH("propose", $B:$B, 0))</f>
        <v>&lt;span class="w"&gt;&lt;b&gt;【436.propose：〜を提案する】&lt;/b&gt;&lt;/span&gt;
&lt;span class="ml"&gt;ラテン語に由来する語で、以下の2つの要素から成る。
&lt;span class="spacer"&gt;&lt;/span&gt;pro（前へ）
ponere（置く）
&lt;span class="spacer"&gt;&lt;/span&gt;このまま日本語にすると「前に置く」となる。意見や考えを相手の前に置くイメージから「提案する」という意味になる。&lt;/span&gt;</v>
      </c>
      <c r="U180" s="14" t="str">
        <f>INDEX($L:$L, MATCH("oppose", $B:$B, 0))</f>
        <v>&lt;span class="w"&gt;&lt;b&gt;【513.oppose：〜に反対する, 〜を対抗させる】&lt;/b&gt;&lt;/span&gt;
&lt;span class="ml"&gt;ラテン語に由来する語で、以下の2つの要素から成る。
&lt;span class="spacer"&gt;&lt;/span&gt;ob（〜に対して）
ponere（置く）
&lt;span class="spacer"&gt;&lt;/span&gt;このまま日本語にすると「～に対して置く」となる。相手に対して自分を置く、つまり相手と自分が向かい合うように置くイメージから「反対する, 対抗させる」という意味になる。
&lt;div class="sample_image oppose"&gt;&lt;/div&gt;&lt;/span&gt;</v>
      </c>
      <c r="V180" s="14" t="str">
        <f>INDEX($L:$L, MATCH("dispose", $B:$B, 0))</f>
        <v>&lt;span class="w"&gt;&lt;b&gt;【1435.dispose：（of ~）〜を処分する, （dispose ~ to do）〜する気にさせる】&lt;/b&gt;&lt;/span&gt;
&lt;span class="ml"&gt;ラテン語に由来する語で、以下の2つの要素から成る。
&lt;span class="spacer"&gt;&lt;/span&gt;dis（離れて）
ponere（置く）
&lt;span class="spacer"&gt;&lt;/span&gt;このまま日本語にすると「離して置く」となるが、この語の核は「ごちゃごちゃしたものをそれぞれ離して整理し、あるべき位置へ置く」イメージ。
&lt;span class="spacer"&gt;&lt;/span&gt;不要なもの・問題などを整理して、それがあるべき場所へ置くことから「処分する」という意味になる。
&lt;span class="spacer"&gt;&lt;/span&gt;また相手の気持ちを整理して進むべき方向へ置くことから「何かをする気にさせる」となる。
&lt;span class="spacer"&gt;&lt;/span&gt;dispose 人 to do
人 be disposed to do
&lt;div class="sample_image dispose"&gt;&lt;/div&gt;&lt;/span&gt;</v>
      </c>
      <c r="W180" s="14" t="str">
        <f>INDEX($L:$L, MATCH("compose", $B:$B, 0))</f>
        <v>&lt;span class="w"&gt;&lt;b&gt;【833.compose：～を構成する, ～を創作する】&lt;/b&gt;&lt;/span&gt;
&lt;span class="ml"&gt;ラテン語に由来する語で、以下の2つの要素から成る。
&lt;span class="spacer"&gt;&lt;/span&gt;com（共に）
ponere（置く）
&lt;span class="spacer"&gt;&lt;/span&gt;このまま日本語にすると「共に置く」となる。2つ以上のものを一緒に置いて全体を形作ることから、構成要素となって全体を作り上げる＝「構成する, 創作する」という意味になる。
&lt;div class="sample_image compose"&gt;&lt;/div&gt;&lt;/span&gt;</v>
      </c>
      <c r="X180" s="14" t="str">
        <f>INDEX($L:$L, MATCH("suppose", $B:$B, 0))</f>
        <v>&lt;span class="w"&gt;&lt;b&gt;【121.suppose：～と仮定する, と思う】&lt;/b&gt;&lt;/span&gt;
&lt;span class="ml"&gt;ラテン語に由来する語で、以下の2つの要素から成る。
&lt;span class="spacer"&gt;&lt;/span&gt;sub（下に）
ponere（置く）
&lt;span class="spacer"&gt;&lt;/span&gt;このまま日本語にすると「下に置く」となる。思考において、何かを既にあるものとして土台に置くイメージから、何かを前提として置く＝「仮定する」という意味になる。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&lt;div class="sample_image suppose"&gt;&lt;/div&gt;
&lt;span class="spacer"&gt;&lt;/span&gt;supposeを「前提に置く」というイメージで覚えておけば、be supposed to do A（Aすることになっている）は、要は「Aするということが前提として置かれている」だけだと理解できる。&lt;/span&gt;</v>
      </c>
      <c r="Y180" s="14" t="str">
        <f>INDEX($L:$L, MATCH("deposit", $B:$B, 0))</f>
        <v>&lt;span class="w"&gt;&lt;b&gt;【1315.deposit：〜を置く, 〜を預ける】&lt;/b&gt;&lt;/span&gt;
&lt;span class="ml"&gt;ラテン語に由来する語で、以下の2つの要素から成る。
&lt;span class="spacer"&gt;&lt;/span&gt;de（離れて, 下に）
ponere（置く）
&lt;span class="spacer"&gt;&lt;/span&gt;このまま日本語にすると「離れて置く, 下に置く」となる。物理的に何かを「置く」という意味もあるが、金銭や貴重品を離れた場所に「預ける」という意味にもなる。
&lt;span class="spacer"&gt;&lt;/span&gt;depositのposit部分は、positionと同じなので、そこから「置く」というイメージ持っておくとよい。
&lt;div class="sample_image deposit"&gt;&lt;/div&gt;&lt;/span&gt;</v>
      </c>
      <c r="Z180" s="14" t="str">
        <f>INDEX($L:$L, MATCH("compound", $B:$B, 0))</f>
        <v>&lt;span class="w"&gt;&lt;b&gt;【1129.compound：〜を悪化させる, 〜を合成する, 〜を混合する】&lt;/b&gt;&lt;/span&gt;
&lt;span class="ml"&gt;ラテン語に由来する語で、以下の2つの要素から成る。
&lt;span class="spacer"&gt;&lt;/span&gt;com（共に）
ponere（置く）
&lt;span class="spacer"&gt;&lt;/span&gt;このまま日本語にすると「共に置く」となる。複数のものを一緒にすることから、何かを「合成する, 混合する, 調合する」といった意味になる。さらに、問題や困難などがどんどん一緒に置かれて積もっていくことから、状況や問題などを「悪化させる」という意味にもなる。
&lt;div class="sample_image compound"&gt;&lt;/div&gt;&lt;/span&gt;</v>
      </c>
      <c r="AA180" s="14" t="str">
        <f>INDEX($L:$L, MATCH("postpone", $B:$B, 0))</f>
        <v>&lt;span class="w"&gt;&lt;b&gt;【1134.postpone：〜を延期する】&lt;/b&gt;&lt;/span&gt;
&lt;span class="ml"&gt;ラテン語に由来する語で、以下の2つの要素から成る。
&lt;span class="spacer"&gt;&lt;/span&gt;post（後に）
ponere（置く）
&lt;span class="spacer"&gt;&lt;/span&gt;このまま日本語にすると「後に置く」となる。予定や物事を時間的に後に置くことから「延期する」という意味になる。&lt;/span&gt;
&lt;div class="animation postpone"&gt;&lt;/div&gt;</v>
      </c>
      <c r="AB180" s="14" t="str">
        <f>INDEX($L:$L, MATCH("component", $B:$B, 0))</f>
        <v>&lt;span class="w"&gt;&lt;b&gt;【677.component：構成要素, 部品】&lt;/b&gt;&lt;/span&gt;
&lt;span class="ml"&gt;ラテン語に由来する語で、以下の2つの要素から成る。
&lt;span class="spacer"&gt;&lt;/span&gt;com（共に）
ponere（置く）
&lt;span class="spacer"&gt;&lt;/span&gt;このまま日本語にすると「共に置く」となる。いくつかの部分を一緒に置くことで全体が構成されることから、全体の「構成要素, 部品」という意味になる。
&lt;div class="sample_image component"&gt;&lt;/div&gt;&lt;/span&gt;</v>
      </c>
      <c r="AC180" s="14" t="str">
        <f>INDEX($L:$L, MATCH("opponent", $B:$B, 0))</f>
        <v>&lt;span class="w"&gt;&lt;b&gt;【762.opponent：（試合や論争などの）相手, 反対者】&lt;/b&gt;&lt;/span&gt;
&lt;span class="ml"&gt;ラテン語に由来する語で、以下の3つの要素から成る。
&lt;span class="spacer"&gt;&lt;/span&gt;ob（前に, 対して）
ponere（置く）
ens（現在分詞を作る：〜しているもの）
&lt;span class="spacer"&gt;&lt;/span&gt;この語の核は「何かに対立する位置に置いてあるもの」。ここから「対戦相手, 反対者」という意味になる。
&lt;div class="sample_image opponent"&gt;&lt;/div&gt;&lt;/span&gt;</v>
      </c>
      <c r="AD180" s="14" t="str">
        <f>INDEX($L:$L, MATCH("posture", $B:$B, 0))</f>
        <v>&lt;span class="w"&gt;&lt;b&gt;【1451.posture：姿勢, 心構え】&lt;/b&gt;&lt;/span&gt;
&lt;span class="ml"&gt;ラテン語に由来する語で、以下の2つの要素から成る。
&lt;span class="spacer"&gt;&lt;/span&gt;ponere（置く）の過去分詞positus
ura（名詞化）
&lt;span class="spacer"&gt;&lt;/span&gt;このまま日本語にすると「置かれた状態」となる。これは何かの位置や配置を表したが、特に身体の各パーツの位置を指すようになり、そこから身体のポジション＝「姿勢」という意味になった。
&lt;span class="spacer"&gt;&lt;/span&gt;さらにそこから比喩的に、状況に対する心理的な姿勢＝「心構え」という意味にもなった。&lt;/span&gt;</v>
      </c>
      <c r="AE180" s="14" t="str">
        <f>INDEX($L:$L, MATCH("puzzle", $B:$B, 0))</f>
        <v>&lt;span class="w"&gt;&lt;b&gt;【624.puzzle：〜を当惑させる, 〜を困惑させる】&lt;/b&gt;&lt;/span&gt;
&lt;span class="ml"&gt;近代英語pose（難しい問題や質問で当惑させる）にさかのぼる。
&lt;span class="spacer"&gt;&lt;/span&gt;この語はパズルのように「頭に引っかかって前に進めない状態にする」というイメージ。ここから「当惑させる, 困惑させる」という意味になる。
&lt;span class="spacer"&gt;&lt;/span&gt;もともとはposeという形だったが、反復・継続を表すpuzzleという形になった。これにより困惑や当惑が反復・継続している状態、つまり頭の中がぐるぐる回るような状態を表した。&lt;/span&gt;</v>
      </c>
      <c r="AF180" s="15"/>
      <c r="AG180" s="15"/>
      <c r="AU180" s="15"/>
      <c r="AV180" s="1" t="s">
        <v>1502</v>
      </c>
      <c r="BG180" s="7" t="s">
        <v>1503</v>
      </c>
      <c r="BH180" s="1" t="s">
        <v>2034</v>
      </c>
      <c r="BI180" s="2" t="s">
        <v>7387</v>
      </c>
      <c r="BJ180" s="1" t="s">
        <v>1504</v>
      </c>
      <c r="BK180" s="2" t="s">
        <v>2537</v>
      </c>
      <c r="BL180" s="1" t="s">
        <v>2044</v>
      </c>
      <c r="BM180" s="2" t="s">
        <v>2538</v>
      </c>
      <c r="BN180" s="1" t="s">
        <v>1865</v>
      </c>
      <c r="BO180" s="2" t="s">
        <v>2539</v>
      </c>
    </row>
    <row r="181" spans="1:69" ht="126" x14ac:dyDescent="0.45">
      <c r="A181" s="5">
        <v>180</v>
      </c>
      <c r="B181" s="8" t="s">
        <v>137</v>
      </c>
      <c r="C181" s="6" t="s">
        <v>6851</v>
      </c>
      <c r="D181" s="7" t="s">
        <v>9752</v>
      </c>
      <c r="E181" s="1" t="s">
        <v>8898</v>
      </c>
      <c r="F181" s="1" t="s">
        <v>1528</v>
      </c>
      <c r="G181" s="1"/>
      <c r="J181" s="1" t="s">
        <v>9753</v>
      </c>
      <c r="K181" s="2" t="s">
        <v>7388</v>
      </c>
      <c r="L181" s="9" t="s">
        <v>8103</v>
      </c>
      <c r="P181" s="7" t="s">
        <v>1241</v>
      </c>
      <c r="Q181" s="13" t="str">
        <f>INDEX($L:$L, MATCH("deny", $B:$B, 0))</f>
        <v>&lt;span class="w"&gt;&lt;b&gt;【430.deny：〜を否定する, 〜を拒む】&lt;/b&gt;&lt;/span&gt;
&lt;span class="ml"&gt;ラテン語に由来する語で、以下の2つの要素から成る。
&lt;span class="spacer"&gt;&lt;/span&gt;de（離れて）
negāre（否定する）
&lt;span class="spacer"&gt;&lt;/span&gt;ラテン語から意味の変化はほとんどなく「否定する, 拒む」という意味になる。&lt;/span&gt;</v>
      </c>
      <c r="AU181" s="15"/>
      <c r="AV181" s="1" t="s">
        <v>1502</v>
      </c>
      <c r="BG181" s="7" t="s">
        <v>1503</v>
      </c>
      <c r="BH181" s="1" t="s">
        <v>2034</v>
      </c>
      <c r="BI181" s="2" t="s">
        <v>7389</v>
      </c>
      <c r="BJ181" s="1" t="s">
        <v>1504</v>
      </c>
      <c r="BK181" s="2" t="s">
        <v>2540</v>
      </c>
      <c r="BL181" s="1" t="s">
        <v>2321</v>
      </c>
      <c r="BM181" s="1" t="s">
        <v>2541</v>
      </c>
      <c r="BN181" s="1" t="s">
        <v>2044</v>
      </c>
      <c r="BO181" s="2" t="s">
        <v>2542</v>
      </c>
      <c r="BP181" s="1" t="s">
        <v>1865</v>
      </c>
      <c r="BQ181" s="2" t="s">
        <v>2543</v>
      </c>
    </row>
    <row r="182" spans="1:69" ht="324" x14ac:dyDescent="0.45">
      <c r="A182" s="5">
        <v>181</v>
      </c>
      <c r="B182" s="8" t="s">
        <v>1370</v>
      </c>
      <c r="C182" s="6" t="s">
        <v>6851</v>
      </c>
      <c r="D182" s="7" t="s">
        <v>9752</v>
      </c>
      <c r="E182" s="1" t="s">
        <v>1467</v>
      </c>
      <c r="F182" s="1" t="s">
        <v>8899</v>
      </c>
      <c r="G182" s="1"/>
      <c r="J182" s="1" t="s">
        <v>9753</v>
      </c>
      <c r="K182" s="2" t="s">
        <v>7390</v>
      </c>
      <c r="L182" s="3" t="s">
        <v>8104</v>
      </c>
      <c r="M182" s="1" t="s">
        <v>12155</v>
      </c>
      <c r="P182" s="7" t="s">
        <v>1241</v>
      </c>
      <c r="Q182" s="14" t="str">
        <f>INDEX($L:$L, MATCH("apply", $B:$B, 0))</f>
        <v>&lt;span class="w"&gt;&lt;b&gt;【127.apply：～を適用する, 申し込む】&lt;/b&gt;&lt;/span&gt;
&lt;span class="ml"&gt;ラテン語に由来する語で、以下の2つの要素から成る。
&lt;span class="spacer"&gt;&lt;/span&gt;ad（～へ）
plicare（折る）
&lt;span class="spacer"&gt;&lt;/span&gt;このまま日本語にすると「〜へ折り重ねる」となる。apply A to Bは、AをBにぴったり折り重ねるイメージから「AをBに適用する」となる。
&lt;span class="spacer"&gt;&lt;/span&gt;同様に、
S apply for 求めるもの
S apply to 求める相手
これでSを求めるものや求める相手に折り重ねるイメージから「Sは〜に申し込む」という意味になる。
&lt;div class="sample_image apply"&gt;&lt;/div&gt;&lt;/span&gt;</v>
      </c>
      <c r="R182" s="14" t="str">
        <f>INDEX($L:$L, MATCH("imply", $B:$B, 0))</f>
        <v>&lt;span class="w"&gt;&lt;b&gt;【423.imply：〜を暗に意味する】&lt;/b&gt;&lt;/span&gt;
&lt;span class="ml"&gt;ラテン語に由来する語で、以下の2つの要素から成る。
&lt;span class="spacer"&gt;&lt;/span&gt;in（中に）
plicare（折る, 畳む）
&lt;span class="spacer"&gt;&lt;/span&gt;このまま日本語にすると「中に折る」となる。これは、何かを中に入れた状態で折りたたんで包み込むイメージ。そこから、言葉の中に直接は言わない意味を包み込むことを表し、「暗に意味する」という意味になる。
&lt;div class="sample_image imply"&gt;&lt;/div&gt;&lt;/span&gt;</v>
      </c>
      <c r="S182" s="14" t="str">
        <f>INDEX($L:$L, MATCH("employ", $B:$B, 0))</f>
        <v>&lt;span class="w"&gt;&lt;b&gt;【517.employ：〜を雇う】&lt;/b&gt;&lt;/span&gt;
&lt;span class="ml"&gt;ラテン語に由来する語で、以下の2つの要素から成る。
&lt;span class="spacer"&gt;&lt;/span&gt;in（中に）
plicare（折る）
&lt;span class="spacer"&gt;&lt;/span&gt;このまま日本語にすると「中に折る」となる。これは、中に入れた状態で折りたたむイメージ。そこから、何らかの目的に巻き込む、事業に巻き込むことへと発展し、「雇う」という意味になった。
&lt;div class="sample_image employ"&gt;&lt;/div&gt;
&lt;span class="spacer"&gt;&lt;/span&gt;employは、implyと同じ語源にさかのぼる。
imply（暗に意味する）は中に折り込むという元のイメージをより保っている。
&lt;span class="spacer"&gt;&lt;/span&gt;employは元のイメージから発展して事業に巻き込む＝「雇う」になった。&lt;/span&gt;</v>
      </c>
      <c r="T182" s="14" t="str">
        <f>INDEX($L:$L, MATCH("exploit", $B:$B, 0))</f>
        <v>&lt;span class="w"&gt;&lt;b&gt;【1237.exploit：〜を活用する, 〜を搾取する, 〜を開発する】&lt;/b&gt;&lt;/span&gt;
&lt;span class="ml"&gt;ラテン語に由来する語で、以下の2つの要素から成る。
&lt;span class="spacer"&gt;&lt;/span&gt;ex（外に）
plicare（折る）
&lt;span class="spacer"&gt;&lt;/span&gt;もともとは、折りたたまれているものを外へ開くことを表した。そこから、まだ手がつけられていない土地や、眠っている天然資源（鉱山など）を広げて展開し、目に見える形にして役立てる＝「開発する, 活用する」という意味になった。
&lt;span class="spacer"&gt;&lt;/span&gt;さらに、利益のために土地を開発して資源を活用するという言葉が、人間に対して使われるようになり、利益のために人々を使う＝「搾取する」というネガティブな意味にもなった。
&lt;div class="sample_image exploit"&gt;&lt;/div&gt;&lt;/span&gt;</v>
      </c>
      <c r="U182" s="14" t="str">
        <f>INDEX($L:$L, MATCH("display", $B:$B, 0))</f>
        <v>&lt;span class="w"&gt;&lt;b&gt;【230.display：～を示す, ～を展示する】&lt;/b&gt;&lt;/span&gt;
&lt;span class="ml"&gt;ラテン語に由来する語で、以下の2つの要素から成る。
&lt;span class="spacer"&gt;&lt;/span&gt;dis（離れて）
plicare（折る）
&lt;span class="spacer"&gt;&lt;/span&gt;このまま日本語にすると「折られたものを離す」となる。折り紙を広げるようなイメージから、何かを展開する＝広げて見せる＝「展示する, 示す」という意味になる。&lt;/span&gt;</v>
      </c>
      <c r="V182" s="14" t="str">
        <f>INDEX($L:$L, MATCH("complicate", $B:$B, 0))</f>
        <v>&lt;span class="w"&gt;&lt;b&gt;【1036.complicate：複雑にする】&lt;/b&gt;&lt;/span&gt;
&lt;span class="ml"&gt;ラテン語に由来する語で、以下の2つの要素から成る。
&lt;span class="spacer"&gt;&lt;/span&gt;com（共に）
plicare（折る）
&lt;span class="spacer"&gt;&lt;/span&gt;このまま日本語にすると「共に折る」となる。様々なものを一緒にして折り込むことで単純ではなく「複雑にする」という意味になる。&lt;/span&gt;</v>
      </c>
      <c r="W182" s="14" t="str">
        <f>INDEX($L:$L, MATCH("multiple", $B:$B, 0))</f>
        <v>&lt;span class="w"&gt;&lt;b&gt;【479.multiple：多様な】&lt;/b&gt;&lt;/span&gt;
&lt;span class="ml"&gt;ラテン語に由来する語で、以下の2つの要素から成る。
&lt;span class="spacer"&gt;&lt;/span&gt;multi（多数の）
plus（n倍, n重）
&lt;span class="spacer"&gt;&lt;/span&gt;このまま日本語にすると「多重の」となる。たくさん折り重なっているイメージから「多様な」という意味になる。
&lt;span class="spacer"&gt;&lt;/span&gt;-plus（n倍の, n重の）はラテン語plicare（折る, 重ねる）と関係がある。折り重ねることからn重という意味になる。ラテン語-plusは、以下の英語にも見られる。
&lt;span class="spacer"&gt;&lt;/span&gt;double（2倍, 2重）
dou（2）ble（-plus）
&lt;span class="spacer"&gt;&lt;/span&gt;triple（3倍, 3重）
tri（3）ple（-plus）&lt;/span&gt;</v>
      </c>
      <c r="X182" s="15"/>
      <c r="Y182" s="15"/>
      <c r="Z182" s="15"/>
      <c r="AU182" s="15"/>
      <c r="AV182" s="1" t="s">
        <v>1502</v>
      </c>
      <c r="BG182" s="7" t="s">
        <v>1503</v>
      </c>
      <c r="BH182" s="1" t="s">
        <v>2034</v>
      </c>
      <c r="BI182" s="2" t="s">
        <v>7391</v>
      </c>
      <c r="BJ182" s="1" t="s">
        <v>2017</v>
      </c>
      <c r="BK182" s="2" t="s">
        <v>2544</v>
      </c>
      <c r="BL182" s="1" t="s">
        <v>1865</v>
      </c>
      <c r="BM182" s="2" t="s">
        <v>2545</v>
      </c>
    </row>
    <row r="183" spans="1:69" ht="234" x14ac:dyDescent="0.45">
      <c r="A183" s="5">
        <v>182</v>
      </c>
      <c r="B183" s="8" t="s">
        <v>1371</v>
      </c>
      <c r="C183" s="6" t="s">
        <v>6851</v>
      </c>
      <c r="D183" s="7" t="s">
        <v>9752</v>
      </c>
      <c r="E183" s="1" t="s">
        <v>8900</v>
      </c>
      <c r="F183" s="1"/>
      <c r="G183" s="1"/>
      <c r="J183" s="1" t="s">
        <v>9753</v>
      </c>
      <c r="K183" s="2" t="s">
        <v>7392</v>
      </c>
      <c r="L183" s="4" t="s">
        <v>8105</v>
      </c>
      <c r="M183" s="1" t="s">
        <v>12150</v>
      </c>
      <c r="P183" s="7" t="s">
        <v>1241</v>
      </c>
      <c r="Q183" s="14" t="str">
        <f>INDEX($L:$L, MATCH("occur", $B:$B, 0))</f>
        <v>&lt;span class="w"&gt;&lt;b&gt;【108.occur：起こる, 思い浮かぶ】&lt;/b&gt;&lt;/span&gt;
&lt;span class="ml"&gt;ラテン語に由来する語で、以下の2つの要素から成る。
&lt;span class="spacer"&gt;&lt;/span&gt;ob（～に対して）
currere（走る）
&lt;span class="spacer"&gt;&lt;/span&gt;このまま日本語にすると「～に対して走る」となる。これは走っているときに何かにぶつかるという、自分の意思とは関係のない不意の出来事を表す。
&lt;span class="spacer"&gt;&lt;/span&gt;ここから、ある出来事が自分の前に不意に現れる＝何かが「起こる」という意味になる。また、ある考えが自分の前に不意に現れる「思い浮かぶ」という意味になる。
&lt;div class="sample_image occur"&gt;&lt;/div&gt;
&lt;span class="spacer"&gt;&lt;/span&gt;移動中にぶつかるという表現で偶然性を表すことは、英語のrun into, run across, come acrossなどにも見られる。&lt;/span&gt;</v>
      </c>
      <c r="R183" s="13" t="str">
        <f>INDEX($L:$L, MATCH("curriculum", $B:$B, 0))</f>
        <v>&lt;span class="w"&gt;&lt;b&gt;【878.curriculum：カリキュラム, 教育課程】&lt;/b&gt;&lt;/span&gt;
&lt;span class="ml"&gt;ラテン語に由来する語で、以下の2つの要素から成る。
&lt;span class="spacer"&gt;&lt;/span&gt;currere（走る）
culum（名詞化：場所・道具を表す）
&lt;span class="spacer"&gt;&lt;/span&gt;このまま日本語にすると「走るための場所」となる。もともとは実際に走るコースを表していたが、そこから教育において進んでいくコース＝「教育課程, カリキュラム」という意味になった。
&lt;div class="sample_image curriculum"&gt;&lt;/div&gt;&lt;/span&gt;</v>
      </c>
      <c r="S183" s="13" t="str">
        <f>INDEX($L:$L, MATCH("charge", $B:$B, 0))</f>
        <v>&lt;span class="w"&gt;&lt;b&gt;【244.charge：料金, 責任, 管理, 世話, 告発】&lt;/b&gt;&lt;/span&gt;
&lt;span class="ml"&gt;ラテン語carrus（二輪の荷車）に由来する。&lt;span class="obsolete"&gt;このラテン語からはcar（車）やcarry（運ぶ）も生まれている。&lt;/span&gt;
&lt;span class="spacer"&gt;&lt;/span&gt;二輪の荷車に荷物を積むという対象に負担をかけるイメージから、次のような意味の広がりが見られる。
&lt;span class="spacer"&gt;&lt;/span&gt;①荷物を預かる側：「管理, 世話」
in charge of A（Aを管理して）
&lt;span class="spacer"&gt;&lt;/span&gt;②精神的負担：「責任」
&lt;span class="spacer"&gt;&lt;/span&gt;③金銭的な負担：支払うべき「料金」
&lt;span class="spacer"&gt;&lt;/span&gt;④法的な負担：罪状を課す＝「告発」
&lt;div class="sample_image charge"&gt;&lt;/div&gt;&lt;/span&gt;</v>
      </c>
      <c r="AV183" s="1" t="s">
        <v>1502</v>
      </c>
      <c r="BG183" s="7" t="s">
        <v>1503</v>
      </c>
      <c r="BH183" s="1" t="s">
        <v>2034</v>
      </c>
      <c r="BI183" s="1" t="s">
        <v>2546</v>
      </c>
      <c r="BJ183" s="1" t="s">
        <v>1504</v>
      </c>
      <c r="BK183" s="2" t="s">
        <v>2547</v>
      </c>
      <c r="BL183" s="1" t="s">
        <v>2044</v>
      </c>
      <c r="BM183" s="2" t="s">
        <v>2548</v>
      </c>
      <c r="BN183" s="1" t="s">
        <v>2549</v>
      </c>
      <c r="BO183" s="2" t="s">
        <v>2550</v>
      </c>
    </row>
    <row r="184" spans="1:69" ht="288" x14ac:dyDescent="0.45">
      <c r="A184" s="5">
        <v>183</v>
      </c>
      <c r="B184" s="8" t="s">
        <v>1372</v>
      </c>
      <c r="C184" s="6" t="s">
        <v>6851</v>
      </c>
      <c r="D184" s="7" t="s">
        <v>9752</v>
      </c>
      <c r="E184" s="1" t="s">
        <v>1517</v>
      </c>
      <c r="F184" s="1" t="s">
        <v>49</v>
      </c>
      <c r="G184" s="1"/>
      <c r="J184" s="1" t="s">
        <v>9753</v>
      </c>
      <c r="K184" s="2" t="s">
        <v>7393</v>
      </c>
      <c r="L184" s="4" t="s">
        <v>8106</v>
      </c>
      <c r="M184" s="1" t="s">
        <v>12156</v>
      </c>
      <c r="P184" s="7" t="s">
        <v>1241</v>
      </c>
      <c r="Q184" s="14" t="str">
        <f>INDEX($L:$L, MATCH("mention", $B:$B, 0))</f>
        <v>&lt;span class="w"&gt;&lt;b&gt;【128.mention：～に言及する, ～と言う】&lt;/b&gt;&lt;/span&gt;
&lt;span class="ml"&gt;ラテン語mens（心, 知性）に関連するminisci（思い出す, 考える）に由来する。
&lt;span class="spacer"&gt;&lt;/span&gt;何かを思い出したり考えたりして、それを言葉にすることから「言及する, 言う」という意味になる。&lt;/span&gt;</v>
      </c>
      <c r="R184" s="14" t="str">
        <f>INDEX($L:$L, MATCH("dementia", $B:$B, 0))</f>
        <v>&lt;span class="w"&gt;&lt;b&gt;【1064.dementia：認知症】&lt;/b&gt;&lt;/span&gt;
&lt;span class="ml"&gt;ラテン語に由来する語で、以下の3つの要素から成る。
&lt;span class="spacer"&gt;&lt;/span&gt;de（〜から離れて）
mens（心）
ia（名詞化）
&lt;span class="spacer"&gt;&lt;/span&gt;この語の核は「心があるべきところから離れている」。もともとは正気を失っている様子を表したが、そこから医学において、精神機能が極めて低い状態や精神的な能力が欠如した状態である「認知症」という意味になった。
&lt;span class="spacer"&gt;&lt;/span&gt;1800年代の人々は、「認知症」のことを心や精神が失われた状態、精神の病だと考えていたことがわかる。
&lt;div class="sample_image dementia"&gt;&lt;/div&gt;&lt;/span&gt;</v>
      </c>
      <c r="S184" s="13" t="str">
        <f>INDEX($L:$L, MATCH("comment", $B:$B, 0))</f>
        <v>&lt;span class="w"&gt;&lt;b&gt;【441.comment：意見, コメント】&lt;/b&gt;&lt;/span&gt;
&lt;span class="ml"&gt;ラテン語ラテン語に由来する語で、以下の2つの要素から成る。
&lt;span class="spacer"&gt;&lt;/span&gt;com（強意）
mēns（心）に関連する動詞meminisse（思い出す）
&lt;span class="spacer"&gt;&lt;/span&gt;この語の核は、心（mind）で考えること。そこから考え出されたもの＝「意見, コメント」という意味になる。&lt;/span&gt;</v>
      </c>
      <c r="T184" s="13" t="str">
        <f>INDEX($L:$L, MATCH("remind", $B:$B, 0))</f>
        <v>&lt;span class="w"&gt;&lt;b&gt;【416.remind：〜に思い出させる】&lt;/b&gt;&lt;/span&gt;
&lt;span class="ml"&gt;近代英語にさかのぼり、以下の2つの要素から成る。
&lt;span class="spacer"&gt;&lt;/span&gt;re（再び）
mind（心にとめる）
&lt;span class="spacer"&gt;&lt;/span&gt;このまま日本語にすると「再び心にとめる」となる。誰かに対してもう一度心にとめさせることから、「思い出させる」という意味になる。&lt;/span&gt;</v>
      </c>
      <c r="U184" s="13" t="str">
        <f>INDEX($L:$L, MATCH("monument", $B:$B, 0))</f>
        <v>&lt;span class="w"&gt;&lt;b&gt;【1277.monument：記念碑, 遺跡, 金字塔】&lt;/b&gt;&lt;/span&gt;
&lt;span class="ml"&gt;ラテン語に由来する語で、以下の2つの要素から成る。
&lt;span class="spacer"&gt;&lt;/span&gt;monere（思い出させる）
mentum（名詞化）
&lt;span class="spacer"&gt;&lt;/span&gt;この語の核は「人や出来事を思い出させるもの」。そこから、亡くなった人を思い出させるための墓や霊廟、または特定の人物や出来事を記念して建てられた像といった「記念碑, 遺跡」という意味になった。
&lt;span class="spacer"&gt;&lt;/span&gt;また物理的な建造物だけではなく比喩的に、後世に長く語り継がれるべき偉大な業績や不朽の名作を表す「金字塔」という意味でも使われる。
&lt;div class="sample_image monument"&gt;&lt;/div&gt;&lt;/span&gt;</v>
      </c>
      <c r="V184" s="13" t="str">
        <f>INDEX($L:$L, MATCH("monitor", $B:$B, 0))</f>
        <v>&lt;span class="w"&gt;&lt;b&gt;【636.monitor：〜を監視する】&lt;/b&gt;&lt;/span&gt;
&lt;span class="ml"&gt;ラテン語に由来する語で、以下の2つの要素から成る。
&lt;span class="spacer"&gt;&lt;/span&gt;monere（思い出させる, 警告する）
or（〜するもの）
&lt;span class="spacer"&gt;&lt;/span&gt;このまま日本語にすると「警告するもの」となる。これは、問題がないか目を光らせるイメージで。そこから、何かを「監視する」という意味になる。&lt;/span&gt;</v>
      </c>
      <c r="AV184" s="1" t="s">
        <v>1502</v>
      </c>
      <c r="BG184" s="7" t="s">
        <v>1503</v>
      </c>
      <c r="BH184" s="1" t="s">
        <v>2034</v>
      </c>
      <c r="BI184" s="1" t="s">
        <v>2551</v>
      </c>
      <c r="BJ184" s="1" t="s">
        <v>2147</v>
      </c>
      <c r="BK184" s="2" t="s">
        <v>7394</v>
      </c>
      <c r="BL184" s="1" t="s">
        <v>2044</v>
      </c>
      <c r="BM184" s="2" t="s">
        <v>2552</v>
      </c>
    </row>
    <row r="185" spans="1:69" ht="180" x14ac:dyDescent="0.45">
      <c r="A185" s="5">
        <v>184</v>
      </c>
      <c r="B185" s="8" t="s">
        <v>138</v>
      </c>
      <c r="C185" s="6" t="s">
        <v>6851</v>
      </c>
      <c r="D185" s="7" t="s">
        <v>9752</v>
      </c>
      <c r="E185" s="1" t="s">
        <v>1373</v>
      </c>
      <c r="F185" s="1" t="s">
        <v>1374</v>
      </c>
      <c r="G185" s="1"/>
      <c r="J185" s="1" t="s">
        <v>9753</v>
      </c>
      <c r="K185" s="2" t="s">
        <v>7395</v>
      </c>
      <c r="L185" s="4" t="s">
        <v>8107</v>
      </c>
      <c r="M185" s="1" t="s">
        <v>12135</v>
      </c>
      <c r="P185" s="7" t="s">
        <v>1241</v>
      </c>
      <c r="Q185" s="13" t="str">
        <f>INDEX($L:$L, MATCH("respect", $B:$B, 0))</f>
        <v>&lt;span class="w"&gt;&lt;b&gt;【133.respect：〜を尊敬する】&lt;/b&gt;&lt;/span&gt;
&lt;span class="ml"&gt;ラテン語に由来する語で、以下の2つの要素から成る。
&lt;span class="spacer"&gt;&lt;/span&gt;re（後ろへ）
specere（見る）
&lt;span class="spacer"&gt;&lt;/span&gt;このまま日本語にすると「後ろを見る」となる。振り返って見る、1度見たものを何度もよく見るというイメージから、対象に注意、配慮、敬意を向ける、つまり「尊敬する」という意味になる。
&lt;span class="spacer"&gt;&lt;/span&gt;名詞respectは、ある事柄に何度も目を向けることから、目を向ける先の「ポイント」や「関係」を意味する。&lt;/span&gt;</v>
      </c>
      <c r="R185" s="13" t="str">
        <f>INDEX($L:$L, MATCH("aspect", $B:$B, 0))</f>
        <v>&lt;span class="w"&gt;&lt;b&gt;【174.aspect：側面, 観点】&lt;/b&gt;&lt;/span&gt;
&lt;span class="ml"&gt;ラテン語に由来する語で、以下の3つの要素から成る。
&lt;span class="spacer"&gt;&lt;/span&gt;ad（～へ）
specere（見る）
tus（名詞化）
&lt;span class="spacer"&gt;&lt;/span&gt;このまま日本語にすると「～へ見ること」となる。もともとは占星術用語として使われ、地球と他の惑星がどのように見えるかを意味した。たとえば地球から月を見るとき、地球上の観測点からは月のひとつの面しか見えない。
&lt;span class="spacer"&gt;&lt;/span&gt;ここから、自分から相手、相手から自分を見るそれぞれの「観点」や、見ている相手の「側面」という意味になる。
&lt;div class="sample_image aspect"&gt;&lt;/div&gt;&lt;/span&gt;</v>
      </c>
      <c r="S185" s="13" t="str">
        <f>INDEX($L:$L, MATCH("suspect", $B:$B, 0))</f>
        <v>&lt;span class="w"&gt;&lt;b&gt;【630.suspect：〜を疑う, 〜ではないかと思う】&lt;/b&gt;&lt;/span&gt;
&lt;span class="ml"&gt;ラテン語に由来する語で、以下の2つの要素から成る。
&lt;span class="spacer"&gt;&lt;/span&gt;sub（下から）
specere（見る）
&lt;span class="spacer"&gt;&lt;/span&gt;このまま日本語にすると「下から見る」となる。これは、下からこっそり見上げて疑いの目を向けるイメージ。ここから「疑う」という意味になる。
&lt;div class="sample_image suspect"&gt;&lt;/div&gt;&lt;/span&gt;</v>
      </c>
      <c r="T185" s="13" t="str">
        <f>INDEX($L:$L, MATCH("prospect", $B:$B, 0))</f>
        <v>&lt;span class="w"&gt;&lt;b&gt;【860.prospect：見込み, 未来への展望, 有望な人】&lt;/b&gt;&lt;/span&gt;
&lt;span class="ml"&gt;ラテン語に由来する語で、以下の2つの要素から成る。
&lt;span class="spacer"&gt;&lt;/span&gt;pro（前へ）
specere（見る）
&lt;span class="spacer"&gt;&lt;/span&gt;このまま日本語にすると「前方を見る」となる。物理的に遠くを見ることから、時間的に遠い将来を見ることへと発展して「見込み, 未来への展望」という意味になった。また未来を期待される人＝「将来有望な人」という意味にもなった。&lt;/span&gt;</v>
      </c>
      <c r="U185" s="13" t="str">
        <f>INDEX($L:$L, MATCH("perspective", $B:$B, 0))</f>
        <v>&lt;span class="w"&gt;&lt;b&gt;【365.perspective：観点（≒立場）, 大局観, 遠近法】&lt;/b&gt;&lt;/span&gt;
&lt;span class="ml"&gt;ラテン語に由来する語で、以下の2つの要素から成る。
&lt;span class="spacer"&gt;&lt;/span&gt;per（通して）
specere（見る）
&lt;span class="spacer"&gt;&lt;/span&gt;このまま日本語にすると「見通す」となる。これは「ある視点から対象の奥側まで全体を見通す」というイメージで、次の3つのポイントがある。①見る視点・②全体を見ること・③奥まで見ること。
&lt;span class="spacer"&gt;&lt;/span&gt;「見る視点」からは、物事を見るときの視点＝「観点, 立場」という意味になる。
&lt;span class="spacer"&gt;&lt;/span&gt;「全体を見る」からは、対局を見通す「大局観」という意味になる。
&lt;span class="spacer"&gt;&lt;/span&gt;「奥まで見る」からは、空間を見通して奥行や距離を正しく把握する「遠近法」という意味になる。
&lt;div class="sample_image perspective"&gt;&lt;/div&gt;
&lt;span class="spacer"&gt;&lt;/span&gt;perspectiveは、ある「観点, 立場」から「全体を見ること」。そしてその見方の一例が「遠近法」だと覚えればよい。&lt;/span&gt;</v>
      </c>
      <c r="V185" s="13" t="str">
        <f>INDEX($L:$L, MATCH("spectator", $B:$B, 0))</f>
        <v>&lt;span class="w"&gt;&lt;b&gt;【1465.spectator：観客】&lt;/b&gt;&lt;/span&gt;
&lt;span class="ml"&gt;ラテン語に由来する語で、以下の2つの要素から成る。
&lt;span class="spacer"&gt;&lt;/span&gt;spectare（繰り返し見る, 観察する）
or（〜する人）
&lt;span class="spacer"&gt;&lt;/span&gt;このまま日本語にすると「しっかり見る人, 観察する人」すなわち「観客」という意味になる。
&lt;span class="spacer"&gt;&lt;/span&gt;spectを見たら「見る」系の意味だと覚えておくとよい。&lt;/span&gt;</v>
      </c>
      <c r="W185" s="13" t="str">
        <f>INDEX($L:$L, MATCH("species", $B:$B, 0))</f>
        <v>&lt;span class="w"&gt;&lt;b&gt;【56.species：（生物の）種】&lt;/b&gt;&lt;/span&gt;
&lt;span class="ml"&gt;ラテン語specere（注視する）に由来する。
&lt;span class="spacer"&gt;&lt;/span&gt;何かを注視するということは、全体を見るのではなく、全体の中の特定のものに目を向けるということ。ここから生物全体の中の特定の種類＝「生物の種」という意味になる。
&lt;span class="spacer"&gt;&lt;/span&gt;ラテン語のspeciesが英語になっただけなので、-iesは英語の名詞複数形ではない。&lt;/span&gt;</v>
      </c>
      <c r="X185" s="13" t="str">
        <f>INDEX($L:$L, MATCH("unexpected", $B:$B, 0))</f>
        <v>&lt;span class="w"&gt;&lt;b&gt;【594.unexpected：思いがけない】&lt;/b&gt;&lt;/span&gt;
&lt;span class="ml"&gt;［expectの語源］
ラテン語に由来する語で、以下の2つの要素から成る。
&lt;span class="spacer"&gt;&lt;/span&gt;ex（外に, 徹底的に）
specere（見る）
&lt;span class="spacer"&gt;&lt;/span&gt;このまま日本語にすると「外を徹底的に見る」となる。これが頭の中で未来の出来事に目を向けることへと発展し、未来に起こることを「期待する」という意味になった。
&lt;span class="spacer"&gt;&lt;/span&gt;［unexpectedの語源］
近代英語にさかのぼり、以下の2つの要素から成る。
&lt;span class="spacer"&gt;&lt;/span&gt;un（否定）
expectの過去分詞expected
&lt;span class="spacer"&gt;&lt;/span&gt;ここから、起きることを期待して見ていなかった、つまり「思いがけない」という意味になる。&lt;/span&gt;</v>
      </c>
      <c r="Y185" s="13" t="str">
        <f>INDEX($L:$L, MATCH("spectrum", $B:$B, 0))</f>
        <v>&lt;span class="w"&gt;&lt;b&gt;【1369.spectrum：スペクトル, （波動・変動の）範囲】&lt;/b&gt;&lt;/span&gt;
&lt;span class="ml"&gt;ラテン語に由来する語で、以下の2つの要素から成る。
&lt;span class="spacer"&gt;&lt;/span&gt;specere（見る, 眺める）
um（名詞化）
&lt;span class="spacer"&gt;&lt;/span&gt;このまま日本語にすると「見えるもの」となり、核は「本来は見えないものが目の前に現れたもの」。
&lt;span class="spacer"&gt;&lt;/span&gt;物理学者のアイザック・ニュートンが、プリズムを通した太陽光が虹色に分かれる現象を発表した際、この暗闇に浮かび上がる光の帯を光が現れた姿と見立ててspectrumと名付けた。そこから目に見える光の色帯＝「スペクトル」という意味になった。
&lt;span class="spacer"&gt;&lt;/span&gt;さらに、光の波長が途切れることなく連続して広がっている様子から、光や音だけではなく事象や意見など、様々な物事が連続的に存在する「範囲」という意味にもなった。
&lt;div class="sample_image spectrum"&gt;&lt;/div&gt;&lt;/span&gt;</v>
      </c>
      <c r="Z185" s="13" t="str">
        <f>INDEX($L:$L, MATCH("despite", $B:$B, 0))</f>
        <v>&lt;span class="w"&gt;&lt;b&gt;【100.despite：～にもかかわらず】&lt;/b&gt;&lt;/span&gt;
&lt;span class="ml"&gt;ラテン語に由来する語で、以下の2つの要素から成る。
&lt;span class="spacer"&gt;&lt;/span&gt;de（下に）
specere（見る）
&lt;span class="spacer"&gt;&lt;/span&gt;このまま日本語にすると「下に見る」となる。これは見下すという対象の存在を軽く見る行為。「対象があってもなくても関係ない」から「～にもかかわらず」という意味になる。
&lt;span class="spacer"&gt;&lt;/span&gt;ターゲットの例文 "They went hiking despite the fact a storm was coming" は「嵐が来ている事実を、それが事実であろうとなかろうと関係なくハイキングに行った」ということを伝えている。この日本語訳を「嵐が来ているという事実&lt;strong&gt;にもかかわらず&lt;/strong&gt;」と表現しているだけ。&lt;/span&gt;</v>
      </c>
      <c r="AU185" s="15"/>
      <c r="AV185" s="1" t="s">
        <v>1502</v>
      </c>
      <c r="BG185" s="7" t="s">
        <v>1503</v>
      </c>
      <c r="BH185" s="1" t="s">
        <v>2034</v>
      </c>
      <c r="BI185" s="2" t="s">
        <v>2553</v>
      </c>
      <c r="BJ185" s="1" t="s">
        <v>2147</v>
      </c>
      <c r="BK185" s="2" t="s">
        <v>2554</v>
      </c>
      <c r="BL185" s="1" t="s">
        <v>2017</v>
      </c>
      <c r="BM185" s="2" t="s">
        <v>2555</v>
      </c>
      <c r="BN185" s="1" t="s">
        <v>2044</v>
      </c>
      <c r="BO185" s="2" t="s">
        <v>2556</v>
      </c>
      <c r="BP185" s="1" t="s">
        <v>1865</v>
      </c>
      <c r="BQ185" s="2" t="s">
        <v>7396</v>
      </c>
    </row>
    <row r="186" spans="1:69" ht="234" x14ac:dyDescent="0.45">
      <c r="A186" s="5">
        <v>185</v>
      </c>
      <c r="B186" s="8" t="s">
        <v>139</v>
      </c>
      <c r="C186" s="6" t="s">
        <v>6851</v>
      </c>
      <c r="D186" s="7" t="s">
        <v>9752</v>
      </c>
      <c r="E186" s="1" t="s">
        <v>1375</v>
      </c>
      <c r="F186" s="1" t="s">
        <v>1376</v>
      </c>
      <c r="G186" s="1"/>
      <c r="J186" s="1" t="s">
        <v>9753</v>
      </c>
      <c r="K186" s="2" t="s">
        <v>7397</v>
      </c>
      <c r="L186" s="3" t="s">
        <v>8108</v>
      </c>
      <c r="M186" s="1" t="s">
        <v>12121</v>
      </c>
      <c r="P186" s="7" t="s">
        <v>1241</v>
      </c>
      <c r="Q186" s="14" t="str">
        <f>INDEX($L:$L, MATCH("design", $B:$B, 0))</f>
        <v>&lt;span class="w"&gt;&lt;b&gt;【21.design：～を設計する, ～を計画する】&lt;/b&gt;&lt;/span&gt;
&lt;span class="ml"&gt;ラテン語に由来する語で、以下の2つの要素から成る。
&lt;span class="spacer"&gt;&lt;/span&gt;de（外へ）
signare（印をつける：signの語源）
&lt;span class="spacer"&gt;&lt;/span&gt;このまま日本語にすると「外へ印を付ける」となる。設計図や計画表に印をつけるイメージから「設計する, 計画する」という意味になる。&lt;/span&gt;</v>
      </c>
      <c r="R186" s="14" t="str">
        <f>INDEX($L:$L, MATCH("assign", $B:$B, 0))</f>
        <v>&lt;span class="w"&gt;&lt;b&gt;【739.assign：〜を割り当てる】&lt;/b&gt;&lt;/span&gt;
&lt;span class="ml"&gt;ラテン語に由来する語で、以下の2つの要素から成る。
&lt;span class="spacer"&gt;&lt;/span&gt;ad（〜へ）
signum（印）から派生したsignare（印をつける）
&lt;span class="spacer"&gt;&lt;/span&gt;このまま日本語にすると「〜へ印をつける」となる。印（サイン）をつけて、財産を割り当てたり、誰かに任務を割り当てたりすることから、何かに対してあるものを「割り当てる」という意味になる。
&lt;div class="sample_image assign"&gt;&lt;/div&gt;&lt;/span&gt;</v>
      </c>
      <c r="S186" s="14" t="str">
        <f>INDEX($L:$L, MATCH("signature", $B:$B, 0))</f>
        <v>&lt;span class="w"&gt;&lt;b&gt;【1365.signature：署名, 特徴】&lt;/b&gt;&lt;/span&gt;
&lt;span class="ml"&gt;ラテン語に由来する語で、以下の2つの要素から成る。
&lt;span class="spacer"&gt;&lt;/span&gt;signare（印を付ける, 署名する）
ura（名詞化）
&lt;span class="spacer"&gt;&lt;/span&gt;もともとは、所有者が誰かや、あるものが本物であることを示すために、何かに印をつける行為そのものを表した。しかし次第に印をつけることから、その結果として残された印自体へと焦点が移り、文書が本物であることを証明する手書きの「署名」という意味になった。
&lt;span class="spacer"&gt;&lt;/span&gt;また署名はその人にしか書けない固有の印であることからから意味が発展して、特定の人や物を象徴するような、際立った「特徴」という意味にもなった。&lt;/span&gt;</v>
      </c>
      <c r="T186" s="13" t="str">
        <f>INDEX($L:$L, MATCH("designate", $B:$B, 0))</f>
        <v>&lt;span class="w"&gt;&lt;b&gt;【1411.designate：〜を指定する, 〜を任命する】&lt;/b&gt;&lt;/span&gt;
&lt;span class="ml"&gt;ラテン語に由来する語で、以下の2つの要素から成る。
&lt;span class="spacer"&gt;&lt;/span&gt;de（外へ）
signare（印をつける）
&lt;span class="spacer"&gt;&lt;/span&gt;このまま日本語にすると「印をつけて外へ」となる。数ある中から対象に印をつけて選ぶイメージから「指定する, 任命する」という意味になる。
&lt;div class="sample_image designate"&gt;&lt;/div&gt;&lt;/span&gt;</v>
      </c>
      <c r="U186" s="13" t="str">
        <f>INDEX($L:$L, MATCH("seal", $B:$B, 0))</f>
        <v>&lt;span class="w"&gt;&lt;b&gt;【1119.seal：〜を密閉する, 〜に封をする】&lt;/b&gt;&lt;/span&gt;
&lt;span class="ml"&gt;ラテン語に由来する語で、以下の2つの要素から成る。
&lt;span class="spacer"&gt;&lt;/span&gt;signum（しるし：signの語源）
illum（小さいことを表す）
&lt;span class="spacer"&gt;&lt;/span&gt;このまま日本語にすると「小さな印」となる。手紙や文書などを溶かした蝋で封じる際に、そこに小さな印を押し当てて、その手紙が本物であることを証明した。そこから「封をする」や、容器などを「密閉する」という意味になった。
&lt;div class="sample_image seal"&gt;&lt;/div&gt;&lt;/span&gt;</v>
      </c>
      <c r="AU186" s="15"/>
      <c r="AV186" s="1" t="s">
        <v>1502</v>
      </c>
      <c r="BG186" s="7" t="s">
        <v>1503</v>
      </c>
      <c r="BH186" s="1" t="s">
        <v>2034</v>
      </c>
      <c r="BI186" s="2" t="s">
        <v>2557</v>
      </c>
      <c r="BJ186" s="1" t="s">
        <v>2549</v>
      </c>
      <c r="BK186" s="2" t="s">
        <v>2558</v>
      </c>
      <c r="BM186" s="2"/>
    </row>
    <row r="187" spans="1:69" ht="234" x14ac:dyDescent="0.45">
      <c r="A187" s="5">
        <v>186</v>
      </c>
      <c r="B187" s="8" t="s">
        <v>1377</v>
      </c>
      <c r="C187" s="6" t="s">
        <v>6851</v>
      </c>
      <c r="D187" s="7" t="s">
        <v>9752</v>
      </c>
      <c r="E187" s="1" t="s">
        <v>8901</v>
      </c>
      <c r="F187" s="1" t="s">
        <v>1379</v>
      </c>
      <c r="G187" s="1"/>
      <c r="J187" s="1" t="s">
        <v>9753</v>
      </c>
      <c r="K187" s="2" t="s">
        <v>7398</v>
      </c>
      <c r="L187" s="4" t="s">
        <v>8109</v>
      </c>
      <c r="P187" s="7" t="s">
        <v>1241</v>
      </c>
      <c r="Q187" s="14" t="str">
        <f>INDEX($L:$L, MATCH("interest", $B:$B, 0))</f>
        <v>&lt;span class="w"&gt;&lt;b&gt;【44.interest：興味, 利子, 利害】&lt;/b&gt;&lt;/span&gt;
&lt;span class="ml"&gt;ラテン語に由来する語で、以下の2つの要素から成る。
&lt;span class="spacer"&gt;&lt;/span&gt;inter（間に）
esse（存在する）
&lt;span class="spacer"&gt;&lt;/span&gt;このまま日本語にすると「間に存在する」となる。自分と対象の間に存在する重要なことで、特に自分の利益や損害に関わることを指した。ここから「利害, 利子」という意味になる。
&lt;span class="spacer"&gt;&lt;/span&gt;そして自分の利益に関わることには興味がわくので「興味」という意味へと発展する。
&lt;span class="spacer"&gt;&lt;/span&gt;interestは経済的な意味の「利害, 利子」が先に存在し、そこから個人の心理的な「興味」へと発展した。&lt;/span&gt;</v>
      </c>
      <c r="R187" s="14" t="str">
        <f>INDEX($L:$L, MATCH("represent", $B:$B, 0))</f>
        <v>&lt;span class="w"&gt;&lt;b&gt;【202.represent：～を表す, ～を代表する】&lt;/b&gt;&lt;/span&gt;
&lt;span class="ml"&gt;ラテン語に由来する語で、以下の3つの要素から成る。
&lt;span class="spacer"&gt;&lt;/span&gt;re（強意）
prae（前に）
esse（存在する）
&lt;span class="spacer"&gt;&lt;/span&gt;このまま日本語にすると「まさに目の前に存在する」「他の者よりも前に存在する」となる。目の前に存在するということから、何かを「示す, 表す」という意味になる。また他の者よりも前にいるということから「代表する」という意味になる。
&lt;div class="sample_image represent"&gt;&lt;/div&gt;&lt;/span&gt;</v>
      </c>
      <c r="S187" s="14" t="str">
        <f>INDEX($L:$L, MATCH("presence", $B:$B, 0))</f>
        <v>&lt;span class="w"&gt;&lt;b&gt;【446.presence：存在, 出席, 面前】&lt;/b&gt;&lt;/span&gt;
&lt;span class="ml"&gt;ラテン語に由来する語で、以下の2つの要素から成る。
&lt;span class="spacer"&gt;&lt;/span&gt;prae（前に）
esse（存在する）
&lt;span class="spacer"&gt;&lt;/span&gt;このまま日本語にすると「前に存在する」となる。目の前に存在するというイメージから「存在, 出席, 面前」という意味になる。
&lt;span class="spacer"&gt;&lt;/span&gt;形容詞present（存在している, 出席している, 現在の）も同じ語源。&lt;/span&gt;</v>
      </c>
      <c r="AU187" s="15"/>
      <c r="AV187" s="1" t="s">
        <v>1502</v>
      </c>
      <c r="BG187" s="7" t="s">
        <v>1503</v>
      </c>
      <c r="BH187" s="1" t="s">
        <v>2034</v>
      </c>
      <c r="BI187" s="2" t="s">
        <v>2559</v>
      </c>
      <c r="BJ187" s="1" t="s">
        <v>2147</v>
      </c>
      <c r="BK187" s="2" t="s">
        <v>7399</v>
      </c>
      <c r="BL187" s="1" t="s">
        <v>2044</v>
      </c>
      <c r="BM187" s="2" t="s">
        <v>2560</v>
      </c>
    </row>
    <row r="188" spans="1:69" ht="216" x14ac:dyDescent="0.45">
      <c r="A188" s="5">
        <v>187</v>
      </c>
      <c r="B188" s="8" t="s">
        <v>140</v>
      </c>
      <c r="C188" s="6" t="s">
        <v>6851</v>
      </c>
      <c r="D188" s="7" t="s">
        <v>9752</v>
      </c>
      <c r="E188" s="1" t="s">
        <v>1378</v>
      </c>
      <c r="F188" s="1" t="s">
        <v>1379</v>
      </c>
      <c r="G188" s="1"/>
      <c r="J188" s="1" t="s">
        <v>9753</v>
      </c>
      <c r="K188" s="2" t="s">
        <v>7400</v>
      </c>
      <c r="L188" s="9" t="s">
        <v>8110</v>
      </c>
      <c r="P188" s="7" t="s">
        <v>1241</v>
      </c>
      <c r="Q188" s="13" t="str">
        <f>INDEX($L:$L, MATCH("operate", $B:$B, 0))</f>
        <v>&lt;span class="w"&gt;&lt;b&gt;【331.operate：～を操作する, ～を手術する】&lt;/b&gt;&lt;/span&gt;
&lt;span class="ml"&gt;ラテン語opus（仕事, 成果）から派生した動詞operari（働く, 作用する, 活動する）に由来する。
&lt;span class="spacer"&gt;&lt;/span&gt;この語の核は「何かの作業によって成果をもたらす」ということ。ここから外科の「手術する」や、機械などを「操作する」という意味になる。&lt;/span&gt;</v>
      </c>
      <c r="R188" s="13" t="str">
        <f>INDEX($L:$L, MATCH("cooperation", $B:$B, 0))</f>
        <v>&lt;span class="w"&gt;&lt;b&gt;【674.cooperation：協力, 共同】&lt;/b&gt;&lt;/span&gt;
&lt;span class="ml"&gt;ラテン語に由来する語で、以下の3つの要素から成る。
&lt;span class="spacer"&gt;&lt;/span&gt;com（共に）
operari（働く）
io（名詞化）
&lt;span class="spacer"&gt;&lt;/span&gt;このまま日本語にすると「共に働くこと」となる。ひとつの目標に向かって共に働くことから「協力, 共同」という意味になる。&lt;/span&gt;</v>
      </c>
      <c r="AU188" s="15"/>
      <c r="AV188" s="1" t="s">
        <v>1502</v>
      </c>
      <c r="BG188" s="7" t="s">
        <v>1503</v>
      </c>
      <c r="BH188" s="1" t="s">
        <v>2034</v>
      </c>
      <c r="BI188" s="2" t="s">
        <v>7401</v>
      </c>
      <c r="BJ188" s="1" t="s">
        <v>2147</v>
      </c>
      <c r="BK188" s="2" t="s">
        <v>2561</v>
      </c>
      <c r="BL188" s="1" t="s">
        <v>1504</v>
      </c>
      <c r="BM188" s="2" t="s">
        <v>2562</v>
      </c>
      <c r="BN188" s="1" t="s">
        <v>2044</v>
      </c>
      <c r="BO188" s="2" t="s">
        <v>2563</v>
      </c>
      <c r="BP188" s="1" t="s">
        <v>1865</v>
      </c>
      <c r="BQ188" s="2" t="s">
        <v>2564</v>
      </c>
    </row>
    <row r="189" spans="1:69" ht="144" x14ac:dyDescent="0.45">
      <c r="A189" s="5">
        <v>188</v>
      </c>
      <c r="B189" s="8" t="s">
        <v>141</v>
      </c>
      <c r="C189" s="6" t="s">
        <v>6851</v>
      </c>
      <c r="D189" s="7" t="s">
        <v>9752</v>
      </c>
      <c r="E189" s="1" t="s">
        <v>1380</v>
      </c>
      <c r="F189" s="1" t="s">
        <v>1379</v>
      </c>
      <c r="G189" s="1"/>
      <c r="J189" s="1" t="s">
        <v>9753</v>
      </c>
      <c r="K189" s="2" t="s">
        <v>7402</v>
      </c>
      <c r="L189" s="9" t="s">
        <v>8111</v>
      </c>
      <c r="M189" s="1" t="s">
        <v>12173</v>
      </c>
      <c r="P189" s="7" t="s">
        <v>1241</v>
      </c>
      <c r="Q189" s="13" t="str">
        <f>INDEX($L:$L, MATCH("define", $B:$B, 0))</f>
        <v>&lt;span class="w"&gt;&lt;b&gt;【226.define：〜を定義する, 〜を明確にする】&lt;/b&gt;&lt;/span&gt;
&lt;span class="ml"&gt;ラテン語に由来する語で、以下の2つの要素から成る。
&lt;span class="spacer"&gt;&lt;/span&gt;de（完全に）
finis（境界）から派生した動詞finire（境界を定める）
&lt;span class="spacer"&gt;&lt;/span&gt;このまま日本語にすると「完全に境界を定める」となる。曖昧さをなくし完全に線引きするイメージから、対象を「明確にする」にするという意味になる。これが言葉の意味を対象とすれば、言葉の意味を明確にする＝「定義する」という意味になる。
&lt;div class="sample_image define"&gt;&lt;/div&gt;&lt;/span&gt;</v>
      </c>
      <c r="R189" s="13" t="str">
        <f>INDEX($L:$L, MATCH("confine", $B:$B, 0))</f>
        <v>&lt;span class="w"&gt;&lt;b&gt;【1316.confine：〜を限定する, 〜を閉じ込める】&lt;/b&gt;&lt;/span&gt;
&lt;span class="ml"&gt;ラテン語に由来する語で、以下の2つの要素から成る。
&lt;span class="spacer"&gt;&lt;/span&gt;com（共に）
finis（終わり, 境界）
&lt;span class="spacer"&gt;&lt;/span&gt;もともとは、物理的に同じ境界を持っている、つまり隣り合っていることを表した。そこから境界を引いて、その中から出ないようにする行為へと発展して「閉じ込める, 限定する」という意味になった。
&lt;span class="spacer"&gt;&lt;/span&gt;confineのfine部分は、finishのfinやdefineのfineと同じ。
&lt;div class="sample_image confine"&gt;&lt;/div&gt;&lt;/span&gt;</v>
      </c>
      <c r="S189" s="13" t="str">
        <f>INDEX($L:$L, MATCH("refine", $B:$B, 0))</f>
        <v>&lt;span class="w"&gt;&lt;b&gt;【1438.refine：〜を洗練する, 〜を精製する】&lt;/b&gt;&lt;/span&gt;
&lt;span class="ml"&gt;近代英語にさかのぼり、以下の2つの要素から成る。
&lt;span class="spacer"&gt;&lt;/span&gt;re（再び）
fine（洗練させる, 精製する）
&lt;span class="spacer"&gt;&lt;/span&gt;このfineは、ラテン語finis（終わり）に由来する（finishと同じ）。この語の核は「何度も終わりを繰り返して完璧な状態へと仕上げる」。そこから金属などを限りなく純粋で完成されたものにする＝「精製する」という意味になる。
&lt;span class="spacer"&gt;&lt;/span&gt;またマナー・技術・計画・アイデアなどを完成されたものにする＝「洗練させる」という意味になる。
&lt;div class="sample_image refine"&gt;&lt;/div&gt;&lt;/span&gt;</v>
      </c>
      <c r="T189" s="13" t="str">
        <f>INDEX($L:$L, MATCH("infinite", $B:$B, 0))</f>
        <v>&lt;span class="w"&gt;&lt;b&gt;【1381.infinite：無限の, 無数の】&lt;/b&gt;&lt;/span&gt;
&lt;span class="ml"&gt;ラテン語に由来する語で、以下の2つの要素から成る。
&lt;span class="spacer"&gt;&lt;/span&gt;in（否定）
finis（終わり, 境界）
&lt;span class="spacer"&gt;&lt;/span&gt;この語の核は「終わりを示す境界線がない」。そこから「無限の, 無数の」という意味になる。
&lt;span class="spacer"&gt;&lt;/span&gt;infiniteのfin部分は、finishのfinと同じ。終わりを否定（in）していると覚えればよい。&lt;/span&gt;</v>
      </c>
      <c r="AV189" s="1" t="s">
        <v>1502</v>
      </c>
      <c r="BG189" s="7" t="s">
        <v>1503</v>
      </c>
      <c r="BH189" s="1" t="s">
        <v>1947</v>
      </c>
      <c r="BI189" s="1" t="s">
        <v>7403</v>
      </c>
      <c r="BJ189" s="1" t="s">
        <v>1967</v>
      </c>
      <c r="BK189" s="1" t="s">
        <v>7404</v>
      </c>
      <c r="BL189" s="1" t="s">
        <v>1959</v>
      </c>
      <c r="BM189" s="2" t="s">
        <v>7405</v>
      </c>
      <c r="BN189" s="1" t="s">
        <v>1875</v>
      </c>
      <c r="BO189" s="2" t="s">
        <v>7406</v>
      </c>
      <c r="BP189" s="1" t="s">
        <v>1865</v>
      </c>
      <c r="BQ189" s="2" t="s">
        <v>2565</v>
      </c>
    </row>
    <row r="190" spans="1:69" ht="90" x14ac:dyDescent="0.45">
      <c r="A190" s="5">
        <v>189</v>
      </c>
      <c r="B190" s="8" t="s">
        <v>1569</v>
      </c>
      <c r="C190" s="6" t="s">
        <v>6851</v>
      </c>
      <c r="D190" s="7" t="s">
        <v>9752</v>
      </c>
      <c r="E190" s="1" t="s">
        <v>8902</v>
      </c>
      <c r="F190" s="1" t="s">
        <v>1551</v>
      </c>
      <c r="G190" s="1"/>
      <c r="J190" s="1" t="s">
        <v>9753</v>
      </c>
      <c r="K190" s="2" t="s">
        <v>7407</v>
      </c>
      <c r="L190" s="9" t="s">
        <v>8112</v>
      </c>
      <c r="P190" s="7" t="s">
        <v>1241</v>
      </c>
      <c r="AU190" s="15"/>
      <c r="AV190" s="1" t="s">
        <v>1502</v>
      </c>
      <c r="BG190" s="7" t="s">
        <v>1503</v>
      </c>
      <c r="BH190" s="1" t="s">
        <v>2423</v>
      </c>
      <c r="BI190" s="2" t="s">
        <v>2566</v>
      </c>
      <c r="BJ190" s="1" t="s">
        <v>2034</v>
      </c>
      <c r="BK190" s="2" t="s">
        <v>2567</v>
      </c>
      <c r="BL190" s="1" t="s">
        <v>1865</v>
      </c>
      <c r="BM190" s="2" t="s">
        <v>2568</v>
      </c>
    </row>
    <row r="191" spans="1:69" ht="72" x14ac:dyDescent="0.45">
      <c r="A191" s="5">
        <v>190</v>
      </c>
      <c r="B191" s="8" t="s">
        <v>142</v>
      </c>
      <c r="C191" s="6" t="s">
        <v>6851</v>
      </c>
      <c r="D191" s="7" t="s">
        <v>9752</v>
      </c>
      <c r="E191" s="1" t="s">
        <v>142</v>
      </c>
      <c r="F191" s="1"/>
      <c r="G191" s="1"/>
      <c r="J191" s="1" t="s">
        <v>9753</v>
      </c>
      <c r="K191" s="2" t="s">
        <v>7408</v>
      </c>
      <c r="L191" s="9" t="s">
        <v>8113</v>
      </c>
      <c r="P191" s="7" t="s">
        <v>1241</v>
      </c>
      <c r="Q191" s="13" t="str">
        <f>INDEX($L:$L, MATCH("regard", $B:$B, 0))</f>
        <v>&lt;span class="w"&gt;&lt;b&gt;【132.regard：〜を見なす, 注意を払う, 〜を評価する, 敬意を払う】&lt;/b&gt;&lt;/span&gt;
&lt;span class="ml"&gt;古フランス語に由来する語で、以下の2つの要素から成る。
&lt;span class="spacer"&gt;&lt;/span&gt;re（強意）
garder（見る, 注意する）
&lt;span class="spacer"&gt;&lt;/span&gt;このgarderは、ボディガードのguard（監視者）の語源でもある。つまり、regardのgard部分の意味の核は「注意して見る」。
&lt;span class="spacer"&gt;&lt;/span&gt;ここからまず「注意を払う」という意味になる。
&lt;span class="spacer"&gt;&lt;/span&gt;次に、何かに注意を向けるということは、その対象に注意を向ける価値があるということ。そこから「評価する, 敬意を払う」という意味になる。
&lt;span class="spacer"&gt;&lt;/span&gt;最後に、注意というニュアンスが薄まってただ対象を見るとなり、「見なす」という意味になる。&lt;/span&gt;</v>
      </c>
      <c r="R191" s="13" t="str">
        <f>INDEX($L:$L, MATCH("regardless", $B:$B, 0))</f>
        <v>&lt;span class="w"&gt;&lt;b&gt;【497.regardless：（of ~）〜に関係なく, 〜にかかわらず】&lt;/b&gt;&lt;/span&gt;
&lt;span class="ml"&gt;近代英語にさかのぼり、以下の2つの要素から成る。
&lt;span class="spacer"&gt;&lt;/span&gt;regard（関心, 注意）
less（～がない）
&lt;span class="spacer"&gt;&lt;/span&gt;このまま日本語にすると「関心や注意がない」となる。ある事柄に注意や関心を向けず、それを考慮に入れないことから、「〜に関係なく, 〜にもかかわらず」という意味になる。&lt;/span&gt;</v>
      </c>
      <c r="S191" s="13" t="str">
        <f>INDEX($L:$L, MATCH("guard", $B:$B, 0))</f>
        <v>&lt;span class="w"&gt;&lt;b&gt;【761.guard：警備員, 監視】&lt;/b&gt;&lt;/span&gt;
&lt;span class="ml"&gt;印欧祖語*wer-（警戒する）−古フランス語garder（保持する, 保護する）に由来する。
&lt;span class="spacer"&gt;&lt;/span&gt;もともとは注意深く見て警戒するというニュアンスだったが、そこから、見ているだけではなく何かを保護するという能動的な行動のニュアンスが強まった。そして守る行為である「監視」や、守る人である「警備員」などの意味になった。&lt;/span&gt;</v>
      </c>
      <c r="T191" s="13" t="str">
        <f>INDEX($L:$L, MATCH("reward", $B:$B, 0))</f>
        <v>&lt;span class="w"&gt;&lt;b&gt;【258.reward：報酬, 報い】&lt;/b&gt;&lt;/span&gt;
&lt;span class="ml"&gt;古北フランス語に由来する語で、以下の2つの要素から成る。
&lt;span class="spacer"&gt;&lt;/span&gt;re（強意）
warder（見る, 注意を払う）
&lt;span class="spacer"&gt;&lt;/span&gt;このまま日本語にすると「しっかり注意して見る」となる。この語の核は、相手の行動を注意して見て、行動や結果の良し悪しで報酬や罰を与えること。現代では通常、良い意味で使用されて「報酬, 報い」という意味になる。
&lt;div class="sample_image reward"&gt;&lt;/div&gt;
&lt;span class="spacer"&gt;&lt;/span&gt;rewardはregardと同じ語源を持つ。どちらも「注意して見る」ことが核になっている。wとgの違いはフランス語の方言差のようなもの。&lt;/span&gt;</v>
      </c>
      <c r="U191" s="13" t="str">
        <f>INDEX($L:$L, MATCH("award", $B:$B, 0))</f>
        <v>&lt;span class="w"&gt;&lt;b&gt;【650.award：賞, 授与】&lt;/b&gt;&lt;/span&gt;
&lt;span class="ml"&gt;古北フランス語に由来する語で、以下の2つの要素から成る。
&lt;span class="spacer"&gt;&lt;/span&gt;es（外に）
warder（注意して見る）
&lt;span class="spacer"&gt;&lt;/span&gt;この語の核は「注意深く見て判断した結果、何かを外に出す」。そこから、注意深い観察の後に送られる「賞」や、賞を与えること＝「授与」という意味になった。&lt;/span&gt;</v>
      </c>
      <c r="AV191" s="1" t="s">
        <v>1502</v>
      </c>
      <c r="BG191" s="7" t="s">
        <v>1503</v>
      </c>
      <c r="BH191" s="1" t="s">
        <v>2569</v>
      </c>
      <c r="BI191" s="1" t="s">
        <v>2570</v>
      </c>
      <c r="BJ191" s="1" t="s">
        <v>2129</v>
      </c>
      <c r="BK191" s="1" t="s">
        <v>7409</v>
      </c>
      <c r="BL191" s="1" t="s">
        <v>2044</v>
      </c>
      <c r="BM191" s="1" t="s">
        <v>2571</v>
      </c>
    </row>
    <row r="192" spans="1:69" ht="54" x14ac:dyDescent="0.45">
      <c r="A192" s="5">
        <v>191</v>
      </c>
      <c r="B192" s="8" t="s">
        <v>143</v>
      </c>
      <c r="C192" s="6" t="s">
        <v>6851</v>
      </c>
      <c r="D192" s="7" t="s">
        <v>9752</v>
      </c>
      <c r="E192" s="1" t="s">
        <v>143</v>
      </c>
      <c r="F192" s="1"/>
      <c r="G192" s="1"/>
      <c r="J192" s="1" t="s">
        <v>9753</v>
      </c>
      <c r="K192" s="2" t="s">
        <v>7410</v>
      </c>
      <c r="L192" s="9" t="s">
        <v>8114</v>
      </c>
      <c r="P192" s="7" t="s">
        <v>1241</v>
      </c>
      <c r="Q192" s="13" t="str">
        <f>INDEX($L:$L, MATCH("worthwhile", $B:$B, 0))</f>
        <v>&lt;span class="w"&gt;&lt;b&gt;【1382.worthwhile：価値がある】&lt;/b&gt;&lt;/span&gt;
&lt;span class="ml"&gt;古英語にさかのぼり、以下の2つの要素から成る。
&lt;span class="spacer"&gt;&lt;/span&gt;weorþ（価値がある）
hwīl（時間, しばらくの間）
&lt;span class="spacer"&gt;&lt;/span&gt;もともとは、時間をかける価値があるということを表した。そこから時間に限らず、お金や労力、エネルギーなどをつぎ込む「価値がある」という意味になった。
&lt;span class="spacer"&gt;&lt;/span&gt;whileは「〜する間」という接続詞で覚えるが、本来は名詞で「時間, 期間」を表す語だった。これはいまでもfor a whileやa little whileに残っている。&lt;/span&gt;</v>
      </c>
      <c r="AV192" s="1" t="s">
        <v>1502</v>
      </c>
      <c r="BG192" s="7" t="s">
        <v>1503</v>
      </c>
      <c r="BH192" s="1" t="s">
        <v>2129</v>
      </c>
      <c r="BI192" s="1" t="s">
        <v>2572</v>
      </c>
      <c r="BJ192" s="1" t="s">
        <v>2044</v>
      </c>
      <c r="BK192" s="2" t="s">
        <v>2573</v>
      </c>
    </row>
    <row r="193" spans="1:71" ht="144" x14ac:dyDescent="0.45">
      <c r="A193" s="5">
        <v>192</v>
      </c>
      <c r="B193" s="8" t="s">
        <v>1570</v>
      </c>
      <c r="C193" s="6" t="s">
        <v>6851</v>
      </c>
      <c r="D193" s="7" t="s">
        <v>9752</v>
      </c>
      <c r="E193" s="1" t="s">
        <v>8903</v>
      </c>
      <c r="F193" s="1" t="s">
        <v>1379</v>
      </c>
      <c r="G193" s="1"/>
      <c r="J193" s="1" t="s">
        <v>9753</v>
      </c>
      <c r="K193" s="2" t="s">
        <v>7411</v>
      </c>
      <c r="L193" s="4" t="s">
        <v>8115</v>
      </c>
      <c r="P193" s="7" t="s">
        <v>1241</v>
      </c>
      <c r="Q193" s="13" t="str">
        <f>INDEX($L:$L, MATCH("possible", $B:$B, 0))</f>
        <v>&lt;span class="w"&gt;&lt;b&gt;【81.possible：可能な, 可能性のある】&lt;/b&gt;&lt;/span&gt;
&lt;span class="ml"&gt;ラテン語に由来する語で、以下の3つの要素から成る。
&lt;span class="spacer"&gt;&lt;/span&gt;potis（力強い）
esse（存在する）
bills（〜できる：形容詞化）
&lt;span class="spacer"&gt;&lt;/span&gt;「何かをする力が存在する」から実際にできる、また現実に起こりうる、つまり「可能な, 可能性のある」という意味になる。
&lt;span class="spacer"&gt;&lt;/span&gt;否定のim（in）が付けば、impossible（不可能な）になる。&lt;/span&gt;</v>
      </c>
      <c r="R193" s="13" t="str">
        <f>INDEX($L:$L, MATCH("possess", $B:$B, 0))</f>
        <v>&lt;span class="w"&gt;&lt;b&gt;【701.possess：〜を所有する, 心をとらえる】&lt;/b&gt;&lt;/span&gt;
&lt;span class="ml"&gt;ラテン語に由来する語で、以下の2つの要素から成る。
&lt;span class="spacer"&gt;&lt;/span&gt;potis（力をもつ, 可能な）
sedere（座る）
&lt;span class="spacer"&gt;&lt;/span&gt;このまま日本語にすると「力をもった状態で座る」となる。ある場所に支配的に居座るイメージから、その場所を占有する、そして何かのものを「所有する」という意味になる。
&lt;span class="spacer"&gt;&lt;/span&gt;また比喩的に、相手の心を所有することから「心をとらえる」という意味にもなる。
&lt;div class="sample_image possess"&gt;&lt;/div&gt;&lt;/span&gt;</v>
      </c>
      <c r="AU193" s="15"/>
      <c r="AV193" s="1" t="s">
        <v>1502</v>
      </c>
      <c r="BG193" s="7" t="s">
        <v>1503</v>
      </c>
      <c r="BH193" s="1" t="s">
        <v>2034</v>
      </c>
      <c r="BI193" s="2" t="s">
        <v>7412</v>
      </c>
      <c r="BJ193" s="1" t="s">
        <v>1980</v>
      </c>
      <c r="BK193" s="2" t="s">
        <v>2574</v>
      </c>
      <c r="BL193" s="1" t="s">
        <v>1504</v>
      </c>
      <c r="BM193" s="2" t="s">
        <v>2575</v>
      </c>
      <c r="BN193" s="1" t="s">
        <v>2044</v>
      </c>
      <c r="BO193" s="2" t="s">
        <v>2576</v>
      </c>
    </row>
    <row r="194" spans="1:71" ht="378" x14ac:dyDescent="0.45">
      <c r="A194" s="5">
        <v>193</v>
      </c>
      <c r="B194" s="8" t="s">
        <v>144</v>
      </c>
      <c r="C194" s="6" t="s">
        <v>6851</v>
      </c>
      <c r="D194" s="7" t="s">
        <v>9752</v>
      </c>
      <c r="E194" s="1" t="s">
        <v>1731</v>
      </c>
      <c r="F194" s="1" t="s">
        <v>1528</v>
      </c>
      <c r="G194" s="1"/>
      <c r="J194" s="1" t="s">
        <v>9753</v>
      </c>
      <c r="K194" s="2" t="s">
        <v>7413</v>
      </c>
      <c r="L194" s="4" t="s">
        <v>8116</v>
      </c>
      <c r="M194" s="1" t="s">
        <v>12174</v>
      </c>
      <c r="P194" s="7" t="s">
        <v>1241</v>
      </c>
      <c r="Q194" s="14" t="str">
        <f>INDEX($L:$L, MATCH("actual", $B:$B, 0))</f>
        <v>&lt;span class="w"&gt;&lt;b&gt;【297.actual：実際の, 現実の】&lt;/b&gt;&lt;/span&gt;
&lt;span class="ml"&gt;ラテン語に由来する語で、以下の2つの要素から成る。
&lt;span class="spacer"&gt;&lt;/span&gt;agere（行う）から派生したactus（行為）
alis（形容詞化）
&lt;span class="spacer"&gt;&lt;/span&gt;「行為に関する」という形容詞は、理想（ideal）や潜在（potential）ではなく、現実に行われたということを意味する。ここから「実際の, 現実の」となる。&lt;/span&gt;</v>
      </c>
      <c r="R194" s="14" t="str">
        <f>INDEX($L:$L, MATCH("transaction", $B:$B, 0))</f>
        <v>&lt;span class="w"&gt;&lt;b&gt;【1447.transaction：（商）取引, 決済, 処理】&lt;/b&gt;&lt;/span&gt;
&lt;span class="ml"&gt;ラテン語に由来する語で、以下の3つの要素から成る。
&lt;span class="spacer"&gt;&lt;/span&gt;trans（越えて, 通して）
agere（動かす, 行う）
io（名詞化）
&lt;span class="spacer"&gt;&lt;/span&gt;このまま日本語にすると「（物事を最後まで）通して行うこと」となる。もともとは、何かを最後までやり遂げることを表した。そこから、業務や契約などの正式な「処理」、さらに商業における「取引」や「決済」も意味するようになった。
&lt;div class="sample_image transaction"&gt;&lt;/div&gt;&lt;/span&gt;</v>
      </c>
      <c r="S194" s="14" t="str">
        <f>INDEX($L:$L, MATCH("interact", $B:$B, 0))</f>
        <v>&lt;span class="w"&gt;&lt;b&gt;【537.interact：影響し合う, 相互に作用する】&lt;/b&gt;&lt;/span&gt;
&lt;span class="ml"&gt;近代英語にさかのぼり、以下の2つの要素から成る。
&lt;span class="spacer"&gt;&lt;/span&gt;inter（〜の間に）
act（行う, 作用する）
&lt;span class="spacer"&gt;&lt;/span&gt;このまま日本語にすると「何かと何かの間で作用する」となる。ここから「お互いが影響し合う」や「相互に作用する」という意味になる。&lt;/span&gt;</v>
      </c>
      <c r="T194" s="14" t="str">
        <f>INDEX($L:$L, MATCH("exact", $B:$B, 0))</f>
        <v>&lt;span class="w"&gt;&lt;b&gt;【598.exact：正確な, まさにその】&lt;/b&gt;&lt;/span&gt;
&lt;span class="ml"&gt;ラテン語に由来する語で、以下の2つの要素から成る。
&lt;span class="spacer"&gt;&lt;/span&gt;ex（外へ）
agere（動かす, 駆り立てる）
&lt;span class="spacer"&gt;&lt;/span&gt;このまま日本語にすると「外へ駆り立てる」となる。これは、物事を最後まで徹底的にやり切らせることを表した。そこから、抜けや不足がなく徹底的に行われて完了したことを表すようになり、「正確な, まさにその」という意味へとつながった。&lt;/span&gt;</v>
      </c>
      <c r="U194" s="14" t="str">
        <f>INDEX($L:$L, MATCH("react", $B:$B, 0))</f>
        <v>&lt;span class="w"&gt;&lt;b&gt;【605.react：反応する】&lt;/b&gt;&lt;/span&gt;
&lt;span class="ml"&gt;近代英語にさかのぼり、以下の2つの要素から成る。
&lt;span class="spacer"&gt;&lt;/span&gt;re（後ろへ, 返して）
act（行う）
&lt;span class="spacer"&gt;&lt;/span&gt;このまま日本語にすると「何かに返して行う」となる。出来事や行為に対して何かを行うことから「反応する」という意味になる。&lt;/span&gt;</v>
      </c>
      <c r="V194" s="14" t="str">
        <f>INDEX($L:$L, MATCH("agent", $B:$B, 0))</f>
        <v>&lt;span class="w"&gt;&lt;b&gt;【752.agent：仲介者, 代理人】&lt;/b&gt;&lt;/span&gt;
&lt;span class="ml"&gt;ラテン語に由来する語で、以下の2つの要素から成る。
&lt;span class="spacer"&gt;&lt;/span&gt;agere（行う）
ens（現在分詞を作る：〜しているもの）
&lt;span class="spacer"&gt;&lt;/span&gt;このまま日本語にすると「何かを行なっているもの」となる。もともとは行為者を表していたが、そこから誰かに代わって行動する者、すなわち「代理人, 仲介者」という意味になった。また「特定の作用を引き起こす原因となる物質や力」という意味もある。&lt;/span&gt;</v>
      </c>
      <c r="W194" s="14" t="str">
        <f>INDEX($L:$L, MATCH("agenda", $B:$B, 0))</f>
        <v>&lt;span class="w"&gt;&lt;b&gt;【1347.agenda：協議事項, 会議の議題, 予定, 計画, 隠れた意図】&lt;/b&gt;&lt;/span&gt;
&lt;span class="ml"&gt;ラテン語agere（行う, 駆り立てる）から派生したagendus（行われるべき）に由来する。
&lt;span class="spacer"&gt;&lt;/span&gt;この語の核は「行われるべき事柄」。会議で行われるべきことなら「協議事項, 会議の議題」という意味に、個人や組織の行われるべきことなら「予定・計画」という意味に、表に出ていない行われるべきことなら「隠れた意図」という意味になる。
&lt;span class="spacer"&gt;&lt;/span&gt;イメージとしてはto-do list（やるべきことリスト）やplan（計画）に近い。
&lt;div class="sample_image agenda"&gt;&lt;/div&gt;
&lt;span class="spacer"&gt;&lt;/span&gt;ラテン語agereからは、act（行動する）やagent（代理人, 行為者）なども生まれている。actは行うという行為、agentは行う人、agendaは行うべきことの協議リストを指す。&lt;/span&gt;</v>
      </c>
      <c r="X194" s="14" t="str">
        <f>INDEX($L:$L, MATCH("ambiguous", $B:$B, 0))</f>
        <v>&lt;span class="w"&gt;&lt;b&gt;【1386.ambiguous：あいまいな, 多義的な】&lt;/b&gt;&lt;/span&gt;
&lt;span class="ml"&gt;ラテン語に由来する語で、以下の3つの要素から成る。
&lt;span class="spacer"&gt;&lt;/span&gt;ambi（～の周りに）
agere（駆り立てる, 行う）
us（形容詞化）
&lt;span class="spacer"&gt;&lt;/span&gt;もともとは、あちこち行き来するというような動きや、どちらにも決められず心が揺れ動く状態を表した。このような、どちらの方向にも動けて方向が定まらない、心がふらふらして一つの場所に定まらないという本来のイメージから転じて、言葉や態度がはっきりひとつの意味に定まらず「あいまいな, 多義的な」という意味になった。
&lt;div class="sample_image ambiguous"&gt;&lt;/div&gt;&lt;/span&gt;</v>
      </c>
      <c r="AU194" s="15"/>
      <c r="AV194" s="1" t="s">
        <v>1502</v>
      </c>
      <c r="BG194" s="7" t="s">
        <v>1503</v>
      </c>
      <c r="BH194" s="1" t="s">
        <v>2034</v>
      </c>
      <c r="BI194" s="2" t="s">
        <v>2577</v>
      </c>
      <c r="BJ194" s="1" t="s">
        <v>1504</v>
      </c>
      <c r="BK194" s="2" t="s">
        <v>2578</v>
      </c>
      <c r="BL194" s="1" t="s">
        <v>2044</v>
      </c>
      <c r="BM194" s="2" t="s">
        <v>2579</v>
      </c>
      <c r="BN194" s="1" t="s">
        <v>1865</v>
      </c>
      <c r="BO194" s="2" t="s">
        <v>2580</v>
      </c>
    </row>
    <row r="195" spans="1:71" ht="144" x14ac:dyDescent="0.45">
      <c r="A195" s="5">
        <v>194</v>
      </c>
      <c r="B195" s="8" t="s">
        <v>1571</v>
      </c>
      <c r="C195" s="6" t="s">
        <v>6851</v>
      </c>
      <c r="D195" s="7" t="s">
        <v>9752</v>
      </c>
      <c r="E195" s="1" t="s">
        <v>8904</v>
      </c>
      <c r="F195" s="1" t="s">
        <v>49</v>
      </c>
      <c r="G195" s="1"/>
      <c r="J195" s="1" t="s">
        <v>9753</v>
      </c>
      <c r="K195" s="2" t="s">
        <v>7414</v>
      </c>
      <c r="L195" s="9" t="s">
        <v>8117</v>
      </c>
      <c r="P195" s="7" t="s">
        <v>1241</v>
      </c>
      <c r="AU195" s="15"/>
      <c r="AV195" s="1" t="s">
        <v>1502</v>
      </c>
      <c r="BG195" s="7" t="s">
        <v>1503</v>
      </c>
      <c r="BH195" s="1" t="s">
        <v>2034</v>
      </c>
      <c r="BI195" s="2" t="s">
        <v>2581</v>
      </c>
      <c r="BJ195" s="1" t="s">
        <v>2044</v>
      </c>
      <c r="BK195" s="2" t="s">
        <v>2582</v>
      </c>
      <c r="BL195" s="1" t="s">
        <v>1860</v>
      </c>
      <c r="BM195" s="2" t="s">
        <v>2583</v>
      </c>
    </row>
    <row r="196" spans="1:71" ht="216" x14ac:dyDescent="0.45">
      <c r="A196" s="5">
        <v>195</v>
      </c>
      <c r="B196" s="8" t="s">
        <v>1381</v>
      </c>
      <c r="C196" s="6" t="s">
        <v>6851</v>
      </c>
      <c r="D196" s="7" t="s">
        <v>9752</v>
      </c>
      <c r="E196" s="1" t="s">
        <v>8889</v>
      </c>
      <c r="F196" s="1" t="s">
        <v>8905</v>
      </c>
      <c r="G196" s="1"/>
      <c r="J196" s="1" t="s">
        <v>9753</v>
      </c>
      <c r="K196" s="2" t="s">
        <v>7415</v>
      </c>
      <c r="L196" s="4" t="s">
        <v>8118</v>
      </c>
      <c r="M196" s="1" t="s">
        <v>12166</v>
      </c>
      <c r="P196" s="7" t="s">
        <v>1241</v>
      </c>
      <c r="Q196" s="14" t="str">
        <f>INDEX($L:$L, MATCH("motion", $B:$B, 0))</f>
        <v>&lt;span class="w"&gt;&lt;b&gt;【565.motion：動き, 運動】&lt;/b&gt;&lt;/span&gt;
&lt;span class="ml"&gt;ラテン語に由来する語で、以下の2つの要素から成る。
&lt;span class="spacer"&gt;&lt;/span&gt;movere（動かす）
io（名詞化）
&lt;span class="spacer"&gt;&lt;/span&gt;このまま日本語にすると「動かすこと」となり、そのまま「動き, 運動」という意味になる。&lt;/span&gt;</v>
      </c>
      <c r="R196" s="14" t="str">
        <f>INDEX($L:$L, MATCH("emotion", $B:$B, 0))</f>
        <v>&lt;span class="w"&gt;&lt;b&gt;【153.emotion：感情, 情動】&lt;/b&gt;&lt;/span&gt;
&lt;span class="ml"&gt;ラテン語に由来する語で、以下の2つの要素から成る。
&lt;span class="spacer"&gt;&lt;/span&gt;ex（外に）
movere（動かす：moveの語源）
&lt;span class="spacer"&gt;&lt;/span&gt;このまま日本語にすると「外に動かす」となる。外に動く＝揺れ動くというイメージから心が揺れ動く＝「感情, 情動」となる。&lt;/span&gt;</v>
      </c>
      <c r="S196" s="14" t="str">
        <f>INDEX($L:$L, MATCH("promote", $B:$B, 0))</f>
        <v>&lt;span class="w"&gt;&lt;b&gt;【213.promote：～を促進する, （受け身で）昇進する】&lt;/b&gt;&lt;/span&gt;
&lt;span class="ml"&gt;ラテン語に由来する語で、以下の2つの要素から成る。
&lt;span class="spacer"&gt;&lt;/span&gt;pro（前へ）
movere（動かす：moveの語源）
&lt;span class="spacer"&gt;&lt;/span&gt;このまま日本語にすると「前へ動かす」となる。ここから「促進する, 昇進させる」という意味になる。
&lt;span class="spacer"&gt;&lt;/span&gt;&lt;span class="obsolete"&gt;promoteは古フランス語経由で英語に入ったため、英語では動詞となっている。
remoteはラテン語から直接英語に入ったため、英語でも形容詞となっている。&lt;/span&gt;&lt;/span&gt;</v>
      </c>
      <c r="T196" s="14" t="str">
        <f>INDEX($L:$L, MATCH("remove", $B:$B, 0))</f>
        <v>&lt;span class="w"&gt;&lt;b&gt;【234.remove：～を取り除く, ～を解雇する】&lt;/b&gt;&lt;/span&gt;
&lt;span class="ml"&gt;ラテン語に由来する語で、以下の2つの要素から成る。
&lt;span class="spacer"&gt;&lt;/span&gt;re（後ろへ）
movere（動かす：moveの語源）
&lt;span class="spacer"&gt;&lt;/span&gt;このまま日本語にすると「後ろへ動かす」となる。いまある場所から後ろに引っ込めて視界から外すイメージから「取り除く, 解雇する」という意味になる。&lt;/span&gt;</v>
      </c>
      <c r="U196" s="14" t="str">
        <f>INDEX($L:$L, MATCH("remote", $B:$B, 0))</f>
        <v>&lt;span class="w"&gt;&lt;b&gt;【682.remote：遠く離れた】&lt;/b&gt;&lt;/span&gt;
&lt;span class="ml"&gt;ラテン語に由来する語で、以下の2つの要素から成る。
&lt;span class="spacer"&gt;&lt;/span&gt;re（後ろへ）
movere（動かす）
&lt;span class="spacer"&gt;&lt;/span&gt;このまま日本語にすると「後ろへ動かす, 遠ざける」となる。ここから「遠く離れた」という意味になった。&lt;/span&gt;</v>
      </c>
      <c r="V196" s="14" t="str">
        <f>INDEX($L:$L, MATCH("motor", $B:$B, 0))</f>
        <v>&lt;span class="w"&gt;&lt;b&gt;【748.motor：モーター, 原動力】&lt;/b&gt;&lt;/span&gt;
&lt;span class="ml"&gt;ラテン語に由来する語で、以下の2つの要素から成る。
&lt;span class="spacer"&gt;&lt;/span&gt;movere（動かす）
or（〜するもの）
&lt;span class="spacer"&gt;&lt;/span&gt;このまま日本語にすると「動かすもの」つまり「原動力, モーター」という意味になる。&lt;/span&gt;</v>
      </c>
      <c r="W196" s="13" t="str">
        <f>INDEX($L:$L, MATCH("motive", $B:$B, 0))</f>
        <v>&lt;span class="w"&gt;&lt;b&gt;【1274.motive：動機】&lt;/b&gt;&lt;/span&gt;
&lt;span class="ml"&gt;ラテン語に由来する語で、以下の2つの要素から成る。
&lt;span class="spacer"&gt;&lt;/span&gt;movere（動かす）
ivus（形容詞化）
&lt;span class="spacer"&gt;&lt;/span&gt;何かを動かす、駆り立てるという形容詞が名詞となり、人を行動へと動かすもの＝「動機」という意味になった。&lt;/span&gt;</v>
      </c>
      <c r="AU196" s="15"/>
      <c r="AV196" s="1" t="s">
        <v>1502</v>
      </c>
      <c r="BG196" s="7" t="s">
        <v>1503</v>
      </c>
      <c r="BH196" s="1" t="s">
        <v>2034</v>
      </c>
      <c r="BI196" s="2" t="s">
        <v>7416</v>
      </c>
      <c r="BJ196" s="1" t="s">
        <v>1504</v>
      </c>
      <c r="BK196" s="2" t="s">
        <v>2584</v>
      </c>
      <c r="BL196" s="1" t="s">
        <v>2044</v>
      </c>
      <c r="BM196" s="2" t="s">
        <v>2585</v>
      </c>
    </row>
    <row r="197" spans="1:71" ht="144" x14ac:dyDescent="0.45">
      <c r="A197" s="5">
        <v>196</v>
      </c>
      <c r="B197" s="8" t="s">
        <v>1572</v>
      </c>
      <c r="C197" s="6" t="s">
        <v>6851</v>
      </c>
      <c r="D197" s="7" t="s">
        <v>9752</v>
      </c>
      <c r="E197" s="1" t="s">
        <v>145</v>
      </c>
      <c r="F197" s="1"/>
      <c r="G197" s="1"/>
      <c r="J197" s="1" t="s">
        <v>9753</v>
      </c>
      <c r="K197" s="2" t="s">
        <v>7417</v>
      </c>
      <c r="L197" s="4" t="s">
        <v>8119</v>
      </c>
      <c r="P197" s="7" t="s">
        <v>1241</v>
      </c>
      <c r="Q197" s="13" t="str">
        <f>INDEX($L:$L, MATCH("innovation", $B:$B, 0))</f>
        <v>&lt;span class="w"&gt;&lt;b&gt;【542.innovation：革新】&lt;/b&gt;&lt;/span&gt;
&lt;span class="ml"&gt;ラテン語に由来する語で、以下の3つの要素から成る。
&lt;span class="spacer"&gt;&lt;/span&gt;in（中に）
novus（新しい）
io（名詞化）
&lt;span class="spacer"&gt;&lt;/span&gt;既存のものの中に新しさを入れることから「革新」という意味になる。&lt;/span&gt;</v>
      </c>
      <c r="R197" s="13" t="str">
        <f>INDEX($L:$L, MATCH("renew", $B:$B, 0))</f>
        <v>&lt;span class="w"&gt;&lt;b&gt;【1323.renew：〜を更新する, （資源を）再生する】&lt;/b&gt;&lt;/span&gt;
&lt;span class="ml"&gt;中英語に由来する語で、以下の2つの要素から成る。
&lt;span class="spacer"&gt;&lt;/span&gt;re（再び）
neuen（新しくする, 回復させる）
&lt;span class="spacer"&gt;&lt;/span&gt;このまま日本語にすると「再び新しくする」となる。元からあるものを再び新しくすることから「更新する, 再生する」という意味になる。&lt;/span&gt;</v>
      </c>
      <c r="AU197" s="15"/>
      <c r="AV197" s="1" t="s">
        <v>1502</v>
      </c>
      <c r="BG197" s="7" t="s">
        <v>1503</v>
      </c>
      <c r="BH197" s="1" t="s">
        <v>2034</v>
      </c>
      <c r="BI197" s="2" t="s">
        <v>2586</v>
      </c>
      <c r="BJ197" s="1" t="s">
        <v>1967</v>
      </c>
      <c r="BK197" s="2" t="s">
        <v>2587</v>
      </c>
      <c r="BL197" s="1" t="s">
        <v>1504</v>
      </c>
      <c r="BM197" s="2" t="s">
        <v>2588</v>
      </c>
      <c r="BN197" s="1" t="s">
        <v>2044</v>
      </c>
      <c r="BO197" s="2" t="s">
        <v>2589</v>
      </c>
    </row>
    <row r="198" spans="1:71" ht="126" x14ac:dyDescent="0.45">
      <c r="A198" s="5">
        <v>197</v>
      </c>
      <c r="B198" s="8" t="s">
        <v>1573</v>
      </c>
      <c r="C198" s="6" t="s">
        <v>6851</v>
      </c>
      <c r="D198" s="7" t="s">
        <v>9752</v>
      </c>
      <c r="E198" s="1" t="s">
        <v>8906</v>
      </c>
      <c r="F198" s="1" t="s">
        <v>1551</v>
      </c>
      <c r="G198" s="1"/>
      <c r="J198" s="1" t="s">
        <v>9753</v>
      </c>
      <c r="K198" s="2" t="s">
        <v>7418</v>
      </c>
      <c r="L198" s="9" t="s">
        <v>8120</v>
      </c>
      <c r="P198" s="7" t="s">
        <v>1241</v>
      </c>
      <c r="AU198" s="15"/>
      <c r="AV198" s="1" t="s">
        <v>1502</v>
      </c>
      <c r="BG198" s="7" t="s">
        <v>1503</v>
      </c>
      <c r="BH198" s="1" t="s">
        <v>2423</v>
      </c>
      <c r="BI198" s="2" t="s">
        <v>2590</v>
      </c>
      <c r="BJ198" s="1" t="s">
        <v>2034</v>
      </c>
      <c r="BK198" s="2" t="s">
        <v>2591</v>
      </c>
      <c r="BL198" s="1" t="s">
        <v>1865</v>
      </c>
      <c r="BM198" s="2" t="s">
        <v>2592</v>
      </c>
      <c r="BN198" s="1" t="s">
        <v>1860</v>
      </c>
      <c r="BO198" s="2" t="s">
        <v>2593</v>
      </c>
    </row>
    <row r="199" spans="1:71" ht="90" x14ac:dyDescent="0.45">
      <c r="A199" s="5">
        <v>198</v>
      </c>
      <c r="B199" s="8" t="s">
        <v>146</v>
      </c>
      <c r="C199" s="6" t="s">
        <v>6851</v>
      </c>
      <c r="D199" s="7" t="s">
        <v>9752</v>
      </c>
      <c r="E199" s="1" t="s">
        <v>1382</v>
      </c>
      <c r="F199" s="1" t="s">
        <v>49</v>
      </c>
      <c r="G199" s="1"/>
      <c r="J199" s="1" t="s">
        <v>9753</v>
      </c>
      <c r="K199" s="2" t="s">
        <v>7419</v>
      </c>
      <c r="L199" s="9" t="s">
        <v>8121</v>
      </c>
      <c r="P199" s="7" t="s">
        <v>1241</v>
      </c>
      <c r="AU199" s="15"/>
      <c r="AV199" s="1" t="s">
        <v>1502</v>
      </c>
      <c r="BG199" s="7" t="s">
        <v>1503</v>
      </c>
      <c r="BH199" s="1" t="s">
        <v>2423</v>
      </c>
      <c r="BI199" s="2" t="s">
        <v>7420</v>
      </c>
      <c r="BJ199" s="1" t="s">
        <v>2594</v>
      </c>
      <c r="BK199" s="1" t="s">
        <v>3659</v>
      </c>
      <c r="BL199" s="1" t="s">
        <v>1980</v>
      </c>
      <c r="BM199" s="1" t="s">
        <v>2595</v>
      </c>
      <c r="BN199" s="1" t="s">
        <v>1504</v>
      </c>
      <c r="BO199" s="2" t="s">
        <v>2596</v>
      </c>
      <c r="BP199" s="1" t="s">
        <v>2044</v>
      </c>
      <c r="BQ199" s="2" t="s">
        <v>7421</v>
      </c>
      <c r="BR199" s="1" t="s">
        <v>1865</v>
      </c>
      <c r="BS199" s="2" t="s">
        <v>2597</v>
      </c>
    </row>
    <row r="200" spans="1:71" ht="409.6" x14ac:dyDescent="0.45">
      <c r="A200" s="5">
        <v>199</v>
      </c>
      <c r="B200" s="8" t="s">
        <v>1383</v>
      </c>
      <c r="C200" s="6" t="s">
        <v>6851</v>
      </c>
      <c r="D200" s="7" t="s">
        <v>9752</v>
      </c>
      <c r="E200" s="1" t="s">
        <v>5268</v>
      </c>
      <c r="F200" s="1" t="s">
        <v>1357</v>
      </c>
      <c r="G200" s="1" t="s">
        <v>1541</v>
      </c>
      <c r="J200" s="1" t="s">
        <v>9753</v>
      </c>
      <c r="K200" s="2" t="s">
        <v>7422</v>
      </c>
      <c r="L200" s="4" t="s">
        <v>8122</v>
      </c>
      <c r="M200" s="1" t="s">
        <v>12169</v>
      </c>
      <c r="P200" s="7" t="s">
        <v>1241</v>
      </c>
      <c r="Q200" s="14" t="str">
        <f>INDEX($L:$L, MATCH("succeed", $B:$B, 0))</f>
        <v>&lt;span class="w"&gt;&lt;b&gt;【240.succeed：成功する（in）, 継承する（to）】&lt;/b&gt;&lt;/span&gt;
&lt;span class="ml"&gt;ラテン語に由来する語で、以下の2つの要素から成る。
&lt;span class="spacer"&gt;&lt;/span&gt;sub（後に）
cedere（行く, 進む）
&lt;span class="spacer"&gt;&lt;/span&gt;このまま日本語にすると「後に行く」となる。ここから次の2つの意味に発展する。
&lt;span class="spacer"&gt;&lt;/span&gt;①前任者の後を行くというイメージから「何かを継承する」という意味になる。この場合はsucceed &lt;strong&gt;to&lt;/strong&gt; Aで「Aに成功する」となる。
&lt;span class="spacer"&gt;&lt;/span&gt;②行為の後に結果が続くというイメージから「成功する」という意味になる。この場合はsucceed &lt;strong&gt;in&lt;/strong&gt; Aで「Aを継承する」となる。
&lt;div class="sample_image succeed"&gt;&lt;/div&gt;
&lt;span class="spacer"&gt;&lt;/span&gt;&lt;span class="obsolete"&gt;succeedは、もともとは何かに続いて結果が出るという意味で、良い結果（成功）を意味したわけではない。
&lt;span class="spacer"&gt;&lt;/span&gt;16世紀頃にsucceed well（ことがうまくいく）という表現があり、ここからwellが省略されてsucceed（成功する）となった。
&lt;span class="spacer"&gt;&lt;/span&gt;これと同じことがlikeでも起こり、最初はlike ~ wellで「好む」という意味だったが、likeの1語のみになった。
&lt;span class="spacer"&gt;&lt;/span&gt;「～の方が好き / ～が一番好き」という場合、wellの比較級 / 最上級を使ってlike ~ better / the bestとなるが、これはlike〜wellの名残である。&lt;/span&gt;&lt;/span&gt;</v>
      </c>
      <c r="R200" s="14" t="str">
        <f>INDEX($L:$L, MATCH("proceed", $B:$B, 0))</f>
        <v>&lt;span class="w"&gt;&lt;b&gt;【1101.proceed：進む, 進行する】&lt;/b&gt;&lt;/span&gt;
&lt;span class="ml"&gt;ラテン語に由来する語で、以下の2つの要素から成る。
&lt;span class="spacer"&gt;&lt;/span&gt;pro（前へ）
cedere（行く, 進む）
&lt;span class="spacer"&gt;&lt;/span&gt;このまま日本語にすると「前へ進む」となり「進む, 進行する」という意味になる。名詞になるとprocess（過程, 経過）やprocedure（手続き）という進行途中や進行手順を表す。&lt;/span&gt;</v>
      </c>
      <c r="S200" s="14" t="str">
        <f>INDEX($L:$L, MATCH("exceed", $B:$B, 0))</f>
        <v>&lt;span class="w"&gt;&lt;b&gt;【936.exceed：〜を超える, 〜を勝る】&lt;/b&gt;&lt;/span&gt;
&lt;span class="ml"&gt;ラテン語に由来する語で、以下の2つの要素から成る。
&lt;span class="spacer"&gt;&lt;/span&gt;ex（外に）
cedere（行く）
&lt;span class="spacer"&gt;&lt;/span&gt;このまま日本語にすると「外に行く」となる。ある範囲や基準の外に出て行くことから、何かを「超える, 勝る」という意味になる。
&lt;div class="sample_image exceed"&gt;&lt;/div&gt;&lt;/span&gt;</v>
      </c>
      <c r="T200" s="14" t="str">
        <f>INDEX($L:$L, MATCH("excess", $B:$B, 0))</f>
        <v>&lt;span class="w"&gt;&lt;b&gt;【1163.excess：過剰, 超過】&lt;/b&gt;&lt;/span&gt;
&lt;span class="ml"&gt;ラテン語に由来する語で、以下の3つの要素から成る。
&lt;span class="spacer"&gt;&lt;/span&gt;ex（外に）
cedere（行く）
us（名詞化）
&lt;span class="spacer"&gt;&lt;/span&gt;このまま日本語にすると「外に行くこと」となる。もともとは、物理的に何かの範囲や領域、境界から外へ出ることを表した。そこから意味が抽象化し、基準や度合を超えること、つまり「超過, 過剰」という意味になった。&lt;/span&gt;</v>
      </c>
      <c r="U200" s="14" t="str">
        <f>INDEX($L:$L, MATCH("access", $B:$B, 0))</f>
        <v>&lt;span class="w"&gt;&lt;b&gt;【169.access：利用, 入手, 接近】&lt;/b&gt;&lt;/span&gt;
&lt;span class="ml"&gt;ラテン語に由来する語で、以下の2つの要素から成る。
&lt;span class="spacer"&gt;&lt;/span&gt;ad（～へ）
cedere（行く）
&lt;span class="spacer"&gt;&lt;/span&gt;このまま日本語にすると「〜へ行く」となる。ここから「接近」という意味になる。さらに接近という物理的な移動から、近づいて何かを使うという「入手, 利用」という意味になる。
&lt;span class="spacer"&gt;&lt;/span&gt;The hotel has easy access to the station.
そのホテルは駅へのアクセスが良いという物理的な接近の話。
&lt;span class="spacer"&gt;&lt;/span&gt;Students have access to the library.
生徒は図書館を利用できるという利用可能性の話。&lt;/span&gt;</v>
      </c>
      <c r="V200" s="14" t="str">
        <f>INDEX($L:$L, MATCH("recession", $B:$B, 0))</f>
        <v>&lt;span class="w"&gt;&lt;b&gt;【1171.recession：不況, 後退】&lt;/b&gt;&lt;/span&gt;
&lt;span class="ml"&gt;ラテン語に由来する語で、以下の3つの要素から成る。
&lt;span class="spacer"&gt;&lt;/span&gt;re（後ろへ）
cedere（行く, 進む）
io（名詞化）
&lt;span class="spacer"&gt;&lt;/span&gt;このまま日本語にすると「後ろへ行くこと」つまり「後退」という意味になる。世界恐慌時にdepression（大不況）よりも程度が軽く、一時的な経済の後退を表す言葉として使われたことから「不況」という意味になった。
&lt;div class="sample_image recession"&gt;&lt;/div&gt;&lt;/span&gt;</v>
      </c>
      <c r="W200" s="14" t="str">
        <f>INDEX($L:$L, MATCH("cease", $B:$B, 0))</f>
        <v>&lt;span class="w"&gt;&lt;b&gt;【1135.cease：〜をやめる】&lt;/b&gt;&lt;/span&gt;
&lt;span class="ml"&gt;ラテン語cedere（行く, 退く）から派生した反復形cessare（やめる）に由来する。
&lt;span class="spacer"&gt;&lt;/span&gt;もともとはその場から立ち去る、身を引くという物理的な動作を表した。そこから、今まで行っていた活動や状態から身を引く＝「やめる」という意味になった。&lt;/span&gt;</v>
      </c>
      <c r="X200" s="14" t="str">
        <f>INDEX($L:$L, MATCH("precede", $B:$B, 0))</f>
        <v>&lt;span class="w"&gt;&lt;b&gt;【1302.precede：〜に先行する】&lt;/b&gt;&lt;/span&gt;
&lt;span class="ml"&gt;ラテン語に由来する語で、以下の2つの要素から成る。
&lt;span class="spacer"&gt;&lt;/span&gt;prae（前に）
cedere（行く）
&lt;span class="spacer"&gt;&lt;/span&gt;このまま日本語にすると「前に行く」となり、時間的・空間的に何かに「先行する」という意味になる。&lt;/span&gt;
&lt;div class="animation precede"&gt;&lt;/div&gt;</v>
      </c>
      <c r="Y200" s="14" t="str">
        <f>INDEX($L:$L, MATCH("unprecedented", $B:$B, 0))</f>
        <v>&lt;span class="w"&gt;&lt;b&gt;【1380.unprecedented：前例のない】&lt;/b&gt;&lt;/span&gt;
&lt;span class="ml"&gt;近代英語にさかのぼり、以下の3つの要素から成る。
&lt;span class="spacer"&gt;&lt;/span&gt;un（否定）
precedent（前例を与える）
ed（過去分詞化）
&lt;span class="spacer"&gt;&lt;/span&gt;precedent部分は、ラテン語prae（前に）＋cedere（行く）に由来するprecede（先行する）と関連する。
&lt;span class="spacer"&gt;&lt;/span&gt;否定のunが付くことで、先行するものがない、つまり「前例がない」という意味になる。&lt;/span&gt;</v>
      </c>
      <c r="Z200" s="14" t="str">
        <f>INDEX($L:$L, MATCH("ancestor", $B:$B, 0))</f>
        <v>&lt;span class="w"&gt;&lt;b&gt;【274.ancestor：祖先】&lt;/b&gt;&lt;/span&gt;
&lt;span class="ml"&gt;ラテン語に由来する語で、以下の3つの要素から成る。
&lt;span class="spacer"&gt;&lt;/span&gt;ante（前に）
cedere（行く, 進む）
or（〜する人）
&lt;span class="spacer"&gt;&lt;/span&gt;このまま日本語にすると「前に行く人」となる。自分たちよりも時間的に前を行く人から先代の人＝「祖先」という意味になる。
&lt;div class="sample_image ancestor"&gt;&lt;/div&gt;&lt;/span&gt;</v>
      </c>
      <c r="AA200" s="15"/>
      <c r="AB200" s="15"/>
      <c r="AU200" s="15"/>
      <c r="AV200" s="1" t="s">
        <v>1502</v>
      </c>
      <c r="BG200" s="7" t="s">
        <v>1503</v>
      </c>
      <c r="BH200" s="1" t="s">
        <v>2034</v>
      </c>
      <c r="BI200" s="2" t="s">
        <v>2598</v>
      </c>
      <c r="BJ200" s="1" t="s">
        <v>1504</v>
      </c>
      <c r="BK200" s="2" t="s">
        <v>2599</v>
      </c>
      <c r="BL200" s="1" t="s">
        <v>2044</v>
      </c>
      <c r="BM200" s="2" t="s">
        <v>2600</v>
      </c>
    </row>
    <row r="201" spans="1:71" ht="324" x14ac:dyDescent="0.45">
      <c r="A201" s="5">
        <v>200</v>
      </c>
      <c r="B201" s="8" t="s">
        <v>1384</v>
      </c>
      <c r="C201" s="6" t="s">
        <v>6853</v>
      </c>
      <c r="D201" s="7" t="s">
        <v>9752</v>
      </c>
      <c r="E201" s="1" t="s">
        <v>8907</v>
      </c>
      <c r="F201" s="1" t="s">
        <v>5321</v>
      </c>
      <c r="G201" s="1" t="s">
        <v>1457</v>
      </c>
      <c r="J201" s="1" t="s">
        <v>9753</v>
      </c>
      <c r="K201" s="2" t="s">
        <v>7423</v>
      </c>
      <c r="L201" s="4" t="s">
        <v>8123</v>
      </c>
      <c r="M201" s="1" t="s">
        <v>12152</v>
      </c>
      <c r="P201" s="7" t="s">
        <v>1241</v>
      </c>
      <c r="Q201" s="14" t="str">
        <f>INDEX($L:$L, MATCH("prevent", $B:$B, 0))</f>
        <v>&lt;span class="w"&gt;&lt;b&gt;【137.prevent：〜を妨げる, 〜を防ぐ】&lt;/b&gt;&lt;/span&gt;
&lt;span class="ml"&gt;ラテン語に由来する語で、以下の2つの要素から成る。
&lt;span class="spacer"&gt;&lt;/span&gt;prae（前に）
venire（来る）
&lt;span class="spacer"&gt;&lt;/span&gt;このまま日本語にすると「（時間的に）前に来る」となる。つまり何かが起こる、何かをするより先に来るということ。この先回りの行動が、先に行動して何かを阻止するという妨害と結びつき、「妨げる, 防ぐ」という意味になる。
&lt;div class="sample_image prevent"&gt;&lt;/div&gt;&lt;/span&gt;</v>
      </c>
      <c r="R201" s="14" t="str">
        <f>INDEX($L:$L, MATCH("conventional", $B:$B, 0))</f>
        <v>&lt;span class="w"&gt;&lt;b&gt;【585.conventional：従来通りの, 型にはまった】&lt;/b&gt;&lt;/span&gt;
&lt;span class="ml"&gt;ラテン語に由来する語で、以下の4つの要素から成る。
&lt;span class="spacer"&gt;&lt;/span&gt;com（共に）
venire（来る）
io（名詞化）
alis（形容詞化）
&lt;span class="spacer"&gt;&lt;/span&gt;まずは「共に来ること」から、①人が集まること、②人が集まって形成される合意、③人が集まることで作られる暗黙のルール＝慣習という意味になる。
&lt;span class="spacer"&gt;&lt;/span&gt;慣習というのは、古くから受け継がれるもの。そこから昔から変わらない、つまり「従来通りの」という意味になる。また少しネガティブなニュアンスになると、新しさがなくて「型にはまった」という意味になる。
&lt;div class="sample_image conventional"&gt;&lt;/div&gt;&lt;/span&gt;</v>
      </c>
      <c r="S201" s="14" t="str">
        <f>INDEX($L:$L, MATCH("revenue", $B:$B, 0))</f>
        <v>&lt;span class="w"&gt;&lt;b&gt;【1477.revenue：歳入, 収入】&lt;/b&gt;&lt;/span&gt;
&lt;span class="ml"&gt;ラテン語に由来する語で、以下の2つの要素から成る。
&lt;span class="spacer"&gt;&lt;/span&gt;re（後ろへ, 戻って）
venire（来る）
&lt;span class="spacer"&gt;&lt;/span&gt;この語の核は「戻ってくるもの」。お金を払って何かを手に入れ、それを使ってお金を得る、つまりお金が戻ってくることから「収入」という意味になった。またそこから、国家の一年間の収入＝「歳入」という意味にもなった。
&lt;div class="sample_image revenue"&gt;&lt;/div&gt;&lt;/span&gt;</v>
      </c>
      <c r="T201" s="14" t="str">
        <f>INDEX($L:$L, MATCH("venture", $B:$B, 0))</f>
        <v>&lt;span class="w"&gt;&lt;b&gt;【1204.venture：危険を冒して進む】&lt;/b&gt;&lt;/span&gt;
&lt;span class="ml"&gt;古ラテン語に由来する語で、以下の2つの要素から成る。
&lt;span class="spacer"&gt;&lt;/span&gt;ad（〜へ）
venire（来る）
&lt;span class="spacer"&gt;&lt;/span&gt;このまま日本語にすると「〜へ来る」となる。もともとは、どこかから何かが自分の元へやって来ることを表した。そこから、将来的に起こることという意味を経て、将来的に結果がどうなるかわからない出来事、そして結果がわからない危険な試みへと発展し、動詞で「危険を冒して進む」という意味になった。&lt;/span&gt;</v>
      </c>
      <c r="U201" s="14" t="str">
        <f>INDEX($L:$L, MATCH("convenient", $B:$B, 0))</f>
        <v>&lt;span class="w"&gt;&lt;b&gt;【395.convenient：便利な, 都合のよい】&lt;/b&gt;&lt;/span&gt;
&lt;span class="ml"&gt;ラテン語に由来する語で、以下の2つの要素から成る。
&lt;span class="spacer"&gt;&lt;/span&gt;com（共に）
venire（来る）
&lt;span class="spacer"&gt;&lt;/span&gt;このまま日本語にすると「共に来る」となる。これは何かと何かが一緒に来てそろうイメージ。例えば、条件がそろう、何かを必要としている人とそれを不要としている人が一緒に来るなど。ここから「都合のよい, 便利な」という意味になる。&lt;/span&gt;</v>
      </c>
      <c r="V201" s="14" t="str">
        <f>INDEX($L:$L, MATCH("achieve", $B:$B, 0))</f>
        <v>&lt;span class="w"&gt;&lt;b&gt;【118.achieve：～を達成する】&lt;/b&gt;&lt;/span&gt;
&lt;span class="ml"&gt;ラテン語に由来する語で、以下の3つの要素から成る。
&lt;span class="spacer"&gt;&lt;/span&gt;ad（～へ）
capt（頭）
venire（来る）
&lt;span class="spacer"&gt;&lt;/span&gt;このまま日本語にすると「頭へ来る」となる。頭は動物の体の端にあることから、端へ来る＝終わりに到達する＝何かを「達成する」という意味になる。
&lt;span class="spacer"&gt;&lt;/span&gt;ラテン語capt（頭）はcaptain（キャプテン）の語源でもある。&lt;/span&gt;</v>
      </c>
      <c r="W201" s="15"/>
      <c r="AU201" s="15"/>
      <c r="AV201" s="1" t="s">
        <v>1502</v>
      </c>
      <c r="BG201" s="7" t="s">
        <v>1503</v>
      </c>
      <c r="BH201" s="1" t="s">
        <v>2601</v>
      </c>
      <c r="BI201" s="2" t="s">
        <v>2602</v>
      </c>
      <c r="BJ201" s="1" t="s">
        <v>2603</v>
      </c>
      <c r="BK201" s="2" t="s">
        <v>2604</v>
      </c>
      <c r="BL201" s="1" t="s">
        <v>2605</v>
      </c>
      <c r="BM201" s="2" t="s">
        <v>2606</v>
      </c>
    </row>
    <row r="202" spans="1:71" ht="144" x14ac:dyDescent="0.45">
      <c r="A202" s="5">
        <v>201</v>
      </c>
      <c r="B202" s="8" t="s">
        <v>1574</v>
      </c>
      <c r="C202" s="6" t="s">
        <v>1816</v>
      </c>
      <c r="D202" s="7" t="s">
        <v>9752</v>
      </c>
      <c r="E202" s="1" t="s">
        <v>8908</v>
      </c>
      <c r="F202" s="1" t="s">
        <v>1422</v>
      </c>
      <c r="G202" s="1"/>
      <c r="J202" s="1" t="s">
        <v>9753</v>
      </c>
      <c r="K202" s="2" t="s">
        <v>7424</v>
      </c>
      <c r="L202" s="9" t="s">
        <v>8124</v>
      </c>
      <c r="P202" s="7" t="s">
        <v>1241</v>
      </c>
      <c r="AU202" s="15"/>
      <c r="AV202" s="1" t="s">
        <v>1502</v>
      </c>
      <c r="BG202" s="7" t="s">
        <v>1503</v>
      </c>
      <c r="BH202" s="1" t="s">
        <v>2034</v>
      </c>
      <c r="BI202" s="2" t="s">
        <v>7425</v>
      </c>
      <c r="BJ202" s="1" t="s">
        <v>1980</v>
      </c>
      <c r="BK202" s="2" t="s">
        <v>7426</v>
      </c>
      <c r="BL202" s="1" t="s">
        <v>2607</v>
      </c>
      <c r="BM202" s="1" t="s">
        <v>2608</v>
      </c>
      <c r="BN202" s="1" t="s">
        <v>2519</v>
      </c>
      <c r="BO202" s="2" t="s">
        <v>2609</v>
      </c>
      <c r="BP202" s="1" t="s">
        <v>1865</v>
      </c>
      <c r="BQ202" s="2" t="s">
        <v>2610</v>
      </c>
    </row>
    <row r="203" spans="1:71" ht="270" x14ac:dyDescent="0.45">
      <c r="A203" s="5">
        <v>202</v>
      </c>
      <c r="B203" s="8" t="s">
        <v>1385</v>
      </c>
      <c r="C203" s="6" t="s">
        <v>1816</v>
      </c>
      <c r="D203" s="7" t="s">
        <v>9752</v>
      </c>
      <c r="E203" s="1" t="s">
        <v>1251</v>
      </c>
      <c r="F203" s="1" t="s">
        <v>1338</v>
      </c>
      <c r="G203" s="1" t="s">
        <v>1575</v>
      </c>
      <c r="J203" s="1" t="s">
        <v>9753</v>
      </c>
      <c r="K203" s="2" t="s">
        <v>7427</v>
      </c>
      <c r="L203" s="3" t="s">
        <v>8125</v>
      </c>
      <c r="P203" s="7" t="s">
        <v>1241</v>
      </c>
      <c r="Q203" s="14" t="str">
        <f>INDEX($L:$L, MATCH("essential", $B:$B, 0))</f>
        <v>&lt;span class="w"&gt;&lt;b&gt;【186.essential：必要不可欠な, 本質的な】&lt;/b&gt;&lt;/span&gt;
&lt;span class="ml"&gt;ラテン語に由来する語で、以下の3つの要素から成る。
&lt;span class="spacer"&gt;&lt;/span&gt;esse（存在する）
ia（名詞化）
alis（形容詞化）
&lt;span class="spacer"&gt;&lt;/span&gt;このまま日本語にすると「存在することに関する」となる。ここで言う「存在に関する」とは、たとえば人を人として存在させているような「根本的な性質に関する」ということ。ここから「本質的な」という意味になる。また本質は、なくてはならないものなので「必要不可欠な」という意味になる。&lt;/span&gt;</v>
      </c>
      <c r="R203" s="14" t="str">
        <f>INDEX($L:$L, MATCH("interest", $B:$B, 0))</f>
        <v>&lt;span class="w"&gt;&lt;b&gt;【44.interest：興味, 利子, 利害】&lt;/b&gt;&lt;/span&gt;
&lt;span class="ml"&gt;ラテン語に由来する語で、以下の2つの要素から成る。
&lt;span class="spacer"&gt;&lt;/span&gt;inter（間に）
esse（存在する）
&lt;span class="spacer"&gt;&lt;/span&gt;このまま日本語にすると「間に存在する」となる。自分と対象の間に存在する重要なことで、特に自分の利益や損害に関わることを指した。ここから「利害, 利子」という意味になる。
&lt;span class="spacer"&gt;&lt;/span&gt;そして自分の利益に関わることには興味がわくので「興味」という意味へと発展する。
&lt;span class="spacer"&gt;&lt;/span&gt;interestは経済的な意味の「利害, 利子」が先に存在し、そこから個人の心理的な「興味」へと発展した。&lt;/span&gt;</v>
      </c>
      <c r="S203" s="14" t="str">
        <f>INDEX($L:$L, MATCH("presence", $B:$B, 0))</f>
        <v>&lt;span class="w"&gt;&lt;b&gt;【446.presence：存在, 出席, 面前】&lt;/b&gt;&lt;/span&gt;
&lt;span class="ml"&gt;ラテン語に由来する語で、以下の2つの要素から成る。
&lt;span class="spacer"&gt;&lt;/span&gt;prae（前に）
esse（存在する）
&lt;span class="spacer"&gt;&lt;/span&gt;このまま日本語にすると「前に存在する」となる。目の前に存在するというイメージから「存在, 出席, 面前」という意味になる。
&lt;span class="spacer"&gt;&lt;/span&gt;形容詞present（存在している, 出席している, 現在の）も同じ語源。&lt;/span&gt;</v>
      </c>
      <c r="AU203" s="15"/>
      <c r="AV203" s="1" t="s">
        <v>1502</v>
      </c>
      <c r="BG203" s="7" t="s">
        <v>1503</v>
      </c>
      <c r="BH203" s="1" t="s">
        <v>2034</v>
      </c>
      <c r="BI203" s="2" t="s">
        <v>2611</v>
      </c>
      <c r="BJ203" s="1" t="s">
        <v>2607</v>
      </c>
      <c r="BK203" s="1" t="s">
        <v>2612</v>
      </c>
      <c r="BL203" s="1" t="s">
        <v>2044</v>
      </c>
      <c r="BM203" s="2" t="s">
        <v>2613</v>
      </c>
    </row>
    <row r="204" spans="1:71" ht="288" x14ac:dyDescent="0.45">
      <c r="A204" s="5">
        <v>203</v>
      </c>
      <c r="B204" s="8" t="s">
        <v>147</v>
      </c>
      <c r="C204" s="6" t="s">
        <v>1816</v>
      </c>
      <c r="D204" s="7" t="s">
        <v>9752</v>
      </c>
      <c r="E204" s="1" t="s">
        <v>27</v>
      </c>
      <c r="F204" s="1" t="s">
        <v>1386</v>
      </c>
      <c r="G204" s="1"/>
      <c r="J204" s="1" t="s">
        <v>9753</v>
      </c>
      <c r="K204" s="2" t="s">
        <v>7428</v>
      </c>
      <c r="L204" s="3" t="s">
        <v>8126</v>
      </c>
      <c r="M204" s="1" t="s">
        <v>12175</v>
      </c>
      <c r="P204" s="7" t="s">
        <v>1241</v>
      </c>
      <c r="Q204" s="14" t="str">
        <f>INDEX($L:$L, MATCH("dedicate", $B:$B, 0))</f>
        <v>&lt;span class="w"&gt;&lt;b&gt;【1039.dedicate：〜を捧げる, 〜を献呈する】&lt;/b&gt;&lt;/span&gt;
&lt;span class="ml"&gt;ラテン語に由来する語で、以下の2つの要素から成る。
&lt;span class="spacer"&gt;&lt;/span&gt;de（離れて）
dicare（宣言する）
&lt;span class="spacer"&gt;&lt;/span&gt;もともとは、世間から切り離して神に属するものだと宣言する、宗教的な奉献を表した。そこから宗教に関わらず、一般的な意味として、時間やエネルギーなどを「捧げる」、作品や碑などを「献呈する」という意味になった。
&lt;div class="sample_image dedicate"&gt;&lt;/div&gt;&lt;/span&gt;</v>
      </c>
      <c r="R204" s="14" t="str">
        <f>INDEX($L:$L, MATCH("predict", $B:$B, 0))</f>
        <v>&lt;span class="w"&gt;&lt;b&gt;【301.predict：～を予言する, ～を予測する】&lt;/b&gt;&lt;/span&gt;
&lt;span class="ml"&gt;ラテン語に由来する語で、以下の2つの要素から成る。
&lt;span class="spacer"&gt;&lt;/span&gt;prae（前に, 以前に）
dicere（言う）
&lt;span class="spacer"&gt;&lt;/span&gt;このまま日本語にすると「前に言う」となる。何かが起こる前に言うことから「予言する, 予測する」という意味になる。
&lt;div class="sample_image predict"&gt;&lt;/div&gt;&lt;/span&gt;</v>
      </c>
      <c r="S204" s="14" t="str">
        <f>INDEX($L:$L, MATCH("contradict", $B:$B, 0))</f>
        <v>&lt;span class="w"&gt;&lt;b&gt;【1412.contradict：〜と矛盾する, 〜と反対の意見を言う】&lt;/b&gt;&lt;/span&gt;
&lt;span class="ml"&gt;ラテン語に由来する語で、以下の2つの要素から成る。
&lt;span class="spacer"&gt;&lt;/span&gt;contra（〜に対して）
dicere（言う, 話す）
&lt;span class="spacer"&gt;&lt;/span&gt;相手に反対して話すことから「反対の意見を言う」という意味に、発言や事実と反対のことを言うことから「矛盾する」という意味になる。
&lt;div class="sample_image contradict"&gt;&lt;/div&gt;&lt;/span&gt;</v>
      </c>
      <c r="T204" s="14" t="str">
        <f>INDEX($L:$L, MATCH("index", $B:$B, 0))</f>
        <v>&lt;span class="w"&gt;&lt;b&gt;【1272.index：指し示すもの, 指数, 指標, 索引】&lt;/b&gt;&lt;/span&gt;
&lt;span class="ml"&gt;ラテン語に由来する語で、以下の2つの要素から成る。
&lt;span class="spacer"&gt;&lt;/span&gt;in（中に）
dicare（宣言する, 指し示す）
&lt;span class="spacer"&gt;&lt;/span&gt;この語の核は「ある方向に指をさして示し、何かを宣言すること」。この指をさすということから、ラテン語indexは人差し指という意味をもち、英語でも人差し指をindex fingerと呼ぶ。
&lt;span class="spacer"&gt;&lt;/span&gt;この何かを指し示すものという意味から、英語では当初、本の中で特定の情報が何ページに書かれているかを示す「索引」という意味で使われた。さらにそこから、経済やデータなどで、状態や傾向を客観的な数値で指し示す「指数, 指標」という意味にもなった。
例：BMI（Body Mass Index）＝肥満度を示す体格指数&lt;/span&gt;</v>
      </c>
      <c r="U204" s="14" t="str">
        <f>INDEX($L:$L, MATCH("judge", $B:$B, 0))</f>
        <v>&lt;span class="w"&gt;&lt;b&gt;【310.judge：～を判断する, 判決を下す】&lt;/b&gt;&lt;/span&gt;
&lt;span class="ml"&gt;ラテン語に由来する語で、以下の2つの要素から成る。
&lt;span class="spacer"&gt;&lt;/span&gt;ius（法）
dicere（宣言する, 示す）
&lt;span class="spacer"&gt;&lt;/span&gt;このまま日本語にすると「法を宣言する」となる。ここから法を宣言する人＝裁判官という意味を経て「判決を下す」という意味になる。また法とは関係なく、自分で考えて「判断する」となる。&lt;/span&gt;</v>
      </c>
      <c r="V204" s="14" t="str">
        <f>INDEX($L:$L, MATCH("prejudice", $B:$B, 0))</f>
        <v>&lt;span class="w"&gt;&lt;b&gt;【768.prejudice：偏見】&lt;/b&gt;&lt;/span&gt;
&lt;span class="ml"&gt;ラテン語に由来する語で、以下の2つの要素から成る。
&lt;span class="spacer"&gt;&lt;/span&gt;prae（前もって）
iudexから派生したiudicium（判断）
&lt;span class="spacer"&gt;&lt;/span&gt;このまま日本語にすると「前もって行われる判断」となる。そこから先入観となり、特に否定的な意味での「偏見」という意味になった。
&lt;span class="spacer"&gt;&lt;/span&gt;ラテン語iudexはjudgeの語源でもある。そのためprejudiceは、前もって（pre）行われるジャッジ（判断）というイメージで覚えればよい。&lt;/span&gt;</v>
      </c>
      <c r="AU204" s="15"/>
      <c r="AV204" s="1" t="s">
        <v>1502</v>
      </c>
      <c r="BG204" s="7" t="s">
        <v>1503</v>
      </c>
      <c r="BH204" s="1" t="s">
        <v>2034</v>
      </c>
      <c r="BI204" s="2" t="s">
        <v>2614</v>
      </c>
      <c r="BJ204" s="1" t="s">
        <v>1865</v>
      </c>
      <c r="BK204" s="2" t="s">
        <v>2615</v>
      </c>
    </row>
    <row r="205" spans="1:71" ht="198" x14ac:dyDescent="0.45">
      <c r="A205" s="5">
        <v>204</v>
      </c>
      <c r="B205" s="8" t="s">
        <v>148</v>
      </c>
      <c r="C205" s="6" t="s">
        <v>1816</v>
      </c>
      <c r="D205" s="7" t="s">
        <v>9752</v>
      </c>
      <c r="E205" s="1" t="s">
        <v>148</v>
      </c>
      <c r="F205" s="1"/>
      <c r="G205" s="1"/>
      <c r="J205" s="1" t="s">
        <v>9753</v>
      </c>
      <c r="K205" s="2" t="s">
        <v>7429</v>
      </c>
      <c r="L205" s="4" t="s">
        <v>8127</v>
      </c>
      <c r="P205" s="7" t="s">
        <v>1241</v>
      </c>
      <c r="Q205" s="14" t="str">
        <f>INDEX($L:$L, MATCH("manner", $B:$B, 0))</f>
        <v>&lt;span class="w"&gt;&lt;b&gt;【351.manner：作法, 方法】&lt;/b&gt;&lt;/span&gt;
&lt;span class="ml"&gt;ラテン語manus（手）に由来する。
&lt;span class="spacer"&gt;&lt;/span&gt;「手」というのは、何らかの作業や何かを扱うことと結びつきやすい。いまのような機械がなく、手作業・手仕事だったからである。
&lt;span class="spacer"&gt;&lt;/span&gt;こうした手作業においては、そのやり方や扱い方が固定化していく。ここから何かの「方法, 作法」という意味になる。&lt;/span&gt;</v>
      </c>
      <c r="R205" s="14" t="str">
        <f>INDEX($L:$L, MATCH("manual", $B:$B, 0))</f>
        <v>&lt;span class="w"&gt;&lt;b&gt;【889.manual：手（体）を使う, 手の, 手動の】&lt;/b&gt;&lt;/span&gt;
&lt;span class="ml"&gt;ラテン語に由来する語で、以下の2つの要素から成る。
&lt;span class="spacer"&gt;&lt;/span&gt;manus（手）
alis（形容詞化）
&lt;span class="spacer"&gt;&lt;/span&gt;このまま日本語にすると「手の, 手を使う, 手動の」という意味になる。&lt;/span&gt;</v>
      </c>
      <c r="S205" s="14" t="str">
        <f>INDEX($L:$L, MATCH("manufacture", $B:$B, 0))</f>
        <v>&lt;span class="w"&gt;&lt;b&gt;【536.manufacture：製造する, でっちあげる】&lt;/b&gt;&lt;/span&gt;
&lt;span class="ml"&gt;ラテン語に由来する語で、以下の2つの要素から成る。
&lt;span class="spacer"&gt;&lt;/span&gt;manus（手）
facere（作る, する）
&lt;span class="spacer"&gt;&lt;/span&gt;このまま日本語にすると「手で作る」となる。もともとは手作業で作ることを表したが、工業化が進む中で、手や機械をつかって「製造する」という意味になった。また人工的に作り出すことから発展して、「でっちあげる」という意味にもなった。&lt;/span&gt;</v>
      </c>
      <c r="T205" s="13" t="str">
        <f>INDEX($L:$L, MATCH("manipulate", $B:$B, 0))</f>
        <v>&lt;span class="w"&gt;&lt;b&gt;【1310.manipulate：〜を（巧みに）操る】&lt;/b&gt;&lt;/span&gt;
&lt;span class="ml"&gt;ラテン語に由来する語で、以下の2つの要素から成る。
&lt;span class="spacer"&gt;&lt;/span&gt;manus（手）
plere（満たす）
&lt;span class="spacer"&gt;&lt;/span&gt;このまま日本語にすると「手を満たす」となる。もともとは一握りでつかめる量を表し、薬の計量単位としても使われた。そこから何かを手で扱うということへと発展し、何かを巧みに「操る」という意味になった。
&lt;span class="spacer"&gt;&lt;/span&gt;このmani部分は、manual（手の, 取扱説明書, 手引書, 操作手順書）のmanuと同じで「手」を意味することを覚えておく。&lt;/span&gt;</v>
      </c>
      <c r="U205" s="13" t="str">
        <f>INDEX($L:$L, MATCH("command", $B:$B, 0))</f>
        <v>&lt;span class="w"&gt;&lt;b&gt;【808.command：〜を命じる, 〜を指揮する, （景色）を見渡せる】&lt;/b&gt;&lt;/span&gt;
&lt;span class="ml"&gt;ラテン語に由来する語で、以下の3つの要素から成る。
&lt;span class="spacer"&gt;&lt;/span&gt;com（強意）
manus（手）
dare（与える）
&lt;span class="spacer"&gt;&lt;/span&gt;このまま日本語にすると「しっかり手で与える」となる。もともとは何かを手渡すことや委ねることを表したが、そこから意味が強まって、権力をもって「命じる」という意味になった。また、命令によって他の人や物を動かすことから「指揮する」、軍事において指揮者が戦場全体を見渡すことから、一般的に「景色を見渡す」という意味にもなった。
&lt;div class="sample_image command"&gt;&lt;/div&gt;&lt;/span&gt;</v>
      </c>
      <c r="V205" s="13" t="str">
        <f>INDEX($L:$L, MATCH("maintain", $B:$B, 0))</f>
        <v>&lt;span class="w"&gt;&lt;b&gt;【206.maintain：～を維持する, ～を主張する】&lt;/b&gt;&lt;/span&gt;
&lt;span class="ml"&gt;ラテン語に由来する語で、以下の2つの要素から成る。
&lt;span class="spacer"&gt;&lt;/span&gt;manus（手）
tenere（保つ, 握る）
&lt;span class="spacer"&gt;&lt;/span&gt;このまま日本語にすると「手で保つ」となる。手を使って何かを支えるイメージから、状態が続くように支える＝「維持する」という意味になる。手ではなく発言で誰かを支えるとなれば「主張する」という意味になる。&lt;/span&gt;</v>
      </c>
      <c r="AU205" s="15"/>
      <c r="AV205" s="1" t="s">
        <v>1502</v>
      </c>
      <c r="BG205" s="7" t="s">
        <v>1503</v>
      </c>
      <c r="BH205" s="1" t="s">
        <v>2034</v>
      </c>
      <c r="BI205" s="2" t="s">
        <v>7430</v>
      </c>
      <c r="BJ205" s="1" t="s">
        <v>2616</v>
      </c>
      <c r="BK205" s="1" t="s">
        <v>2617</v>
      </c>
      <c r="BL205" s="1" t="s">
        <v>1504</v>
      </c>
      <c r="BM205" s="1" t="s">
        <v>2618</v>
      </c>
      <c r="BN205" s="1" t="s">
        <v>1865</v>
      </c>
      <c r="BO205" s="2" t="s">
        <v>2619</v>
      </c>
    </row>
    <row r="206" spans="1:71" ht="252" x14ac:dyDescent="0.45">
      <c r="A206" s="5">
        <v>205</v>
      </c>
      <c r="B206" s="8" t="s">
        <v>1387</v>
      </c>
      <c r="C206" s="6" t="s">
        <v>1816</v>
      </c>
      <c r="D206" s="7" t="s">
        <v>9752</v>
      </c>
      <c r="E206" s="1" t="s">
        <v>1395</v>
      </c>
      <c r="F206" s="1" t="s">
        <v>54</v>
      </c>
      <c r="G206" s="1"/>
      <c r="J206" s="1" t="s">
        <v>9753</v>
      </c>
      <c r="K206" s="2" t="s">
        <v>7431</v>
      </c>
      <c r="L206" s="3" t="s">
        <v>10646</v>
      </c>
      <c r="M206" s="1" t="s">
        <v>12117</v>
      </c>
      <c r="P206" s="7" t="s">
        <v>1241</v>
      </c>
      <c r="Q206" s="14" t="str">
        <f>INDEX($L:$L, MATCH("tend", $B:$B, 0))</f>
        <v>&lt;span class="w"&gt;&lt;b&gt;【16.tend：傾向がある】&lt;/b&gt;&lt;/span&gt;
&lt;span class="ml"&gt;ラテン語tendere（伸ばす, 引っ張る）に由来する。
&lt;span class="spacer"&gt;&lt;/span&gt;心や注意をある対象に向かって「伸ばす」というイメージから、ある対象の方へ向かいやすい＝「傾向がある」という意味になる。
&lt;span class="spacer"&gt;&lt;/span&gt;tend to do Aは、（他のことではなく）Aする方へ心や注意が伸びる＝「Aしがち, Aする傾向がある」という意味になる。&lt;/span&gt;</v>
      </c>
      <c r="R206" s="14" t="str">
        <f>INDEX($L:$L, MATCH("extend", $B:$B, 0))</f>
        <v>&lt;span class="w"&gt;&lt;b&gt;【339.extend：～を伸ばす, ～を延ばす】&lt;/b&gt;&lt;/span&gt;
&lt;span class="ml"&gt;ラテン語に由来する語で、以下の2つの要素から成る。
&lt;span class="spacer"&gt;&lt;/span&gt;ex（外に）
tendere（伸ばす）
&lt;span class="spacer"&gt;&lt;/span&gt;このまま日本語にすると「外に伸ばす」となる。ここから「伸ばす, 延ばす」という意味になる。&lt;/span&gt;</v>
      </c>
      <c r="S206" s="14" t="str">
        <f>INDEX($L:$L, MATCH("intend", $B:$B, 0))</f>
        <v>&lt;span class="w"&gt;&lt;b&gt;【432.intend：〜を意図する】&lt;/b&gt;&lt;/span&gt;
&lt;span class="ml"&gt;ラテン語に由来する語で、以下の2つの要素から成る。
&lt;span class="spacer"&gt;&lt;/span&gt;in（中に）
tendere（伸ばす）
&lt;span class="spacer"&gt;&lt;/span&gt;このまま日本語にすると「中に伸ばす」となる。これは、対象の中に心や注意を伸ばすイメージ。そこから、目的に心や注意を向ける＝「意図する」という意味になる。
&lt;div class="sample_image intend"&gt;&lt;/div&gt;&lt;/span&gt;</v>
      </c>
      <c r="T206" s="14" t="str">
        <f>INDEX($L:$L, MATCH("pretend", $B:$B, 0))</f>
        <v>&lt;span class="w"&gt;&lt;b&gt;【724.pretend：ふりをする】&lt;/b&gt;&lt;/span&gt;
&lt;span class="ml"&gt;ラテン語に由来する語で、以下の2つの要素から成る。
&lt;span class="spacer"&gt;&lt;/span&gt;prae（前に）
tendere（伸ばす）
&lt;span class="spacer"&gt;&lt;/span&gt;このまま日本語にすると「前に伸ばす」となる。この動きから、相手の前に何かを差し出す・提示するとなる。さらに自分の中にある真実や本心を隠すために、偽りの理由や態度を前に差し出す、つまり「〜のふりをする」という意味になった。
&lt;span class="spacer"&gt;&lt;/span&gt;pretend to do（〜するふりをする）
これはto do（〜する）を相手の前に出すけど、自分はそれを実際には行わないというイメージ。
&lt;div class="sample_image pretend"&gt;&lt;/div&gt;&lt;/span&gt;</v>
      </c>
      <c r="U206" s="14" t="str">
        <f>INDEX($L:$L, MATCH("tense", $B:$B, 0))</f>
        <v>&lt;span class="w"&gt;&lt;b&gt;【1187.tense：緊張した, 張り詰めた】&lt;/b&gt;&lt;/span&gt;
&lt;span class="ml"&gt;ラテン語tendere（伸ばす, 張る）に由来する。
&lt;span class="spacer"&gt;&lt;/span&gt;この語の核は「糸やロープが両端から引っ張られている状態」。この物理的な緊張から、心理的な緊張状態や状況の緊張状態にも広がって「張り詰めた, 緊張した」という意味になった。&lt;/span&gt;
&lt;div class="animation tense"&gt;&lt;/div&gt;</v>
      </c>
      <c r="V206" s="14" t="str">
        <f>INDEX($L:$L, MATCH("intense", $B:$B, 0))</f>
        <v>&lt;span class="w"&gt;&lt;b&gt;【691.intense：強烈な, 激しい】&lt;/b&gt;&lt;/span&gt;
&lt;span class="ml"&gt;ラテン語に由来する語で、以下の2つの要素から成る。
&lt;span class="spacer"&gt;&lt;/span&gt;in（方向）
tendere（伸ばす）
&lt;span class="spacer"&gt;&lt;/span&gt;このまま日本語にすると「ある方向へ伸ばす」となる。もともとは、物理的に弓や弦などが限界まで伸ばされた状態を表していた。
&lt;span class="spacer"&gt;&lt;/span&gt;ここから比喩的に程度を表す言葉へと変化し、限界まで張り詰めた状態から「強烈な, 激しい」という意味になった。
&lt;div class="sample_image intense"&gt;&lt;/div&gt;&lt;/span&gt;</v>
      </c>
      <c r="AU206" s="15"/>
      <c r="AV206" s="1" t="s">
        <v>1502</v>
      </c>
      <c r="BG206" s="7" t="s">
        <v>1503</v>
      </c>
      <c r="BH206" s="1" t="s">
        <v>2034</v>
      </c>
      <c r="BI206" s="2" t="s">
        <v>2620</v>
      </c>
      <c r="BJ206" s="1" t="s">
        <v>1504</v>
      </c>
      <c r="BK206" s="1" t="s">
        <v>2621</v>
      </c>
      <c r="BL206" s="1" t="s">
        <v>2044</v>
      </c>
      <c r="BM206" s="2" t="s">
        <v>7432</v>
      </c>
    </row>
    <row r="207" spans="1:71" ht="216" x14ac:dyDescent="0.45">
      <c r="A207" s="5">
        <v>206</v>
      </c>
      <c r="B207" s="8" t="s">
        <v>1388</v>
      </c>
      <c r="C207" s="6" t="s">
        <v>1816</v>
      </c>
      <c r="D207" s="7" t="s">
        <v>9752</v>
      </c>
      <c r="E207" s="1" t="s">
        <v>6577</v>
      </c>
      <c r="F207" s="1" t="s">
        <v>1332</v>
      </c>
      <c r="G207" s="1"/>
      <c r="J207" s="1" t="s">
        <v>9753</v>
      </c>
      <c r="K207" s="2" t="s">
        <v>7433</v>
      </c>
      <c r="L207" s="4" t="s">
        <v>8128</v>
      </c>
      <c r="M207" s="1" t="s">
        <v>12157</v>
      </c>
      <c r="P207" s="7" t="s">
        <v>1241</v>
      </c>
      <c r="Q207" s="14" t="str">
        <f>INDEX($L:$L, MATCH("obtain", $B:$B, 0))</f>
        <v>&lt;span class="w"&gt;&lt;b&gt;【507.obtain：〜を得る】&lt;/b&gt;&lt;/span&gt;
&lt;span class="ml"&gt;ラテン語に由来する語で、以下の2つの要素から成る。
&lt;span class="spacer"&gt;&lt;/span&gt;ob（強意）
tenere（保つ）
&lt;span class="spacer"&gt;&lt;/span&gt;この語の核は「しっかり保つ」。ここから、何かをしっかりつかみとってそれを離さない、つまり努力して何かを「得る」という意味になる。
&lt;div class="sample_image obtain"&gt;&lt;/div&gt;&lt;/span&gt;</v>
      </c>
      <c r="R207" s="14" t="str">
        <f>INDEX($L:$L, MATCH("sustain", $B:$B, 0))</f>
        <v>&lt;span class="w"&gt;&lt;b&gt;【738.sustain：〜を持続させる】&lt;/b&gt;&lt;/span&gt;
&lt;span class="ml"&gt;ラテン語に由来する語で、以下の2つの要素から成る。
&lt;span class="spacer"&gt;&lt;/span&gt;sub（下から）
tenere（保つ, 保持する）
&lt;span class="spacer"&gt;&lt;/span&gt;このまま日本語にすると「下から保つ」となる。下から支えるイメージから、何かを「持続させる」という意味になる。
&lt;div class="sample_image sustain"&gt;&lt;/div&gt;&lt;/span&gt;</v>
      </c>
      <c r="S207" s="14" t="str">
        <f>INDEX($L:$L, MATCH("retain", $B:$B, 0))</f>
        <v>&lt;span class="w"&gt;&lt;b&gt;【916.retain：〜を保持する】&lt;/b&gt;&lt;/span&gt;
&lt;span class="ml"&gt;ラテン語に由来する語で、以下の2つの要素から成る。
&lt;span class="spacer"&gt;&lt;/span&gt;re（後ろに）
tenere（つかむ）
&lt;span class="spacer"&gt;&lt;/span&gt;このまま日本語にすると「つかんで後ろに」となる。何かを後ろ方向につかんで引き止めるイメージから、なくならないように留めておく、つまり何かを「保持する」という意味になる。
&lt;div class="sample_image retain"&gt;&lt;/div&gt;&lt;/span&gt;</v>
      </c>
      <c r="T207" s="14" t="str">
        <f>INDEX($L:$L, MATCH("entertain", $B:$B, 0))</f>
        <v>&lt;span class="w"&gt;&lt;b&gt;【919.entertain：〜を楽しませる, 〜をもてなす】&lt;/b&gt;&lt;/span&gt;
&lt;span class="ml"&gt;古フランス語に由来する語で、以下の2つの要素から成る。
&lt;span class="spacer"&gt;&lt;/span&gt;entre（間に）
tenir（保つ）
&lt;span class="spacer"&gt;&lt;/span&gt;この語の核は「自分と相手の間にある関係や状態を保つ」。良好な関係に保つために、客人を「もてなす」や相手を「楽しませる」という意味になる。&lt;/span&gt;</v>
      </c>
      <c r="U207" s="14" t="str">
        <f>INDEX($L:$L, MATCH("contain", $B:$B, 0))</f>
        <v>&lt;span class="w"&gt;&lt;b&gt;【130.contain：〜を含む, 感情などを抑える】&lt;/b&gt;&lt;/span&gt;
&lt;span class="ml"&gt;ラテン語に由来する語で、以下の2つの要素から成る。
&lt;span class="spacer"&gt;&lt;/span&gt;com（共に）
tenere（保持する）
&lt;span class="spacer"&gt;&lt;/span&gt;このまま日本語にすると「共に保持する」となる。ある状態や物を一緒にまとめて保っておくイメージ。ここから感情を自分の内側にまとめて保つ＝「感情などを抑える」、物を何かの中にまとめて保つ＝「含む」という意味になる。&lt;/span&gt;</v>
      </c>
      <c r="V207" s="13" t="str">
        <f>INDEX($L:$L, MATCH("content", $B:$B, 0))</f>
        <v>&lt;span class="w"&gt;&lt;b&gt;【249.content：内容. 中身, コンテンツ】&lt;/b&gt;&lt;/span&gt;
&lt;span class="ml"&gt;ラテン語に由来する語で、以下の2つの要素から成る。
&lt;span class="spacer"&gt;&lt;/span&gt;com（共に）
tenere（保つ, 握る）
&lt;span class="spacer"&gt;&lt;/span&gt;このまま日本語にすると「共に保つ」となる。内側にまとめて保たれているものから「内容, 中身, コンテンツ」という意味になる。
&lt;span class="spacer"&gt;&lt;/span&gt;contain（含む）の名詞と考えればよい。&lt;/span&gt;</v>
      </c>
      <c r="W207" s="13" t="str">
        <f>INDEX($L:$L, MATCH("manage", $B:$B, 0))</f>
        <v>&lt;span class="w"&gt;&lt;b&gt;【204.manage：～をなんとか成し遂げる, ～を管理する, （to do）なんとかやっていく】&lt;/b&gt;&lt;/span&gt;
&lt;span class="ml"&gt;ラテン語manus（手）に由来する。
&lt;span class="spacer"&gt;&lt;/span&gt;何かを手で扱うことからコントロールする＝「管理する」という意味になる。
&lt;span class="spacer"&gt;&lt;/span&gt;またなんとか管理して事を運ぶことから「なんとかやっていく」、その結果「なんとか成し遂げる」という意味になる（manage to do）。&lt;/span&gt;</v>
      </c>
      <c r="X207" s="13" t="str">
        <f>INDEX($L:$L, MATCH("manner", $B:$B, 0))</f>
        <v>&lt;span class="w"&gt;&lt;b&gt;【351.manner：作法, 方法】&lt;/b&gt;&lt;/span&gt;
&lt;span class="ml"&gt;ラテン語manus（手）に由来する。
&lt;span class="spacer"&gt;&lt;/span&gt;「手」というのは、何らかの作業や何かを扱うことと結びつきやすい。いまのような機械がなく、手作業・手仕事だったからである。
&lt;span class="spacer"&gt;&lt;/span&gt;こうした手作業においては、そのやり方や扱い方が固定化していく。ここから何かの「方法, 作法」という意味になる。&lt;/span&gt;</v>
      </c>
      <c r="Y207" s="13" t="str">
        <f>INDEX($L:$L, MATCH("manual", $B:$B, 0))</f>
        <v>&lt;span class="w"&gt;&lt;b&gt;【889.manual：手（体）を使う, 手の, 手動の】&lt;/b&gt;&lt;/span&gt;
&lt;span class="ml"&gt;ラテン語に由来する語で、以下の2つの要素から成る。
&lt;span class="spacer"&gt;&lt;/span&gt;manus（手）
alis（形容詞化）
&lt;span class="spacer"&gt;&lt;/span&gt;このまま日本語にすると「手の, 手を使う, 手動の」という意味になる。&lt;/span&gt;</v>
      </c>
      <c r="Z207" s="13" t="str">
        <f>INDEX($L:$L, MATCH("manufacture", $B:$B, 0))</f>
        <v>&lt;span class="w"&gt;&lt;b&gt;【536.manufacture：製造する, でっちあげる】&lt;/b&gt;&lt;/span&gt;
&lt;span class="ml"&gt;ラテン語に由来する語で、以下の2つの要素から成る。
&lt;span class="spacer"&gt;&lt;/span&gt;manus（手）
facere（作る, する）
&lt;span class="spacer"&gt;&lt;/span&gt;このまま日本語にすると「手で作る」となる。もともとは手作業で作ることを表したが、工業化が進む中で、手や機械をつかって「製造する」という意味になった。また人工的に作り出すことから発展して、「でっちあげる」という意味にもなった。&lt;/span&gt;</v>
      </c>
      <c r="AA207" s="13" t="str">
        <f>INDEX($L:$L, MATCH("manipulate", $B:$B, 0))</f>
        <v>&lt;span class="w"&gt;&lt;b&gt;【1310.manipulate：〜を（巧みに）操る】&lt;/b&gt;&lt;/span&gt;
&lt;span class="ml"&gt;ラテン語に由来する語で、以下の2つの要素から成る。
&lt;span class="spacer"&gt;&lt;/span&gt;manus（手）
plere（満たす）
&lt;span class="spacer"&gt;&lt;/span&gt;このまま日本語にすると「手を満たす」となる。もともとは一握りでつかめる量を表し、薬の計量単位としても使われた。そこから何かを手で扱うということへと発展し、何かを巧みに「操る」という意味になった。
&lt;span class="spacer"&gt;&lt;/span&gt;このmani部分は、manual（手の, 取扱説明書, 手引書, 操作手順書）のmanuと同じで「手」を意味することを覚えておく。&lt;/span&gt;</v>
      </c>
      <c r="AB207" s="13" t="str">
        <f>INDEX($L:$L, MATCH("command", $B:$B, 0))</f>
        <v>&lt;span class="w"&gt;&lt;b&gt;【808.command：〜を命じる, 〜を指揮する, （景色）を見渡せる】&lt;/b&gt;&lt;/span&gt;
&lt;span class="ml"&gt;ラテン語に由来する語で、以下の3つの要素から成る。
&lt;span class="spacer"&gt;&lt;/span&gt;com（強意）
manus（手）
dare（与える）
&lt;span class="spacer"&gt;&lt;/span&gt;このまま日本語にすると「しっかり手で与える」となる。もともとは何かを手渡すことや委ねることを表したが、そこから意味が強まって、権力をもって「命じる」という意味になった。また、命令によって他の人や物を動かすことから「指揮する」、軍事において指揮者が戦場全体を見渡すことから、一般的に「景色を見渡す」という意味にもなった。
&lt;div class="sample_image command"&gt;&lt;/div&gt;&lt;/span&gt;</v>
      </c>
      <c r="AU207" s="15"/>
      <c r="AV207" s="1" t="s">
        <v>1502</v>
      </c>
      <c r="BG207" s="7" t="s">
        <v>1503</v>
      </c>
      <c r="BH207" s="1" t="s">
        <v>2034</v>
      </c>
      <c r="BI207" s="2" t="s">
        <v>2622</v>
      </c>
      <c r="BJ207" s="1" t="s">
        <v>1504</v>
      </c>
      <c r="BK207" s="1" t="s">
        <v>2623</v>
      </c>
      <c r="BL207" s="1" t="s">
        <v>2321</v>
      </c>
      <c r="BM207" s="1" t="s">
        <v>2624</v>
      </c>
      <c r="BN207" s="1" t="s">
        <v>2044</v>
      </c>
      <c r="BO207" s="2" t="s">
        <v>2625</v>
      </c>
    </row>
    <row r="208" spans="1:71" ht="270" x14ac:dyDescent="0.45">
      <c r="A208" s="5">
        <v>207</v>
      </c>
      <c r="B208" s="8" t="s">
        <v>149</v>
      </c>
      <c r="C208" s="6" t="s">
        <v>1816</v>
      </c>
      <c r="D208" s="7" t="s">
        <v>9752</v>
      </c>
      <c r="E208" s="1" t="s">
        <v>1341</v>
      </c>
      <c r="F208" s="1" t="s">
        <v>1389</v>
      </c>
      <c r="G208" s="1"/>
      <c r="J208" s="1" t="s">
        <v>9753</v>
      </c>
      <c r="K208" s="2" t="s">
        <v>7434</v>
      </c>
      <c r="L208" s="3" t="s">
        <v>8129</v>
      </c>
      <c r="M208" s="1" t="s">
        <v>12133</v>
      </c>
      <c r="P208" s="7" t="s">
        <v>1241</v>
      </c>
      <c r="Q208" s="14" t="str">
        <f>INDEX($L:$L, MATCH("view", $B:$B, 0))</f>
        <v>&lt;span class="w"&gt;&lt;b&gt;【54.view：眺め, 見解】&lt;/b&gt;&lt;/span&gt;
&lt;span class="ml"&gt;ラテン語videre（見る）に由来する。
&lt;span class="spacer"&gt;&lt;/span&gt;見るという動詞から「眺め」という名詞になった。また視覚的に見えるものから発展して「見解, 考え」という意味になる。
&lt;span class="spacer"&gt;&lt;/span&gt;日本語でも考え方や思考力が独特な人に対して「見ている世界が違う」と表現することがあるように、視覚と思考は密接に結びついている。
&lt;span class="spacer"&gt;&lt;/span&gt;印欧祖語*weid-（見る）から生まれた語は、おおむね視覚系の意味と思考系の意味に分かれる。
&lt;span class="spacer"&gt;&lt;/span&gt;視覚系：video, visit, vision, evidence
&lt;span class="spacer"&gt;&lt;/span&gt;思考系：wise, wisdom, wit, advice
&lt;span class="spacer"&gt;&lt;/span&gt;しかし完全にどちらかに分かれるわけではく、viewのように視覚系の意味「眺め」と、思考系の意味「見解」を持つことがある。
&lt;span class="spacer"&gt;&lt;/span&gt;視覚と思考が結びついていることは、see（見る）とI see（なるほど, 理解）からもわかる。&lt;/span&gt;</v>
      </c>
      <c r="R208" s="14" t="str">
        <f>INDEX($L:$L, MATCH("review", $B:$B, 0))</f>
        <v>&lt;span class="w"&gt;&lt;b&gt;【454.review：論評, 復習】&lt;/b&gt;&lt;/span&gt;
&lt;span class="ml"&gt;ラテン語に由来する語で、以下の2つの要素から成る。
&lt;span class="spacer"&gt;&lt;/span&gt;re（再び）
videre（見る）
&lt;span class="spacer"&gt;&lt;/span&gt;このまま日本語にすると「再び見る」となる。15世紀半ばには、軍事において、訓練を繰り返し見てその有効性を評価することを表した。そこから書籍や何かを評価すること＝「論評」という意味になる。
&lt;span class="spacer"&gt;&lt;/span&gt;また過去を繰り返し振り返ることから「復習」という意味にもなる。&lt;/span&gt;</v>
      </c>
      <c r="S208" s="14" t="str">
        <f>INDEX($L:$L, MATCH("advise", $B:$B, 0))</f>
        <v>&lt;span class="w"&gt;&lt;b&gt;【620.advise：〜に/を助言（忠告）する】&lt;/b&gt;&lt;/span&gt;
&lt;span class="ml"&gt;ラテン語videre（見る）から派生した名詞visum（見解）に由来する。
&lt;span class="spacer"&gt;&lt;/span&gt;「見る」ことから「見解」という思考系の意味に派生することは、seeとI see.（なるほど）の関係からわかる。見ることと知ることは密接に結びついている。
&lt;span class="spacer"&gt;&lt;/span&gt;「見解」から自分の見解を出すという行為になって、「助言する, 忠告する」という意味になった。&lt;/span&gt;</v>
      </c>
      <c r="T208" s="14" t="str">
        <f>INDEX($L:$L, MATCH("revise", $B:$B, 0))</f>
        <v>&lt;span class="w"&gt;&lt;b&gt;【1231.revise：〜を修正する, 〜を改訂する】&lt;/b&gt;&lt;/span&gt;
&lt;span class="ml"&gt;ラテン語に由来する語で、以下の2つの要素から成る。
&lt;span class="spacer"&gt;&lt;/span&gt;re（再び）
videre（見る）
&lt;span class="spacer"&gt;&lt;/span&gt;このまま日本語にすると「再び見る」となる。一度出来上がったものを見直し、間違いを直したりアップデートしたりすることから「改訂する, 修正する」という意味になる。
&lt;div class="sample_image revise"&gt;&lt;/div&gt;&lt;/span&gt;</v>
      </c>
      <c r="U208" s="14" t="str">
        <f>INDEX($L:$L, MATCH("visible", $B:$B, 0))</f>
        <v>&lt;span class="w"&gt;&lt;b&gt;【593.visible：目に見える】&lt;/b&gt;&lt;/span&gt;
&lt;span class="ml"&gt;ラテン語に由来する語で、以下の2つの要素から成る。
&lt;span class="spacer"&gt;&lt;/span&gt;videre（見る）
bilis（できる）
&lt;span class="spacer"&gt;&lt;/span&gt;このまま日本語にすると「見ることができる」つまり「目に見える」という意味になる。&lt;/span&gt;</v>
      </c>
      <c r="V208" s="14" t="str">
        <f>INDEX($L:$L, MATCH("visual", $B:$B, 0))</f>
        <v>&lt;span class="w"&gt;&lt;b&gt;【393.visual：視覚の, 目に見える】&lt;/b&gt;&lt;/span&gt;
&lt;span class="ml"&gt;ラテン語に由来する語で、以下の2つの要素から成る。
&lt;span class="spacer"&gt;&lt;/span&gt;videre（見る）
alis（形容詞化）
&lt;span class="spacer"&gt;&lt;/span&gt;見るという視覚に関する形容詞となり、「視覚の, 目に見える」という意味になる。&lt;/span&gt;</v>
      </c>
      <c r="W208" s="13" t="str">
        <f>INDEX($L:$L, MATCH("evidence", $B:$B, 0))</f>
        <v>&lt;span class="w"&gt;&lt;b&gt;【74.evidence：証拠】&lt;/b&gt;&lt;/span&gt;
&lt;span class="ml"&gt;ラテン語に由来する語で、以下の2つの要素から成る。
&lt;span class="spacer"&gt;&lt;/span&gt;ex（外へ）
videre（見る）
&lt;span class="spacer"&gt;&lt;/span&gt;このまま日本語にすると「外に見える」となる。つまり隠れているのではなく「はっきり目に見える」というイメージ。ここからはっきり見える物＝明らかな物＝「証拠」という意味になる。
&lt;span class="spacer"&gt;&lt;/span&gt;「はっきり目に見える」というイメージを持っておくと、形容詞evidentが「明らかな」という意味になることも理解できる。&lt;/span&gt;</v>
      </c>
      <c r="AU208" s="15"/>
      <c r="AV208" s="1" t="s">
        <v>1502</v>
      </c>
      <c r="BG208" s="7" t="s">
        <v>1503</v>
      </c>
      <c r="BH208" s="1" t="s">
        <v>2034</v>
      </c>
      <c r="BI208" s="2" t="s">
        <v>2626</v>
      </c>
      <c r="BJ208" s="1" t="s">
        <v>2048</v>
      </c>
      <c r="BK208" s="1" t="s">
        <v>2627</v>
      </c>
      <c r="BL208" s="1" t="s">
        <v>1504</v>
      </c>
      <c r="BM208" s="1" t="s">
        <v>2628</v>
      </c>
      <c r="BN208" s="1" t="s">
        <v>2321</v>
      </c>
      <c r="BO208" s="1" t="s">
        <v>2629</v>
      </c>
      <c r="BP208" s="1" t="s">
        <v>2044</v>
      </c>
      <c r="BQ208" s="2" t="s">
        <v>2630</v>
      </c>
      <c r="BR208" s="1" t="s">
        <v>1865</v>
      </c>
      <c r="BS208" s="2" t="s">
        <v>2631</v>
      </c>
    </row>
    <row r="209" spans="1:67" ht="126" x14ac:dyDescent="0.45">
      <c r="A209" s="5">
        <v>208</v>
      </c>
      <c r="B209" s="8" t="s">
        <v>150</v>
      </c>
      <c r="C209" s="6" t="s">
        <v>1816</v>
      </c>
      <c r="D209" s="7" t="s">
        <v>9752</v>
      </c>
      <c r="E209" s="1" t="s">
        <v>1251</v>
      </c>
      <c r="F209" s="1" t="s">
        <v>1390</v>
      </c>
      <c r="G209" s="1"/>
      <c r="J209" s="1" t="s">
        <v>9753</v>
      </c>
      <c r="K209" s="2" t="s">
        <v>7435</v>
      </c>
      <c r="L209" s="9" t="s">
        <v>8130</v>
      </c>
      <c r="P209" s="7" t="s">
        <v>1241</v>
      </c>
      <c r="AU209" s="15"/>
      <c r="AV209" s="1" t="s">
        <v>1502</v>
      </c>
      <c r="BG209" s="7" t="s">
        <v>1503</v>
      </c>
      <c r="BH209" s="1" t="s">
        <v>1865</v>
      </c>
      <c r="BI209" s="2" t="s">
        <v>2632</v>
      </c>
    </row>
    <row r="210" spans="1:67" ht="126" x14ac:dyDescent="0.45">
      <c r="A210" s="5">
        <v>209</v>
      </c>
      <c r="B210" s="8" t="s">
        <v>151</v>
      </c>
      <c r="C210" s="6" t="s">
        <v>1816</v>
      </c>
      <c r="D210" s="7" t="s">
        <v>9752</v>
      </c>
      <c r="E210" s="1" t="s">
        <v>151</v>
      </c>
      <c r="F210" s="1"/>
      <c r="G210" s="1"/>
      <c r="J210" s="1" t="s">
        <v>9753</v>
      </c>
      <c r="K210" s="2" t="s">
        <v>7436</v>
      </c>
      <c r="L210" s="9" t="s">
        <v>10356</v>
      </c>
      <c r="P210" s="7" t="s">
        <v>1241</v>
      </c>
      <c r="AU210" s="15"/>
      <c r="AV210" s="1" t="s">
        <v>1502</v>
      </c>
      <c r="BG210" s="7" t="s">
        <v>1503</v>
      </c>
      <c r="BH210" s="1" t="s">
        <v>2034</v>
      </c>
      <c r="BI210" s="2" t="s">
        <v>4493</v>
      </c>
      <c r="BJ210" s="1" t="s">
        <v>2044</v>
      </c>
      <c r="BK210" s="2" t="s">
        <v>7437</v>
      </c>
    </row>
    <row r="211" spans="1:67" ht="198" x14ac:dyDescent="0.45">
      <c r="A211" s="5">
        <v>210</v>
      </c>
      <c r="B211" s="8" t="s">
        <v>152</v>
      </c>
      <c r="C211" s="6" t="s">
        <v>1816</v>
      </c>
      <c r="D211" s="7" t="s">
        <v>9752</v>
      </c>
      <c r="E211" s="1" t="s">
        <v>46</v>
      </c>
      <c r="F211" s="1" t="s">
        <v>1391</v>
      </c>
      <c r="G211" s="1"/>
      <c r="J211" s="1" t="s">
        <v>9753</v>
      </c>
      <c r="K211" s="2" t="s">
        <v>7438</v>
      </c>
      <c r="L211" s="3" t="s">
        <v>8131</v>
      </c>
      <c r="M211" s="1" t="s">
        <v>12113</v>
      </c>
      <c r="P211" s="7" t="s">
        <v>1241</v>
      </c>
      <c r="Q211" s="14" t="str">
        <f>INDEX($L:$L, MATCH("produce", $B:$B, 0))</f>
        <v>&lt;span class="w"&gt;&lt;b&gt;【10.produce：～を生産する】&lt;/b&gt;&lt;/span&gt;
&lt;span class="ml"&gt;ラテン語に由来する語で、以下の2つの要素からなる。
&lt;span class="spacer"&gt;&lt;/span&gt;pro（前に）
decere（導く）
&lt;span class="spacer"&gt;&lt;/span&gt;このまま日本語にすると「前に導く」となる。目の前にないものを相手の前に導き出すというイメージから「何かを生産する」という意味になる。&lt;/span&gt;</v>
      </c>
      <c r="R211" s="14" t="str">
        <f>INDEX($L:$L, MATCH("reduce", $B:$B, 0))</f>
        <v>&lt;span class="w"&gt;&lt;b&gt;【20.reduce：～を減らす】&lt;/b&gt;&lt;/span&gt;
&lt;span class="ml"&gt;ラテン語に由来する語で、以下の2つの要素から成る。
&lt;span class="spacer"&gt;&lt;/span&gt;re（元へ, 後ろへ）
ducere（導く）
&lt;span class="spacer"&gt;&lt;/span&gt;このまま日本語にすると「後ろに導く」となる。現状から後ろに下がる、つまりマイナスになるイメージから「減らす」という意味になる。&lt;/span&gt;</v>
      </c>
      <c r="S211" s="14" t="str">
        <f>INDEX($L:$L, MATCH("induce", $B:$B, 0))</f>
        <v>&lt;span class="w"&gt;&lt;b&gt;【1405.induce：〜を引き起こす, 〜を説得する】&lt;/b&gt;&lt;/span&gt;
&lt;span class="ml"&gt;ラテン語に由来する語で、以下の2つの要素から成る。
&lt;span class="spacer"&gt;&lt;/span&gt;in（中に）
ducere（導く）
&lt;span class="spacer"&gt;&lt;/span&gt;このまま日本語にすると「中に導く」となる。特定の考えや行動の中へと人を導くことから「説得する」という意味に、特定の状態へと事態を導くことから「引き起こす」という意味になる。
&lt;div class="sample_image induce"&gt;&lt;/div&gt;&lt;/span&gt;</v>
      </c>
      <c r="T211" s="14" t="str">
        <f>INDEX($L:$L, MATCH("reproduce", $B:$B, 0))</f>
        <v>&lt;span class="w"&gt;&lt;b&gt;【917.reproduce：〜を複製する, 〜を繁殖させる】&lt;/b&gt;&lt;/span&gt;
&lt;span class="ml"&gt;近代英語に由来する語で、以下の2つの要素から成る。
&lt;span class="spacer"&gt;&lt;/span&gt;re（再び）
produce（生産する） 
&lt;span class="spacer"&gt;&lt;/span&gt;このまま日本語にすると「再び生産する」となる。既に存在するオリジナルをもとに再び生産することから、何かを「複製する」という意味になる。また生物学においては、遺伝子を複製して「繁殖させる」という意味になる。&lt;/span&gt;</v>
      </c>
      <c r="U211" s="14" t="str">
        <f>INDEX($L:$L, MATCH("educate", $B:$B, 0))</f>
        <v>&lt;span class="w"&gt;&lt;b&gt;【403.educate：〜を教育する】&lt;/b&gt;&lt;/span&gt;
&lt;span class="ml"&gt;ラテン語に由来する語で、以下の2つの要素から成る。
&lt;span class="spacer"&gt;&lt;/span&gt;ex（外に）
ducere（導く）
&lt;span class="spacer"&gt;&lt;/span&gt;このまま日本語にすると「外へ導く」となる。これはもともと内側にあるものを外へ引き出すイメージから、知能や能力を引き出して成長させることを表し、「教育する」という意味になる。&lt;/span&gt;</v>
      </c>
      <c r="AU211" s="15"/>
      <c r="AV211" s="1" t="s">
        <v>1502</v>
      </c>
      <c r="BG211" s="7" t="s">
        <v>1503</v>
      </c>
      <c r="BH211" s="1" t="s">
        <v>2034</v>
      </c>
      <c r="BI211" s="2" t="s">
        <v>2633</v>
      </c>
      <c r="BJ211" s="1" t="s">
        <v>2044</v>
      </c>
      <c r="BK211" s="2" t="s">
        <v>2634</v>
      </c>
      <c r="BL211" s="1" t="s">
        <v>1865</v>
      </c>
      <c r="BM211" s="2" t="s">
        <v>2635</v>
      </c>
    </row>
    <row r="212" spans="1:67" ht="126" x14ac:dyDescent="0.45">
      <c r="A212" s="5">
        <v>211</v>
      </c>
      <c r="B212" s="8" t="s">
        <v>1576</v>
      </c>
      <c r="C212" s="6" t="s">
        <v>1816</v>
      </c>
      <c r="D212" s="7" t="s">
        <v>9752</v>
      </c>
      <c r="E212" s="1" t="s">
        <v>1392</v>
      </c>
      <c r="F212" s="1" t="s">
        <v>1393</v>
      </c>
      <c r="G212" s="1"/>
      <c r="J212" s="1" t="s">
        <v>9753</v>
      </c>
      <c r="K212" s="2" t="s">
        <v>7439</v>
      </c>
      <c r="L212" s="9" t="s">
        <v>8132</v>
      </c>
      <c r="P212" s="7" t="s">
        <v>1241</v>
      </c>
      <c r="AU212" s="15"/>
      <c r="AV212" s="1" t="s">
        <v>1502</v>
      </c>
      <c r="BG212" s="7" t="s">
        <v>1503</v>
      </c>
      <c r="BH212" s="1" t="s">
        <v>2034</v>
      </c>
      <c r="BI212" s="2" t="s">
        <v>2636</v>
      </c>
      <c r="BJ212" s="1" t="s">
        <v>1504</v>
      </c>
      <c r="BK212" s="1" t="s">
        <v>2637</v>
      </c>
      <c r="BL212" s="1" t="s">
        <v>2044</v>
      </c>
      <c r="BM212" s="2" t="s">
        <v>2638</v>
      </c>
    </row>
    <row r="213" spans="1:67" ht="108" x14ac:dyDescent="0.45">
      <c r="A213" s="5">
        <v>212</v>
      </c>
      <c r="B213" s="8" t="s">
        <v>1394</v>
      </c>
      <c r="C213" s="6" t="s">
        <v>1816</v>
      </c>
      <c r="D213" s="7" t="s">
        <v>9752</v>
      </c>
      <c r="E213" s="1" t="s">
        <v>1395</v>
      </c>
      <c r="F213" s="1" t="s">
        <v>955</v>
      </c>
      <c r="G213" s="1"/>
      <c r="J213" s="1" t="s">
        <v>9753</v>
      </c>
      <c r="K213" s="2"/>
      <c r="L213" s="9" t="s">
        <v>8133</v>
      </c>
      <c r="P213" s="7" t="s">
        <v>1241</v>
      </c>
      <c r="Q213" s="13" t="str">
        <f>INDEX($L:$L, MATCH("tempt", $B:$B, 0))</f>
        <v>&lt;span class="w"&gt;&lt;b&gt;【1217.tempt：誘惑する, 〜を･･･する気にさせる】&lt;/b&gt;&lt;/span&gt;
&lt;span class="ml"&gt;ラテン語temptare（触れる, 試す）に由来する。
&lt;span class="spacer"&gt;&lt;/span&gt;もともとは、物理的に触れてみて試すことを表した。これは、暗闇の中で手探りで壁を触って確認したり、物の硬さを指で押して確かめたりするようなイメージ。
&lt;span class="spacer"&gt;&lt;/span&gt;やがてキリスト教の概念と結びつき、宗教的な文脈において、神や悪魔が人の信仰心を試すという意味へと発展する。
&lt;span class="spacer"&gt;&lt;/span&gt;そこから、人が罪や悪へ屈するかを試すために悪へと誘うことへと変化し、さらに一般的に、対象を何かの方へ「誘惑する」や「対象を…する気にさせる」という意味になった。
&lt;span class="spacer"&gt;&lt;/span&gt;tempt 人 to do（人を〜する気にさせる）
S be tempted to do（〜したくなる）
&lt;div class="sample_image tempt"&gt;&lt;/div&gt;&lt;/span&gt;</v>
      </c>
      <c r="AU213" s="15"/>
      <c r="AV213" s="1" t="s">
        <v>1502</v>
      </c>
      <c r="BG213" s="7" t="s">
        <v>1503</v>
      </c>
      <c r="BH213" s="1" t="s">
        <v>2034</v>
      </c>
      <c r="BI213" s="2" t="s">
        <v>2639</v>
      </c>
      <c r="BJ213" s="1" t="s">
        <v>1504</v>
      </c>
      <c r="BK213" s="1" t="s">
        <v>2640</v>
      </c>
      <c r="BL213" s="1" t="s">
        <v>2044</v>
      </c>
      <c r="BM213" s="2" t="s">
        <v>2641</v>
      </c>
    </row>
    <row r="214" spans="1:67" ht="198" x14ac:dyDescent="0.45">
      <c r="A214" s="5">
        <v>213</v>
      </c>
      <c r="B214" s="8" t="s">
        <v>1396</v>
      </c>
      <c r="C214" s="6" t="s">
        <v>1816</v>
      </c>
      <c r="D214" s="7" t="s">
        <v>9752</v>
      </c>
      <c r="E214" s="1" t="s">
        <v>31</v>
      </c>
      <c r="F214" s="1" t="s">
        <v>4127</v>
      </c>
      <c r="G214" s="1"/>
      <c r="J214" s="1" t="s">
        <v>9753</v>
      </c>
      <c r="K214" s="2" t="s">
        <v>7440</v>
      </c>
      <c r="L214" s="4" t="s">
        <v>8134</v>
      </c>
      <c r="M214" s="1" t="s">
        <v>12166</v>
      </c>
      <c r="P214" s="7" t="s">
        <v>1241</v>
      </c>
      <c r="Q214" s="14" t="str">
        <f>INDEX($L:$L, MATCH("motion", $B:$B, 0))</f>
        <v>&lt;span class="w"&gt;&lt;b&gt;【565.motion：動き, 運動】&lt;/b&gt;&lt;/span&gt;
&lt;span class="ml"&gt;ラテン語に由来する語で、以下の2つの要素から成る。
&lt;span class="spacer"&gt;&lt;/span&gt;movere（動かす）
io（名詞化）
&lt;span class="spacer"&gt;&lt;/span&gt;このまま日本語にすると「動かすこと」となり、そのまま「動き, 運動」という意味になる。&lt;/span&gt;</v>
      </c>
      <c r="R214" s="14" t="str">
        <f>INDEX($L:$L, MATCH("emotion", $B:$B, 0))</f>
        <v>&lt;span class="w"&gt;&lt;b&gt;【153.emotion：感情, 情動】&lt;/b&gt;&lt;/span&gt;
&lt;span class="ml"&gt;ラテン語に由来する語で、以下の2つの要素から成る。
&lt;span class="spacer"&gt;&lt;/span&gt;ex（外に）
movere（動かす：moveの語源）
&lt;span class="spacer"&gt;&lt;/span&gt;このまま日本語にすると「外に動かす」となる。外に動く＝揺れ動くというイメージから心が揺れ動く＝「感情, 情動」となる。&lt;/span&gt;</v>
      </c>
      <c r="S214" s="14" t="str">
        <f>INDEX($L:$L, MATCH("remove", $B:$B, 0))</f>
        <v>&lt;span class="w"&gt;&lt;b&gt;【234.remove：～を取り除く, ～を解雇する】&lt;/b&gt;&lt;/span&gt;
&lt;span class="ml"&gt;ラテン語に由来する語で、以下の2つの要素から成る。
&lt;span class="spacer"&gt;&lt;/span&gt;re（後ろへ）
movere（動かす：moveの語源）
&lt;span class="spacer"&gt;&lt;/span&gt;このまま日本語にすると「後ろへ動かす」となる。いまある場所から後ろに引っ込めて視界から外すイメージから「取り除く, 解雇する」という意味になる。&lt;/span&gt;</v>
      </c>
      <c r="T214" s="14" t="str">
        <f>INDEX($L:$L, MATCH("remote", $B:$B, 0))</f>
        <v>&lt;span class="w"&gt;&lt;b&gt;【682.remote：遠く離れた】&lt;/b&gt;&lt;/span&gt;
&lt;span class="ml"&gt;ラテン語に由来する語で、以下の2つの要素から成る。
&lt;span class="spacer"&gt;&lt;/span&gt;re（後ろへ）
movere（動かす）
&lt;span class="spacer"&gt;&lt;/span&gt;このまま日本語にすると「後ろへ動かす, 遠ざける」となる。ここから「遠く離れた」という意味になった。&lt;/span&gt;</v>
      </c>
      <c r="U214" s="14" t="str">
        <f>INDEX($L:$L, MATCH("mobile", $B:$B, 0))</f>
        <v>&lt;span class="w"&gt;&lt;b&gt;【195.mobile：可動式の, 動かせる】&lt;/b&gt;&lt;/span&gt;
&lt;span class="ml"&gt;ラテン語に由来する語で、以下の2つの要素から成る。
&lt;span class="spacer"&gt;&lt;/span&gt;movere（動かす：moveの語源）
bilis（〜できる）
&lt;span class="spacer"&gt;&lt;/span&gt;ラテン語から意味の変化はほとんどない。&lt;/span&gt;</v>
      </c>
      <c r="V214" s="14" t="str">
        <f>INDEX($L:$L, MATCH("motor", $B:$B, 0))</f>
        <v>&lt;span class="w"&gt;&lt;b&gt;【748.motor：モーター, 原動力】&lt;/b&gt;&lt;/span&gt;
&lt;span class="ml"&gt;ラテン語に由来する語で、以下の2つの要素から成る。
&lt;span class="spacer"&gt;&lt;/span&gt;movere（動かす）
or（〜するもの）
&lt;span class="spacer"&gt;&lt;/span&gt;このまま日本語にすると「動かすもの」つまり「原動力, モーター」という意味になる。&lt;/span&gt;</v>
      </c>
      <c r="W214" s="14" t="str">
        <f>INDEX($L:$L, MATCH("motive", $B:$B, 0))</f>
        <v>&lt;span class="w"&gt;&lt;b&gt;【1274.motive：動機】&lt;/b&gt;&lt;/span&gt;
&lt;span class="ml"&gt;ラテン語に由来する語で、以下の2つの要素から成る。
&lt;span class="spacer"&gt;&lt;/span&gt;movere（動かす）
ivus（形容詞化）
&lt;span class="spacer"&gt;&lt;/span&gt;何かを動かす、駆り立てるという形容詞が名詞となり、人を行動へと動かすもの＝「動機」という意味になった。&lt;/span&gt;</v>
      </c>
      <c r="AU214" s="15"/>
      <c r="AV214" s="1" t="s">
        <v>1502</v>
      </c>
      <c r="BG214" s="7" t="s">
        <v>1503</v>
      </c>
      <c r="BH214" s="1" t="s">
        <v>2034</v>
      </c>
      <c r="BI214" s="2" t="s">
        <v>2642</v>
      </c>
      <c r="BJ214" s="1" t="s">
        <v>1504</v>
      </c>
      <c r="BK214" s="1" t="s">
        <v>2643</v>
      </c>
      <c r="BL214" s="1" t="s">
        <v>2044</v>
      </c>
      <c r="BM214" s="2" t="s">
        <v>2644</v>
      </c>
    </row>
    <row r="215" spans="1:67" ht="90" x14ac:dyDescent="0.45">
      <c r="A215" s="5">
        <v>214</v>
      </c>
      <c r="B215" s="8" t="s">
        <v>153</v>
      </c>
      <c r="C215" s="6" t="s">
        <v>1816</v>
      </c>
      <c r="D215" s="7" t="s">
        <v>9752</v>
      </c>
      <c r="E215" s="1" t="s">
        <v>153</v>
      </c>
      <c r="F215" s="1"/>
      <c r="G215" s="1"/>
      <c r="J215" s="1" t="s">
        <v>9753</v>
      </c>
      <c r="K215" s="2"/>
      <c r="L215" s="9" t="s">
        <v>8135</v>
      </c>
      <c r="P215" s="7" t="s">
        <v>1241</v>
      </c>
      <c r="AV215" s="1" t="s">
        <v>1502</v>
      </c>
      <c r="BG215" s="7" t="s">
        <v>1503</v>
      </c>
      <c r="BH215" s="1" t="s">
        <v>2569</v>
      </c>
      <c r="BI215" s="1" t="s">
        <v>2645</v>
      </c>
      <c r="BJ215" s="1" t="s">
        <v>2646</v>
      </c>
      <c r="BK215" s="1" t="s">
        <v>2647</v>
      </c>
      <c r="BL215" s="1" t="s">
        <v>2648</v>
      </c>
      <c r="BM215" s="1" t="s">
        <v>7441</v>
      </c>
    </row>
    <row r="216" spans="1:67" ht="180" x14ac:dyDescent="0.45">
      <c r="A216" s="5">
        <v>215</v>
      </c>
      <c r="B216" s="8" t="s">
        <v>1577</v>
      </c>
      <c r="C216" s="6" t="s">
        <v>1816</v>
      </c>
      <c r="D216" s="7" t="s">
        <v>9752</v>
      </c>
      <c r="E216" s="1" t="s">
        <v>154</v>
      </c>
      <c r="F216" s="1"/>
      <c r="G216" s="1"/>
      <c r="J216" s="1" t="s">
        <v>9753</v>
      </c>
      <c r="K216" s="2" t="s">
        <v>7442</v>
      </c>
      <c r="L216" s="9" t="s">
        <v>8136</v>
      </c>
      <c r="P216" s="7" t="s">
        <v>1241</v>
      </c>
      <c r="AU216" s="15"/>
      <c r="AV216" s="1" t="s">
        <v>1502</v>
      </c>
      <c r="BG216" s="7" t="s">
        <v>1503</v>
      </c>
      <c r="BH216" s="1" t="s">
        <v>2034</v>
      </c>
      <c r="BI216" s="2" t="s">
        <v>2649</v>
      </c>
      <c r="BJ216" s="1" t="s">
        <v>2147</v>
      </c>
      <c r="BK216" s="2" t="s">
        <v>2650</v>
      </c>
      <c r="BL216" s="1" t="s">
        <v>2044</v>
      </c>
      <c r="BM216" s="2" t="s">
        <v>7443</v>
      </c>
      <c r="BN216" s="1" t="s">
        <v>1877</v>
      </c>
      <c r="BO216" s="2" t="s">
        <v>7444</v>
      </c>
    </row>
    <row r="217" spans="1:67" ht="90" x14ac:dyDescent="0.45">
      <c r="A217" s="5">
        <v>216</v>
      </c>
      <c r="B217" s="8" t="s">
        <v>155</v>
      </c>
      <c r="C217" s="6" t="s">
        <v>1816</v>
      </c>
      <c r="D217" s="7" t="s">
        <v>9752</v>
      </c>
      <c r="E217" s="1" t="s">
        <v>155</v>
      </c>
      <c r="F217" s="1"/>
      <c r="G217" s="1"/>
      <c r="J217" s="1" t="s">
        <v>9753</v>
      </c>
      <c r="K217" s="2" t="s">
        <v>7445</v>
      </c>
      <c r="L217" s="9" t="s">
        <v>8137</v>
      </c>
      <c r="P217" s="7" t="s">
        <v>1241</v>
      </c>
      <c r="Q217" s="13" t="str">
        <f>INDEX($L:$L, MATCH("foster", $B:$B, 0))</f>
        <v>&lt;span class="w"&gt;&lt;b&gt;【1022.foster：〜をはぐくむ, 〜を養育する】&lt;/b&gt;&lt;/span&gt;
&lt;span class="ml"&gt;古英語fostor（食物, 養育）にさかのぼる。&lt;span class="spacer"&gt;&lt;/span&gt;fosterはfood（食べ物）と同じ印欧祖語から生まれており、もともとは食べ物を与えて育てるという行為を表していた。そこから実の子だけではなく、血のつながっていない子を里親として「養育する」という意味へと発展した。さらに、食べ物を与えて育てることから比喩的に、心や考え、才能などを「育む」という意味にもなった。&lt;/span&gt;</v>
      </c>
      <c r="AV217" s="1" t="s">
        <v>1502</v>
      </c>
      <c r="BG217" s="7" t="s">
        <v>1503</v>
      </c>
      <c r="BH217" s="1" t="s">
        <v>2648</v>
      </c>
      <c r="BI217" s="1" t="s">
        <v>2651</v>
      </c>
      <c r="BJ217" s="1" t="s">
        <v>2044</v>
      </c>
      <c r="BK217" s="2" t="s">
        <v>2652</v>
      </c>
      <c r="BL217" s="1" t="s">
        <v>1865</v>
      </c>
      <c r="BM217" s="2" t="s">
        <v>2653</v>
      </c>
    </row>
    <row r="218" spans="1:67" ht="54" x14ac:dyDescent="0.45">
      <c r="A218" s="5">
        <v>217</v>
      </c>
      <c r="B218" s="8" t="s">
        <v>156</v>
      </c>
      <c r="C218" s="6" t="s">
        <v>1816</v>
      </c>
      <c r="D218" s="7" t="s">
        <v>9752</v>
      </c>
      <c r="E218" s="1" t="s">
        <v>156</v>
      </c>
      <c r="F218" s="1"/>
      <c r="G218" s="1"/>
      <c r="J218" s="1" t="s">
        <v>9753</v>
      </c>
      <c r="K218" s="2" t="s">
        <v>7446</v>
      </c>
      <c r="L218" s="9" t="s">
        <v>8138</v>
      </c>
      <c r="P218" s="7" t="s">
        <v>1241</v>
      </c>
      <c r="AV218" s="1" t="s">
        <v>1502</v>
      </c>
      <c r="BG218" s="7" t="s">
        <v>1503</v>
      </c>
      <c r="BH218" s="1" t="s">
        <v>2648</v>
      </c>
      <c r="BI218" s="1" t="s">
        <v>2654</v>
      </c>
      <c r="BJ218" s="1" t="s">
        <v>2044</v>
      </c>
      <c r="BK218" s="2" t="s">
        <v>2655</v>
      </c>
    </row>
    <row r="219" spans="1:67" ht="180" x14ac:dyDescent="0.45">
      <c r="A219" s="5">
        <v>218</v>
      </c>
      <c r="B219" s="8" t="s">
        <v>157</v>
      </c>
      <c r="C219" s="6" t="s">
        <v>1816</v>
      </c>
      <c r="D219" s="7" t="s">
        <v>9752</v>
      </c>
      <c r="E219" s="1" t="s">
        <v>1397</v>
      </c>
      <c r="F219" s="1" t="s">
        <v>1398</v>
      </c>
      <c r="G219" s="1"/>
      <c r="J219" s="1" t="s">
        <v>9753</v>
      </c>
      <c r="K219" s="2" t="s">
        <v>7447</v>
      </c>
      <c r="L219" s="3" t="s">
        <v>8139</v>
      </c>
      <c r="M219" s="1" t="s">
        <v>12176</v>
      </c>
      <c r="P219" s="7" t="s">
        <v>1241</v>
      </c>
      <c r="Q219" s="14" t="str">
        <f>INDEX($L:$L, MATCH("preserve", $B:$B, 0))</f>
        <v>&lt;span class="w"&gt;&lt;b&gt;【327.preserve：～を保存する, ～を保持する, ～を保護する】&lt;/b&gt;&lt;/span&gt;
&lt;span class="ml"&gt;ラテン語に由来する語で、以下の2つの要素から成る。
&lt;span class="spacer"&gt;&lt;/span&gt;prae（前もって）
servare（守る, 安全に保つ）
&lt;span class="spacer"&gt;&lt;/span&gt;このまま日本語にすると「前もって安全に保つ」となる。変化や劣化が起こる前に安全に保つということから「保存する, 保持する, 保護する」という意味になる。
&lt;div class="sample_image preserve"&gt;&lt;/div&gt;&lt;/span&gt;</v>
      </c>
      <c r="R219" s="14" t="str">
        <f>INDEX($L:$L, MATCH("reserve", $B:$B, 0))</f>
        <v>&lt;span class="w"&gt;&lt;b&gt;【617.reserve：〜を予約する, 〜を取っておく】&lt;/b&gt;&lt;/span&gt;
&lt;span class="ml"&gt;ラテン語に由来する語で、以下の2つの要素から成る。
&lt;span class="spacer"&gt;&lt;/span&gt;re（後ろへ）
servare（保つ, 守る）
&lt;span class="spacer"&gt;&lt;/span&gt;このまま日本語にすると「後ろへ保つ」となる。何かを後ろに置いて保っておくイメージから「取っておく, 予約する」という意味になる。
&lt;div class="sample_image reserve"&gt;&lt;/div&gt;&lt;/span&gt;</v>
      </c>
      <c r="S219" s="13" t="str">
        <f>INDEX($L:$L, MATCH("conservation", $B:$B, 0))</f>
        <v>&lt;span class="w"&gt;&lt;b&gt;【666.conservation：保護, 保存】&lt;/b&gt;&lt;/span&gt;
&lt;span class="ml"&gt;ラテン語に由来する語で、以下の2つの要素から成る。
&lt;span class="spacer"&gt;&lt;/span&gt;com（強意）
servare（見守る, 保つ）
&lt;span class="spacer"&gt;&lt;/span&gt;このまま日本語にすると「しっかり保つ」となる。そこから、資源や自然、動物などの減少・損失を防ぐこと、つまり「保護, 保存」という意味になる。&lt;/span&gt;</v>
      </c>
      <c r="AU219" s="15"/>
      <c r="AV219" s="1" t="s">
        <v>1502</v>
      </c>
      <c r="BG219" s="7" t="s">
        <v>1503</v>
      </c>
      <c r="BH219" s="1" t="s">
        <v>2034</v>
      </c>
      <c r="BI219" s="2" t="s">
        <v>7448</v>
      </c>
      <c r="BJ219" s="1" t="s">
        <v>1504</v>
      </c>
      <c r="BK219" s="1" t="s">
        <v>2656</v>
      </c>
      <c r="BL219" s="1" t="s">
        <v>2044</v>
      </c>
      <c r="BM219" s="2" t="s">
        <v>2657</v>
      </c>
      <c r="BN219" s="1" t="s">
        <v>1865</v>
      </c>
      <c r="BO219" s="2" t="s">
        <v>2658</v>
      </c>
    </row>
    <row r="220" spans="1:67" ht="144" x14ac:dyDescent="0.45">
      <c r="A220" s="5">
        <v>219</v>
      </c>
      <c r="B220" s="8" t="s">
        <v>158</v>
      </c>
      <c r="C220" s="6" t="s">
        <v>1816</v>
      </c>
      <c r="D220" s="7" t="s">
        <v>9752</v>
      </c>
      <c r="E220" s="1" t="s">
        <v>1251</v>
      </c>
      <c r="F220" s="1" t="s">
        <v>1406</v>
      </c>
      <c r="G220" s="1"/>
      <c r="J220" s="1" t="s">
        <v>9753</v>
      </c>
      <c r="K220" s="2" t="s">
        <v>7449</v>
      </c>
      <c r="L220" s="3" t="s">
        <v>8140</v>
      </c>
      <c r="P220" s="7" t="s">
        <v>1241</v>
      </c>
      <c r="AU220" s="15"/>
      <c r="AV220" s="1" t="s">
        <v>1502</v>
      </c>
      <c r="BG220" s="7" t="s">
        <v>1503</v>
      </c>
      <c r="BH220" s="1" t="s">
        <v>2034</v>
      </c>
      <c r="BI220" s="2" t="s">
        <v>7450</v>
      </c>
      <c r="BJ220" s="1" t="s">
        <v>1504</v>
      </c>
      <c r="BK220" s="1" t="s">
        <v>2659</v>
      </c>
      <c r="BL220" s="1" t="s">
        <v>2044</v>
      </c>
      <c r="BM220" s="2" t="s">
        <v>2660</v>
      </c>
    </row>
    <row r="221" spans="1:67" ht="108" x14ac:dyDescent="0.45">
      <c r="A221" s="5">
        <v>220</v>
      </c>
      <c r="B221" s="8" t="s">
        <v>159</v>
      </c>
      <c r="C221" s="6" t="s">
        <v>1816</v>
      </c>
      <c r="D221" s="7" t="s">
        <v>9752</v>
      </c>
      <c r="E221" s="1" t="s">
        <v>159</v>
      </c>
      <c r="F221" s="1"/>
      <c r="G221" s="1"/>
      <c r="J221" s="1" t="s">
        <v>9753</v>
      </c>
      <c r="K221" s="2" t="s">
        <v>7451</v>
      </c>
      <c r="L221" s="4" t="s">
        <v>8141</v>
      </c>
      <c r="M221" s="1" t="s">
        <v>12177</v>
      </c>
      <c r="P221" s="7" t="s">
        <v>1241</v>
      </c>
      <c r="Q221" s="14" t="str">
        <f>INDEX($L:$L, MATCH("esteem", $B:$B, 0))</f>
        <v>&lt;span class="w"&gt;&lt;b&gt;【1202.esteem：〜を尊敬する】&lt;/b&gt;&lt;/span&gt;
&lt;span class="ml"&gt;ラテン語aestimare（価値を定める, 評価する, 査定する）に由来する。
&lt;span class="spacer"&gt;&lt;/span&gt;当初はestimate（見積もる）と同じ意味だったが、そこから対象を高く評価することに特化して「尊敬する」という意味になった。&lt;/span&gt;</v>
      </c>
      <c r="R221" s="13" t="str">
        <f>INDEX($L:$L, MATCH("underestimate", $B:$B, 0))</f>
        <v>&lt;span class="w"&gt;&lt;b&gt;【1424.underestimate：〜を過小評価する】&lt;/b&gt;&lt;/span&gt;
&lt;span class="ml"&gt;近代英語にさかのぼり、以下の2つの要素から成る。
&lt;span class="spacer"&gt;&lt;/span&gt;under（下に）
estimate（見積もる）
&lt;span class="spacer"&gt;&lt;/span&gt;このまま日本語にすると「下に見積もる」すなわち「過小評価する」という意味になる。&lt;/span&gt;</v>
      </c>
      <c r="S221" s="13" t="str">
        <f>INDEX($L:$L, MATCH("aim", $B:$B, 0))</f>
        <v>&lt;span class="w"&gt;&lt;b&gt;【273.aim：狙い, 目的, 目標】&lt;/b&gt;&lt;/span&gt;
&lt;span class="ml"&gt;ラテン語aestimare（価値をつける）に由来する。
&lt;span class="spacer"&gt;&lt;/span&gt;「価値をつける」とは、計算して対象の価値を決定するということ。このAを計算してBを決めるという行為から、目的や目標達成までの計算をして計画を作る、的までの距離や角度などを計算して狙うといった意味に発展する。そしてこの行為が名詞となり「狙い, 目的, 目標」といった意味になる。
&lt;span class="spacer"&gt;&lt;/span&gt;ラテン語aestimare（価値をつける）は、estimate（見積もる）やesteem（尊敬する）の語源でもある。
&lt;span class="spacer"&gt;&lt;/span&gt;estimateは価値をつけるための「見積もり」
esteemは価値を高くつける「尊敬」&lt;/span&gt;</v>
      </c>
      <c r="AU221" s="15"/>
      <c r="AV221" s="1" t="s">
        <v>1502</v>
      </c>
      <c r="BG221" s="7" t="s">
        <v>1503</v>
      </c>
      <c r="BH221" s="1" t="s">
        <v>2034</v>
      </c>
      <c r="BI221" s="2" t="s">
        <v>2661</v>
      </c>
      <c r="BJ221" s="1" t="s">
        <v>1865</v>
      </c>
      <c r="BK221" s="2" t="s">
        <v>2662</v>
      </c>
    </row>
    <row r="222" spans="1:67" ht="180" x14ac:dyDescent="0.45">
      <c r="A222" s="5">
        <v>221</v>
      </c>
      <c r="B222" s="8" t="s">
        <v>160</v>
      </c>
      <c r="C222" s="6" t="s">
        <v>1816</v>
      </c>
      <c r="D222" s="7" t="s">
        <v>9752</v>
      </c>
      <c r="E222" s="1" t="s">
        <v>1251</v>
      </c>
      <c r="F222" s="1" t="s">
        <v>1407</v>
      </c>
      <c r="G222" s="1"/>
      <c r="J222" s="1" t="s">
        <v>9753</v>
      </c>
      <c r="K222" s="2" t="s">
        <v>7452</v>
      </c>
      <c r="L222" s="3" t="s">
        <v>8142</v>
      </c>
      <c r="P222" s="7" t="s">
        <v>1241</v>
      </c>
      <c r="Q222" s="13" t="str">
        <f>INDEX($L:$L, MATCH("flexible", $B:$B, 0))</f>
        <v>&lt;span class="w"&gt;&lt;b&gt;【590.flexible：融通のきく, 柔軟な】&lt;/b&gt;&lt;/span&gt;
&lt;span class="ml"&gt;ラテン語に由来する語で、以下の2つの要素から成る。
&lt;span class="spacer"&gt;&lt;/span&gt;flectere（曲げる）
bilis（できる）
&lt;span class="spacer"&gt;&lt;/span&gt;このまま日本語にすると「曲げることができる」となる。もともとは物理的に曲げられることだったが、それだけではなく思考や規則、予定などを状況に応じて曲げられるという意味にも広がった。ここから「柔軟な, 融通のきく」という意味になった。&lt;/span&gt;</v>
      </c>
      <c r="AU222" s="15"/>
      <c r="AV222" s="1" t="s">
        <v>1502</v>
      </c>
      <c r="BG222" s="7" t="s">
        <v>1503</v>
      </c>
      <c r="BH222" s="1" t="s">
        <v>2034</v>
      </c>
      <c r="BI222" s="2" t="s">
        <v>2663</v>
      </c>
      <c r="BJ222" s="1" t="s">
        <v>1504</v>
      </c>
      <c r="BK222" s="1" t="s">
        <v>2664</v>
      </c>
      <c r="BL222" s="1" t="s">
        <v>2044</v>
      </c>
      <c r="BM222" s="2" t="s">
        <v>2665</v>
      </c>
    </row>
    <row r="223" spans="1:67" ht="270" x14ac:dyDescent="0.45">
      <c r="A223" s="5">
        <v>222</v>
      </c>
      <c r="B223" s="8" t="s">
        <v>161</v>
      </c>
      <c r="C223" s="6" t="s">
        <v>1816</v>
      </c>
      <c r="D223" s="7" t="s">
        <v>9752</v>
      </c>
      <c r="E223" s="1" t="s">
        <v>1395</v>
      </c>
      <c r="F223" s="1" t="s">
        <v>1408</v>
      </c>
      <c r="G223" s="1"/>
      <c r="J223" s="1" t="s">
        <v>9753</v>
      </c>
      <c r="K223" s="2" t="s">
        <v>7453</v>
      </c>
      <c r="L223" s="4" t="s">
        <v>8143</v>
      </c>
      <c r="M223" s="1" t="s">
        <v>12178</v>
      </c>
      <c r="P223" s="7" t="s">
        <v>1241</v>
      </c>
      <c r="Q223" s="14" t="str">
        <f>INDEX($L:$L, MATCH("distract", $B:$B, 0))</f>
        <v>&lt;span class="w"&gt;&lt;b&gt;【1020.distract：（注意など）をそらす】&lt;/b&gt;&lt;/span&gt;
&lt;span class="ml"&gt;ラテン語に由来する語で、以下の2つの要素から成る。
&lt;span class="spacer"&gt;&lt;/span&gt;dis（離れて）
trahere（引く）
&lt;span class="spacer"&gt;&lt;/span&gt;このまま日本語にすると「離れたところへ引く」となる。人の心や注意を異なる方へ引っぱることから、心や注意を「そらす」という意味になる。
&lt;div class="sample_image distract"&gt;&lt;/div&gt;&lt;/span&gt;</v>
      </c>
      <c r="R223" s="14" t="str">
        <f>INDEX($L:$L, MATCH("extract", $B:$B, 0))</f>
        <v>&lt;span class="w"&gt;&lt;b&gt;【1138.extract：〜を取り出す, 〜を抽出する】&lt;/b&gt;&lt;/span&gt;
&lt;span class="ml"&gt;ラテン語に由来する語で、以下の2つの要素から成る。
&lt;span class="spacer"&gt;&lt;/span&gt;ex（外に）
trahere（引く）
&lt;span class="spacer"&gt;&lt;/span&gt;このまま日本語にすると「外に引く」となり、何かを「取り出す, 抽出する」という意味になる。&lt;/span&gt;</v>
      </c>
      <c r="S223" s="14" t="str">
        <f>INDEX($L:$L, MATCH("abstract", $B:$B, 0))</f>
        <v>&lt;span class="w"&gt;&lt;b&gt;【586.abstract：抽象的な】&lt;/b&gt;&lt;/span&gt;
&lt;span class="ml"&gt;ラテン語に由来する語で、以下の2つの要素から成る。
&lt;span class="spacer"&gt;&lt;/span&gt;ab（離れて）
trahere（引く）
&lt;span class="spacer"&gt;&lt;/span&gt;このまま日本語にすると「引き離す」となる。もともとは、物理的にある物質から特定のものを引き離すことを表した。&lt;span class="obsolete"&gt;現在でも動詞abstructは「抽出する」を意味する。&lt;/span&gt;
&lt;span class="spacer"&gt;&lt;/span&gt;そして物理的な動作から思考プロセスへと意味が広がる。目に見える具体的な事物（リンゴ、バナナ、イチゴなど）から、共通する性質や本質（＝果物という概念）だけを「引き離して頭の中で考える」ことを指すようになり、「抽象的な」という意味になった。
&lt;div class="sample_image abstract"&gt;&lt;/div&gt;&lt;/span&gt;</v>
      </c>
      <c r="T223" s="14" t="str">
        <f>INDEX($L:$L, MATCH("contract", $B:$B, 0))</f>
        <v>&lt;span class="w"&gt;&lt;b&gt;【577.contract：契約（書）】&lt;/b&gt;&lt;/span&gt;
&lt;span class="ml"&gt;ラテン語に由来する語で、以下の2つの要素から成る。
&lt;span class="spacer"&gt;&lt;/span&gt;con（共に）
trahere（引く）
&lt;span class="spacer"&gt;&lt;/span&gt;このまま日本語にすると「共に引く」となる。人と人が互いの条件や意見を引き寄せ合い、一つの合意点にまとめることから「契約（書）」という意味になる。
&lt;div class="sample_image contract"&gt;&lt;/div&gt;&lt;/span&gt;</v>
      </c>
      <c r="U223" s="15"/>
      <c r="V223" s="15"/>
      <c r="W223" s="15"/>
      <c r="X223" s="15"/>
      <c r="Y223" s="15"/>
      <c r="Z223" s="15"/>
      <c r="AU223" s="15"/>
      <c r="AV223" s="1" t="s">
        <v>1502</v>
      </c>
      <c r="BG223" s="7" t="s">
        <v>1503</v>
      </c>
      <c r="BH223" s="1" t="s">
        <v>2034</v>
      </c>
      <c r="BI223" s="2" t="s">
        <v>2666</v>
      </c>
      <c r="BJ223" s="1" t="s">
        <v>2044</v>
      </c>
      <c r="BK223" s="2" t="s">
        <v>2667</v>
      </c>
      <c r="BL223" s="1" t="s">
        <v>1865</v>
      </c>
      <c r="BM223" s="2" t="s">
        <v>2668</v>
      </c>
    </row>
    <row r="224" spans="1:67" ht="234" x14ac:dyDescent="0.45">
      <c r="A224" s="5">
        <v>223</v>
      </c>
      <c r="B224" s="8" t="s">
        <v>1399</v>
      </c>
      <c r="C224" s="6" t="s">
        <v>1816</v>
      </c>
      <c r="D224" s="7" t="s">
        <v>9752</v>
      </c>
      <c r="E224" s="1" t="s">
        <v>1327</v>
      </c>
      <c r="F224" s="1" t="s">
        <v>28</v>
      </c>
      <c r="G224" s="1"/>
      <c r="J224" s="1" t="s">
        <v>9753</v>
      </c>
      <c r="K224" s="1" t="s">
        <v>7454</v>
      </c>
      <c r="L224" s="4" t="s">
        <v>8144</v>
      </c>
      <c r="P224" s="7" t="s">
        <v>1241</v>
      </c>
      <c r="Q224" s="14" t="str">
        <f>INDEX($L:$L, MATCH("create", $B:$B, 0))</f>
        <v>&lt;span class="w"&gt;&lt;b&gt;【1.create：～を創造する, ～を引き起こす】&lt;/b&gt;&lt;/span&gt;
&lt;span class="ml"&gt;ラテン語creare（作る, 育てる, 生産する, 引き起こす）に由来する。
&lt;span class="spacer"&gt;&lt;/span&gt;ラテン語から意味の変化はほとんどなく、createは「何かを作り出す, 何かを引き起こす」という意味になる。&lt;/span&gt;</v>
      </c>
      <c r="R224" s="14" t="str">
        <f>INDEX($L:$L, MATCH("increase", $B:$B, 0))</f>
        <v>&lt;span class="w"&gt;&lt;b&gt;【2.increase：増加する, ～を増やす】&lt;/b&gt;&lt;/span&gt;
&lt;span class="ml"&gt;ラテン語に由来する語で、以下の2つの要素から成る。
&lt;span class="spacer"&gt;&lt;/span&gt;in（中に）
crescere（成長する）
&lt;span class="spacer"&gt;&lt;/span&gt;このまま日本語にすると「中に成長する」となる。これは木の芽（の内部）が膨らんで大きくなっていくことをイメージしてほしい。この成長して膨らんで大きくなっていくことから、大きさや数が膨れあがる＝「増加する, 増やす」という意味になる。
&lt;div class="sample_image increase"&gt;&lt;/div&gt;&lt;/span&gt;</v>
      </c>
      <c r="S224" s="14" t="str">
        <f>INDEX($L:$L, MATCH("cereal", $B:$B, 0))</f>
        <v>&lt;span class="w"&gt;&lt;b&gt;【1456.cereal：穀物, シリアル（穀物加工食品）】&lt;/b&gt;&lt;/span&gt;
&lt;span class="ml"&gt;ラテン語に由来する語で、以下の2つの要素から成る。
&lt;span class="spacer"&gt;&lt;/span&gt;Ceres（ローマ神話の農業や穀物の女神ケレス）
alis（形容詞化）
&lt;span class="spacer"&gt;&lt;/span&gt;もともとは、ローマ神話における農業や穀物の女神ケレスを表した。そこから「穀物」そのものや、穀物から作られる加工食品「シリアル」という意味になった。
&lt;div class="sample_image cereal"&gt;&lt;/div&gt;&lt;/span&gt;</v>
      </c>
      <c r="T224" s="14" t="str">
        <f>INDEX($L:$L, MATCH("concrete", $B:$B, 0))</f>
        <v>&lt;span class="w"&gt;&lt;b&gt;【783.concrete：具体的な】&lt;/b&gt;&lt;/span&gt;
&lt;span class="ml"&gt;ラテン語に由来する語で、以下の2つの要素から成る。
&lt;span class="spacer"&gt;&lt;/span&gt;con（共に）
crescere（成長する）
&lt;span class="spacer"&gt;&lt;/span&gt;このまま日本語にすると「共に成長する」となる。これは、複数のものが一緒に成長して固まるというイメージ。そこから、抽象的ではなく実体がある＝「具体的な」という意味になった。名詞のコンクリートもぎゅっと固まるイメージを表している。
&lt;div class="sample_image concrete"&gt;&lt;/div&gt;&lt;/span&gt;</v>
      </c>
      <c r="U224" s="14" t="str">
        <f>INDEX($L:$L, MATCH("recruit", $B:$B, 0))</f>
        <v>&lt;span class="w"&gt;&lt;b&gt;【1232.recruit：〜を募集する】&lt;/b&gt;&lt;/span&gt;
&lt;span class="ml"&gt;古フランス語に由来する語で、以下の2つの要素から成る。
&lt;span class="spacer"&gt;&lt;/span&gt;re（再び）
creistre（成長する）
&lt;span class="spacer"&gt;&lt;/span&gt;このまま日本語にすると「再び成長する」となる。もともとは軍事において、負傷したり亡くなったりして人員が減ってしまった部隊を再び成長させるために、新しい兵士を募集することを表した。そこから軍事に限らず一般的に、目的のために必要な人材を「募集する」という意味になった。&lt;/span&gt;</v>
      </c>
      <c r="AU224" s="15"/>
      <c r="AV224" s="1" t="s">
        <v>1502</v>
      </c>
      <c r="BG224" s="7" t="s">
        <v>1503</v>
      </c>
      <c r="BH224" s="1" t="s">
        <v>2034</v>
      </c>
      <c r="BI224" s="2" t="s">
        <v>2669</v>
      </c>
      <c r="BJ224" s="1" t="s">
        <v>1504</v>
      </c>
      <c r="BK224" s="1" t="s">
        <v>2670</v>
      </c>
      <c r="BL224" s="1" t="s">
        <v>2321</v>
      </c>
      <c r="BM224" s="1" t="s">
        <v>2671</v>
      </c>
      <c r="BN224" s="1" t="s">
        <v>2044</v>
      </c>
      <c r="BO224" s="2" t="s">
        <v>2672</v>
      </c>
    </row>
    <row r="225" spans="1:67" ht="270" x14ac:dyDescent="0.45">
      <c r="A225" s="5">
        <v>224</v>
      </c>
      <c r="B225" s="8" t="s">
        <v>1409</v>
      </c>
      <c r="C225" s="6" t="s">
        <v>1816</v>
      </c>
      <c r="D225" s="7" t="s">
        <v>9752</v>
      </c>
      <c r="E225" s="1" t="s">
        <v>5184</v>
      </c>
      <c r="F225" s="1" t="s">
        <v>8909</v>
      </c>
      <c r="G225" s="1"/>
      <c r="J225" s="1" t="s">
        <v>9753</v>
      </c>
      <c r="K225" s="2" t="s">
        <v>7455</v>
      </c>
      <c r="L225" s="4" t="s">
        <v>10424</v>
      </c>
      <c r="M225" s="1" t="s">
        <v>12136</v>
      </c>
      <c r="P225" s="7" t="s">
        <v>1241</v>
      </c>
      <c r="Q225" s="14" t="str">
        <f>INDEX($L:$L, MATCH("knowledge", $B:$B, 0))</f>
        <v>&lt;span class="w"&gt;&lt;b&gt;【58.knowledge：知識, 認識】&lt;/b&gt;&lt;/span&gt;
&lt;span class="ml"&gt;knowledgeは「knowの名詞」と覚えればよい。
&lt;span class="spacer"&gt;&lt;/span&gt;知っているという動詞から知っていること＝「知識, 認識」という名詞になる。&lt;/span&gt;</v>
      </c>
      <c r="R225" s="14" t="str">
        <f>INDEX($L:$L, MATCH("acknowledge", $B:$B, 0))</f>
        <v>&lt;span class="w"&gt;&lt;b&gt;【717.acknowledge：〜を認める】&lt;/b&gt;&lt;/span&gt;
&lt;span class="ml"&gt;以下の中英語の2語がひとつになってできた語。
&lt;span class="spacer"&gt;&lt;/span&gt;aknowen（知っていることを認める）
knowlechen（認める）
&lt;span class="spacer"&gt;&lt;/span&gt;この語は、対象を示すac（〜に）とknow（知っている）が合わさったと考えればよい。「何かに対して知っていると認める」というイメージで覚える。&lt;/span&gt;</v>
      </c>
      <c r="S225" s="14" t="str">
        <f>INDEX($L:$L, MATCH("unknown", $B:$B, 0))</f>
        <v>&lt;span class="w"&gt;&lt;b&gt;【492.unknown：不明の, 知られていない】&lt;/b&gt;&lt;/span&gt;
&lt;span class="ml"&gt;中英語にさかのぼり、以下の2つの要素から成る。
&lt;span class="spacer"&gt;&lt;/span&gt;un（否定）
knowの過去分詞known
&lt;span class="spacer"&gt;&lt;/span&gt;このまま「知られていない」という意味になる。&lt;/span&gt;</v>
      </c>
      <c r="T225" s="14" t="str">
        <f>INDEX($L:$L, MATCH("notice", $B:$B, 0))</f>
        <v>&lt;span class="w"&gt;&lt;b&gt;【101.notice：（動）～に気づく, （名）通知】&lt;/b&gt;&lt;/span&gt;
&lt;span class="ml"&gt;印欧祖語*gno-（知る）から生まれたラテン語(g)nōscere（知るようになる, 認識する）
&lt;span class="spacer"&gt;&lt;/span&gt;「知るようになる」から知られるきっかけである「通知, 知らせ」という名詞になる。そして知らせによって何かを認識するので、「気づく」という動詞になる。&lt;/span&gt;</v>
      </c>
      <c r="U225" s="14" t="str">
        <f>INDEX($L:$L, MATCH("notion", $B:$B, 0))</f>
        <v>&lt;span class="w"&gt;&lt;b&gt;【453.notion：概念, 考え】&lt;/b&gt;&lt;/span&gt;
&lt;span class="ml"&gt;ラテン語に由来する語で、以下の2つの要素から成る。
&lt;span class="spacer"&gt;&lt;/span&gt;noscere（知る）
io（名詞化）
&lt;span class="spacer"&gt;&lt;/span&gt;この語の核は「知られているもの」。ここから頭の中にある「考え, 概念」という意味になる。&lt;/span&gt;</v>
      </c>
      <c r="V225" s="14" t="str">
        <f>INDEX($L:$L, MATCH("noble", $B:$B, 0))</f>
        <v>&lt;span class="w"&gt;&lt;b&gt;【1184.noble：高貴な, 高潔な, 気高い】&lt;/b&gt;&lt;/span&gt;
&lt;span class="ml"&gt;ラテン語に由来する語で、以下の2つの要素から成る。
&lt;span class="spacer"&gt;&lt;/span&gt;gnoscere（知る）
bilis（できる）
&lt;span class="spacer"&gt;&lt;/span&gt;この語の核は「皆によく知られている＝知名度が高い」。当時の社会で、世間によく知られているということは身分が高い家、つまり貴族ということになる。そこから「高貴な」という意味になった。
&lt;span class="spacer"&gt;&lt;/span&gt;また高貴な人々にふさわしいとされる道徳心や立派な振る舞いから「高潔な, 気高い」という意味にもなった。
&lt;div class="sample_image noble"&gt;&lt;/div&gt;&lt;/span&gt;</v>
      </c>
      <c r="W225" s="14" t="str">
        <f>INDEX($L:$L, MATCH("cognitive", $B:$B, 0))</f>
        <v>&lt;span class="w"&gt;&lt;b&gt;【279.cognitive：認知の】&lt;/b&gt;&lt;/span&gt;
&lt;span class="ml"&gt;ラテン語に由来する語で、以下の2つの要素から成る。
&lt;span class="spacer"&gt;&lt;/span&gt;com（共に）
gnoscere（知る）
&lt;span class="obsolete"&gt;ive（形容詞化）は英語段階で付いた&lt;/span&gt;
&lt;span class="spacer"&gt;&lt;/span&gt;このまま日本語にすると「共に知る」となる。互いに認知することから「認知の」という意味になる。&lt;/span&gt;</v>
      </c>
      <c r="X225" s="14" t="str">
        <f>INDEX($L:$L, MATCH("recognize", $B:$B, 0))</f>
        <v>&lt;span class="w"&gt;&lt;b&gt;【106.recognize：～を認識する, ～を識別する】&lt;/b&gt;&lt;/span&gt;
&lt;span class="ml"&gt;ラテン語に由来する語で、以下の3つの要素から成る。
&lt;span class="spacer"&gt;&lt;/span&gt;re（再び）
com（強意）
gnoscere（知る）
&lt;span class="spacer"&gt;&lt;/span&gt;このまま日本語にすると「再びしっかり知る」となる。目の前の情報Aを既にある知識と照らし合わせ、情報Aは知識の中の情報Bと同一であると再び知る。つまり、情報Aは情報Bであると「識別する, 認識する」という意味になる。
&lt;div class="sample_image recognize"&gt;&lt;/div&gt;&lt;/span&gt;</v>
      </c>
      <c r="Y225" s="13" t="str">
        <f>INDEX($L:$L, MATCH("diagnose", $B:$B, 0))</f>
        <v>&lt;span class="w"&gt;&lt;b&gt;【1419.diagnose：診断する】&lt;/b&gt;&lt;/span&gt;
&lt;span class="ml"&gt;ギリシャ語に由来する語で、以下の2つの要素から成る。
&lt;span class="spacer"&gt;&lt;/span&gt;dia（間に）
gignōskein（学ぶ, 知るようになる）
&lt;span class="spacer"&gt;&lt;/span&gt;もともとは、様々な物事の間にある差異を知り、それぞれを区別する、識別することを表した。そこから医学において、症状を見分けて病名を特定することを意味するようになり、「診断する」という意味になった。
&lt;div class="sample_image diagnose"&gt;&lt;/div&gt;
&lt;span class="spacer"&gt;&lt;/span&gt;さらに現代では、医学に限らず、機械や技術、ビジネス、教育など様々な分野において「問題分析をする」という意味でも使われる。&lt;/span&gt;</v>
      </c>
      <c r="Z225" s="13" t="str">
        <f>INDEX($L:$L, MATCH("acquaintance", $B:$B, 0))</f>
        <v>&lt;span class="w"&gt;&lt;b&gt;【1257.acquaintance：知人, 面識, 知識】&lt;/b&gt;&lt;/span&gt;
&lt;span class="ml"&gt;ラテン語に由来する語で、以下の4つの要素から成る。
&lt;span class="spacer"&gt;&lt;/span&gt;ad（〜へ）
com（完全に）
gnoscere（知る）
&lt;span class="obsolete"&gt;ance（名詞化）はフランス語段階で付いた&lt;/span&gt;
&lt;span class="spacer"&gt;&lt;/span&gt;この語の核は「何かをしっかり知っていること」。そこから、ある分野に通じているという意味での「知識」や、相手と初対面ではなくて顔を見て知っているという「面識」、そして面識がある人、すなわち「知人」などの意味になる。
&lt;span class="spacer"&gt;&lt;/span&gt;acquaintanceというスペルはもとのラテン語から大きく変わってしまったが、印欧祖語*gno-（知る）そしてラテン語gnoscere（知る）から生まれた語。&lt;/span&gt;</v>
      </c>
      <c r="AU225" s="15"/>
      <c r="AV225" s="1" t="s">
        <v>1502</v>
      </c>
      <c r="BG225" s="7" t="s">
        <v>1503</v>
      </c>
      <c r="BH225" s="1" t="s">
        <v>2569</v>
      </c>
      <c r="BI225" s="2" t="s">
        <v>2284</v>
      </c>
      <c r="BJ225" s="1" t="s">
        <v>2034</v>
      </c>
      <c r="BK225" s="2" t="s">
        <v>2673</v>
      </c>
      <c r="BL225" s="1" t="s">
        <v>1504</v>
      </c>
      <c r="BM225" s="1" t="s">
        <v>2674</v>
      </c>
      <c r="BN225" s="1" t="s">
        <v>1865</v>
      </c>
      <c r="BO225" s="2" t="s">
        <v>2675</v>
      </c>
    </row>
    <row r="226" spans="1:67" ht="108" x14ac:dyDescent="0.45">
      <c r="A226" s="5">
        <v>225</v>
      </c>
      <c r="B226" s="8" t="s">
        <v>162</v>
      </c>
      <c r="C226" s="6" t="s">
        <v>1816</v>
      </c>
      <c r="D226" s="7" t="s">
        <v>9752</v>
      </c>
      <c r="E226" s="1" t="s">
        <v>162</v>
      </c>
      <c r="F226" s="1"/>
      <c r="G226" s="1"/>
      <c r="J226" s="1" t="s">
        <v>9753</v>
      </c>
      <c r="K226" s="2" t="s">
        <v>7456</v>
      </c>
      <c r="L226" s="9" t="s">
        <v>8145</v>
      </c>
      <c r="P226" s="7" t="s">
        <v>1241</v>
      </c>
      <c r="AV226" s="1" t="s">
        <v>1502</v>
      </c>
      <c r="BG226" s="7" t="s">
        <v>1503</v>
      </c>
      <c r="BH226" s="1" t="s">
        <v>2129</v>
      </c>
      <c r="BI226" s="1" t="s">
        <v>2676</v>
      </c>
      <c r="BJ226" s="1" t="s">
        <v>2044</v>
      </c>
      <c r="BK226" s="2" t="s">
        <v>2677</v>
      </c>
      <c r="BL226" s="1" t="s">
        <v>2419</v>
      </c>
      <c r="BM226" s="2" t="s">
        <v>2678</v>
      </c>
    </row>
    <row r="227" spans="1:67" ht="270" x14ac:dyDescent="0.45">
      <c r="A227" s="5">
        <v>226</v>
      </c>
      <c r="B227" s="8" t="s">
        <v>163</v>
      </c>
      <c r="C227" s="6" t="s">
        <v>1816</v>
      </c>
      <c r="D227" s="7" t="s">
        <v>9752</v>
      </c>
      <c r="E227" s="1" t="s">
        <v>1327</v>
      </c>
      <c r="F227" s="1" t="s">
        <v>1410</v>
      </c>
      <c r="G227" s="1"/>
      <c r="J227" s="1" t="s">
        <v>9753</v>
      </c>
      <c r="K227" s="2" t="s">
        <v>7457</v>
      </c>
      <c r="L227" s="3" t="s">
        <v>8146</v>
      </c>
      <c r="M227" s="1" t="s">
        <v>12173</v>
      </c>
      <c r="P227" s="7" t="s">
        <v>1241</v>
      </c>
      <c r="Q227" s="14" t="str">
        <f>INDEX($L:$L, MATCH("confine", $B:$B, 0))</f>
        <v>&lt;span class="w"&gt;&lt;b&gt;【1316.confine：〜を限定する, 〜を閉じ込める】&lt;/b&gt;&lt;/span&gt;
&lt;span class="ml"&gt;ラテン語に由来する語で、以下の2つの要素から成る。
&lt;span class="spacer"&gt;&lt;/span&gt;com（共に）
finis（終わり, 境界）
&lt;span class="spacer"&gt;&lt;/span&gt;もともとは、物理的に同じ境界を持っている、つまり隣り合っていることを表した。そこから境界を引いて、その中から出ないようにする行為へと発展して「閉じ込める, 限定する」という意味になった。
&lt;span class="spacer"&gt;&lt;/span&gt;confineのfine部分は、finishのfinやdefineのfineと同じ。
&lt;div class="sample_image confine"&gt;&lt;/div&gt;&lt;/span&gt;</v>
      </c>
      <c r="R227" s="14" t="str">
        <f>INDEX($L:$L, MATCH("refine", $B:$B, 0))</f>
        <v>&lt;span class="w"&gt;&lt;b&gt;【1438.refine：〜を洗練する, 〜を精製する】&lt;/b&gt;&lt;/span&gt;
&lt;span class="ml"&gt;近代英語にさかのぼり、以下の2つの要素から成る。
&lt;span class="spacer"&gt;&lt;/span&gt;re（再び）
fine（洗練させる, 精製する）
&lt;span class="spacer"&gt;&lt;/span&gt;このfineは、ラテン語finis（終わり）に由来する（finishと同じ）。この語の核は「何度も終わりを繰り返して完璧な状態へと仕上げる」。そこから金属などを限りなく純粋で完成されたものにする＝「精製する」という意味になる。
&lt;span class="spacer"&gt;&lt;/span&gt;またマナー・技術・計画・アイデアなどを完成されたものにする＝「洗練させる」という意味になる。
&lt;div class="sample_image refine"&gt;&lt;/div&gt;&lt;/span&gt;</v>
      </c>
      <c r="S227" s="13" t="str">
        <f>INDEX($L:$L, MATCH("infinite", $B:$B, 0))</f>
        <v>&lt;span class="w"&gt;&lt;b&gt;【1381.infinite：無限の, 無数の】&lt;/b&gt;&lt;/span&gt;
&lt;span class="ml"&gt;ラテン語に由来する語で、以下の2つの要素から成る。
&lt;span class="spacer"&gt;&lt;/span&gt;in（否定）
finis（終わり, 境界）
&lt;span class="spacer"&gt;&lt;/span&gt;この語の核は「終わりを示す境界線がない」。そこから「無限の, 無数の」という意味になる。
&lt;span class="spacer"&gt;&lt;/span&gt;infiniteのfin部分は、finishのfinと同じ。終わりを否定（in）していると覚えればよい。&lt;/span&gt;</v>
      </c>
      <c r="T227" s="13" t="str">
        <f>INDEX($L:$L, MATCH("financial", $B:$B, 0))</f>
        <v>&lt;span class="w"&gt;&lt;b&gt;【188.financial：財政の】&lt;/b&gt;&lt;/span&gt;
&lt;span class="ml"&gt;ラテン語fin（終わり）に由来する。
&lt;span class="spacer"&gt;&lt;/span&gt;financeやfinancialは、finis（終わり）が特に「支払いで決着をつける」という金銭的な意味と結びついて発展した語。そこから支払いなどの金銭管理を表すようになり「財政の」という意味になった。&lt;/span&gt;</v>
      </c>
      <c r="AU227" s="15"/>
      <c r="AV227" s="1" t="s">
        <v>1502</v>
      </c>
      <c r="BG227" s="7" t="s">
        <v>1503</v>
      </c>
      <c r="BH227" s="1" t="s">
        <v>2034</v>
      </c>
      <c r="BI227" s="2" t="s">
        <v>2679</v>
      </c>
      <c r="BJ227" s="1" t="s">
        <v>1980</v>
      </c>
      <c r="BK227" s="1" t="s">
        <v>2680</v>
      </c>
      <c r="BL227" s="1" t="s">
        <v>1504</v>
      </c>
      <c r="BM227" s="1" t="s">
        <v>2681</v>
      </c>
      <c r="BN227" s="1" t="s">
        <v>2044</v>
      </c>
      <c r="BO227" s="2" t="s">
        <v>2682</v>
      </c>
    </row>
    <row r="228" spans="1:67" ht="162" x14ac:dyDescent="0.45">
      <c r="A228" s="5">
        <v>227</v>
      </c>
      <c r="B228" s="8" t="s">
        <v>1411</v>
      </c>
      <c r="C228" s="6" t="s">
        <v>1816</v>
      </c>
      <c r="D228" s="7" t="s">
        <v>9752</v>
      </c>
      <c r="E228" s="1" t="s">
        <v>1459</v>
      </c>
      <c r="F228" s="1" t="s">
        <v>8910</v>
      </c>
      <c r="G228" s="1"/>
      <c r="J228" s="1" t="s">
        <v>9753</v>
      </c>
      <c r="K228" s="2" t="s">
        <v>7458</v>
      </c>
      <c r="L228" s="4" t="s">
        <v>8147</v>
      </c>
      <c r="P228" s="7" t="s">
        <v>1241</v>
      </c>
      <c r="Q228" s="22" t="str">
        <f>INDEX($L:$L, MATCH("attitude", $B:$B, 0))</f>
        <v>&lt;span class="w"&gt;&lt;b&gt;【172.attitude：態度, 心構え】&lt;/b&gt;&lt;/span&gt;
&lt;span class="ml"&gt;ラテン語に由来する語で、以下の2つの要素から成る。
&lt;span class="spacer"&gt;&lt;/span&gt;aptus（適切な）
tudo（名詞化）
&lt;span class="spacer"&gt;&lt;/span&gt;このまま日本語にすると「適切なこと」となる。これはもともと美術の専門用語で、絵や彫刻の人物の姿勢や位置が適切であることを表した。この専門的な意味から一般化して、何かに対する自分自身の姿勢＝「態度, 心構え」という意味になる。
&lt;div class="sample_image attitude"&gt;&lt;/div&gt;&lt;/span&gt;</v>
      </c>
      <c r="AU228" s="15"/>
      <c r="AV228" s="1" t="s">
        <v>1502</v>
      </c>
      <c r="BG228" s="7" t="s">
        <v>1503</v>
      </c>
      <c r="BH228" s="1" t="s">
        <v>2034</v>
      </c>
      <c r="BI228" s="2" t="s">
        <v>2683</v>
      </c>
      <c r="BJ228" s="1" t="s">
        <v>1504</v>
      </c>
      <c r="BK228" s="1" t="s">
        <v>2684</v>
      </c>
      <c r="BL228" s="1" t="s">
        <v>2044</v>
      </c>
      <c r="BM228" s="2" t="s">
        <v>2685</v>
      </c>
    </row>
    <row r="229" spans="1:67" ht="198" x14ac:dyDescent="0.45">
      <c r="A229" s="5">
        <v>228</v>
      </c>
      <c r="B229" s="8" t="s">
        <v>164</v>
      </c>
      <c r="C229" s="6" t="s">
        <v>1816</v>
      </c>
      <c r="D229" s="7" t="s">
        <v>9752</v>
      </c>
      <c r="E229" s="1" t="s">
        <v>46</v>
      </c>
      <c r="F229" s="1" t="s">
        <v>1412</v>
      </c>
      <c r="G229" s="1"/>
      <c r="J229" s="1" t="s">
        <v>9753</v>
      </c>
      <c r="K229" s="2" t="s">
        <v>7459</v>
      </c>
      <c r="L229" s="3" t="s">
        <v>8148</v>
      </c>
      <c r="M229" s="1" t="s">
        <v>12179</v>
      </c>
      <c r="P229" s="7" t="s">
        <v>1241</v>
      </c>
      <c r="Q229" s="14" t="str">
        <f>INDEX($L:$L, MATCH("tribe", $B:$B, 0))</f>
        <v>&lt;span class="w"&gt;&lt;b&gt;【473.tribe：部族, 仲間】&lt;/b&gt;&lt;/span&gt;
&lt;span class="ml"&gt;ラテン語tribus（古代ローマの3つの政治的・民族的区分）に由来する。
&lt;span class="spacer"&gt;&lt;/span&gt;ラテン語tribusは、初期のローマ社会を構成する、ラムネス・ティテス・ルケレスという3つの政治的・民族的区分を表した。
&lt;span class="spacer"&gt;&lt;/span&gt;&lt;span class="obsolete"&gt;ラテン語tribusのtriは「3」を意味する。これは英語のtriple（トリプル）やtriangle（トライアングル）にも見られる。&lt;/span&gt;
&lt;span class="spacer"&gt;&lt;/span&gt;中英語では、キリスト教における古代ヘブライ人の12部族を表すようになる。ここから首長がまとめる同族の集団である「部族」という意味になった。&lt;/span&gt;</v>
      </c>
      <c r="R229" s="13" t="str">
        <f>INDEX($L:$L, MATCH("attribute", $B:$B, 0))</f>
        <v>&lt;span class="w"&gt;&lt;b&gt;【723.attribute：Aを（Bに）帰する】&lt;/b&gt;&lt;/span&gt;
&lt;span class="ml"&gt;ラテン語に由来する語で、以下の2つの要素から成る。
&lt;span class="spacer"&gt;&lt;/span&gt;ad（〜へ）
tribus（部族）から派生したtribuere（割り当てる）
&lt;span class="spacer"&gt;&lt;/span&gt;このまま日本語にすると「〜へ割り当てる」となる。①はこの部族に、②はこの部族に…というように、何かを特定の部族に割り当てることから、比喩的に、この成功は〜に、この失敗は〜に、というように結果や性質を何かに「帰する」という意味になった。
&lt;div class="sample_image attribute"&gt;&lt;/div&gt;&lt;/span&gt;</v>
      </c>
      <c r="S229" s="13" t="str">
        <f>INDEX($L:$L, MATCH("distribute", $B:$B, 0))</f>
        <v>&lt;span class="w"&gt;&lt;b&gt;【807.distribute：〜を分配する】&lt;/b&gt;&lt;/span&gt;
&lt;span class="ml"&gt;ラテン語に由来する語で、以下の2つの要素から成る。
&lt;span class="spacer"&gt;&lt;/span&gt;dis（分けて）
tribus（部族）から派生したtribuere（割り当てる）
&lt;span class="spacer"&gt;&lt;/span&gt;このまま日本語にすると「分けて与える」つまり「分配する」という意味になる。
&lt;span class="spacer"&gt;&lt;/span&gt;tribute部分は、tribe（部族）に割り当てることが核。①は部族Aに、②は部族Bに…という形で与えるイメージ。
&lt;div class="sample_image distribute"&gt;&lt;/div&gt;&lt;/span&gt;</v>
      </c>
      <c r="AU229" s="15"/>
      <c r="AV229" s="1" t="s">
        <v>1502</v>
      </c>
      <c r="BG229" s="7" t="s">
        <v>1503</v>
      </c>
      <c r="BH229" s="1" t="s">
        <v>2034</v>
      </c>
      <c r="BI229" s="2" t="s">
        <v>4562</v>
      </c>
      <c r="BJ229" s="1" t="s">
        <v>1865</v>
      </c>
      <c r="BK229" s="2" t="s">
        <v>2686</v>
      </c>
    </row>
    <row r="230" spans="1:67" ht="126" x14ac:dyDescent="0.45">
      <c r="A230" s="5">
        <v>229</v>
      </c>
      <c r="B230" s="8" t="s">
        <v>165</v>
      </c>
      <c r="C230" s="6" t="s">
        <v>1816</v>
      </c>
      <c r="D230" s="7" t="s">
        <v>9752</v>
      </c>
      <c r="E230" s="1" t="s">
        <v>1413</v>
      </c>
      <c r="F230" s="1" t="s">
        <v>1414</v>
      </c>
      <c r="G230" s="1"/>
      <c r="J230" s="1" t="s">
        <v>9753</v>
      </c>
      <c r="K230" s="2" t="s">
        <v>7460</v>
      </c>
      <c r="L230" s="9" t="s">
        <v>10454</v>
      </c>
      <c r="P230" s="7" t="s">
        <v>1241</v>
      </c>
      <c r="AU230" s="15"/>
      <c r="AV230" s="1" t="s">
        <v>1502</v>
      </c>
      <c r="BG230" s="7" t="s">
        <v>1503</v>
      </c>
      <c r="BH230" s="1" t="s">
        <v>2687</v>
      </c>
      <c r="BI230" s="2" t="s">
        <v>2688</v>
      </c>
      <c r="BJ230" s="1" t="s">
        <v>1504</v>
      </c>
      <c r="BK230" s="1" t="s">
        <v>2689</v>
      </c>
      <c r="BL230" s="1" t="s">
        <v>2044</v>
      </c>
      <c r="BM230" s="2" t="s">
        <v>2690</v>
      </c>
      <c r="BN230" s="1" t="s">
        <v>1877</v>
      </c>
      <c r="BO230" s="2" t="s">
        <v>7461</v>
      </c>
    </row>
    <row r="231" spans="1:67" ht="324" x14ac:dyDescent="0.45">
      <c r="A231" s="5">
        <v>230</v>
      </c>
      <c r="B231" s="8" t="s">
        <v>1415</v>
      </c>
      <c r="C231" s="6" t="s">
        <v>1816</v>
      </c>
      <c r="D231" s="7" t="s">
        <v>9752</v>
      </c>
      <c r="E231" s="1" t="s">
        <v>1505</v>
      </c>
      <c r="F231" s="1" t="s">
        <v>8911</v>
      </c>
      <c r="G231" s="1"/>
      <c r="J231" s="1" t="s">
        <v>9753</v>
      </c>
      <c r="K231" s="2" t="s">
        <v>7462</v>
      </c>
      <c r="L231" s="4" t="s">
        <v>8149</v>
      </c>
      <c r="M231" s="1" t="s">
        <v>12155</v>
      </c>
      <c r="P231" s="7" t="s">
        <v>1241</v>
      </c>
      <c r="Q231" s="14" t="str">
        <f>INDEX($L:$L, MATCH("apply", $B:$B, 0))</f>
        <v>&lt;span class="w"&gt;&lt;b&gt;【127.apply：～を適用する, 申し込む】&lt;/b&gt;&lt;/span&gt;
&lt;span class="ml"&gt;ラテン語に由来する語で、以下の2つの要素から成る。
&lt;span class="spacer"&gt;&lt;/span&gt;ad（～へ）
plicare（折る）
&lt;span class="spacer"&gt;&lt;/span&gt;このまま日本語にすると「〜へ折り重ねる」となる。apply A to Bは、AをBにぴったり折り重ねるイメージから「AをBに適用する」となる。
&lt;span class="spacer"&gt;&lt;/span&gt;同様に、
S apply for 求めるもの
S apply to 求める相手
これでSを求めるものや求める相手に折り重ねるイメージから「Sは〜に申し込む」という意味になる。
&lt;div class="sample_image apply"&gt;&lt;/div&gt;&lt;/span&gt;</v>
      </c>
      <c r="R231" s="14" t="str">
        <f>INDEX($L:$L, MATCH("imply", $B:$B, 0))</f>
        <v>&lt;span class="w"&gt;&lt;b&gt;【423.imply：〜を暗に意味する】&lt;/b&gt;&lt;/span&gt;
&lt;span class="ml"&gt;ラテン語に由来する語で、以下の2つの要素から成る。
&lt;span class="spacer"&gt;&lt;/span&gt;in（中に）
plicare（折る, 畳む）
&lt;span class="spacer"&gt;&lt;/span&gt;このまま日本語にすると「中に折る」となる。これは、何かを中に入れた状態で折りたたんで包み込むイメージ。そこから、言葉の中に直接は言わない意味を包み込むことを表し、「暗に意味する」という意味になる。
&lt;div class="sample_image imply"&gt;&lt;/div&gt;&lt;/span&gt;</v>
      </c>
      <c r="S231" s="14" t="str">
        <f>INDEX($L:$L, MATCH("employ", $B:$B, 0))</f>
        <v>&lt;span class="w"&gt;&lt;b&gt;【517.employ：〜を雇う】&lt;/b&gt;&lt;/span&gt;
&lt;span class="ml"&gt;ラテン語に由来する語で、以下の2つの要素から成る。
&lt;span class="spacer"&gt;&lt;/span&gt;in（中に）
plicare（折る）
&lt;span class="spacer"&gt;&lt;/span&gt;このまま日本語にすると「中に折る」となる。これは、中に入れた状態で折りたたむイメージ。そこから、何らかの目的に巻き込む、事業に巻き込むことへと発展し、「雇う」という意味になった。
&lt;div class="sample_image employ"&gt;&lt;/div&gt;
&lt;span class="spacer"&gt;&lt;/span&gt;employは、implyと同じ語源にさかのぼる。
imply（暗に意味する）は中に折り込むという元のイメージをより保っている。
&lt;span class="spacer"&gt;&lt;/span&gt;employは元のイメージから発展して事業に巻き込む＝「雇う」になった。&lt;/span&gt;</v>
      </c>
      <c r="T231" s="14" t="str">
        <f>INDEX($L:$L, MATCH("exploit", $B:$B, 0))</f>
        <v>&lt;span class="w"&gt;&lt;b&gt;【1237.exploit：〜を活用する, 〜を搾取する, 〜を開発する】&lt;/b&gt;&lt;/span&gt;
&lt;span class="ml"&gt;ラテン語に由来する語で、以下の2つの要素から成る。
&lt;span class="spacer"&gt;&lt;/span&gt;ex（外に）
plicare（折る）
&lt;span class="spacer"&gt;&lt;/span&gt;もともとは、折りたたまれているものを外へ開くことを表した。そこから、まだ手がつけられていない土地や、眠っている天然資源（鉱山など）を広げて展開し、目に見える形にして役立てる＝「開発する, 活用する」という意味になった。
&lt;span class="spacer"&gt;&lt;/span&gt;さらに、利益のために土地を開発して資源を活用するという言葉が、人間に対して使われるようになり、利益のために人々を使う＝「搾取する」というネガティブな意味にもなった。
&lt;div class="sample_image exploit"&gt;&lt;/div&gt;&lt;/span&gt;</v>
      </c>
      <c r="U231" s="14" t="str">
        <f>INDEX($L:$L, MATCH("complicate", $B:$B, 0))</f>
        <v>&lt;span class="w"&gt;&lt;b&gt;【1036.complicate：複雑にする】&lt;/b&gt;&lt;/span&gt;
&lt;span class="ml"&gt;ラテン語に由来する語で、以下の2つの要素から成る。
&lt;span class="spacer"&gt;&lt;/span&gt;com（共に）
plicare（折る）
&lt;span class="spacer"&gt;&lt;/span&gt;このまま日本語にすると「共に折る」となる。様々なものを一緒にして折り込むことで単純ではなく「複雑にする」という意味になる。&lt;/span&gt;</v>
      </c>
      <c r="V231" s="14" t="str">
        <f>INDEX($L:$L, MATCH("complex", $B:$B, 0))</f>
        <v>&lt;span class="w"&gt;&lt;b&gt;【181.complex：複雑な】&lt;/b&gt;&lt;/span&gt;
&lt;span class="ml"&gt;ラテン語に由来する語で、以下の2つの要素から成る。
&lt;span class="spacer"&gt;&lt;/span&gt;com（共に）
plectere（編む）
&lt;span class="spacer"&gt;&lt;/span&gt;このまま日本語にすると「共に編む」となる。複数の要素が編み込まれて入り組んでいるイメージから「複雑な」という意味になる。
&lt;div class="sample_image complex"&gt;&lt;/div&gt;&lt;/span&gt;</v>
      </c>
      <c r="W231" s="14" t="str">
        <f>INDEX($L:$L, MATCH("multiple", $B:$B, 0))</f>
        <v>&lt;span class="w"&gt;&lt;b&gt;【479.multiple：多様な】&lt;/b&gt;&lt;/span&gt;
&lt;span class="ml"&gt;ラテン語に由来する語で、以下の2つの要素から成る。
&lt;span class="spacer"&gt;&lt;/span&gt;multi（多数の）
plus（n倍, n重）
&lt;span class="spacer"&gt;&lt;/span&gt;このまま日本語にすると「多重の」となる。たくさん折り重なっているイメージから「多様な」という意味になる。
&lt;span class="spacer"&gt;&lt;/span&gt;-plus（n倍の, n重の）はラテン語plicare（折る, 重ねる）と関係がある。折り重ねることからn重という意味になる。ラテン語-plusは、以下の英語にも見られる。
&lt;span class="spacer"&gt;&lt;/span&gt;double（2倍, 2重）
dou（2）ble（-plus）
&lt;span class="spacer"&gt;&lt;/span&gt;triple（3倍, 3重）
tri（3）ple（-plus）&lt;/span&gt;</v>
      </c>
      <c r="X231" s="15"/>
      <c r="AU231" s="15"/>
      <c r="AV231" s="1" t="s">
        <v>1502</v>
      </c>
      <c r="BG231" s="7" t="s">
        <v>1503</v>
      </c>
      <c r="BH231" s="1" t="s">
        <v>2034</v>
      </c>
      <c r="BI231" s="2" t="s">
        <v>2691</v>
      </c>
      <c r="BJ231" s="1" t="s">
        <v>1980</v>
      </c>
      <c r="BK231" s="2" t="s">
        <v>2692</v>
      </c>
      <c r="BL231" s="1" t="s">
        <v>1504</v>
      </c>
      <c r="BM231" s="1" t="s">
        <v>2693</v>
      </c>
      <c r="BN231" s="1" t="s">
        <v>2044</v>
      </c>
      <c r="BO231" s="2" t="s">
        <v>2694</v>
      </c>
    </row>
    <row r="232" spans="1:67" ht="126" x14ac:dyDescent="0.45">
      <c r="A232" s="5">
        <v>231</v>
      </c>
      <c r="B232" s="8" t="s">
        <v>166</v>
      </c>
      <c r="C232" s="6" t="s">
        <v>1816</v>
      </c>
      <c r="D232" s="7" t="s">
        <v>9752</v>
      </c>
      <c r="E232" s="1" t="s">
        <v>1251</v>
      </c>
      <c r="F232" s="1" t="s">
        <v>1416</v>
      </c>
      <c r="G232" s="1"/>
      <c r="J232" s="1" t="s">
        <v>9753</v>
      </c>
      <c r="K232" s="2" t="s">
        <v>7463</v>
      </c>
      <c r="L232" s="9" t="s">
        <v>8150</v>
      </c>
      <c r="P232" s="7" t="s">
        <v>1241</v>
      </c>
      <c r="Q232" s="13" t="str">
        <f>INDEX($L:$L, MATCH("correspond", $B:$B, 0))</f>
        <v>&lt;span class="w"&gt;&lt;b&gt;【825.correspond：一致する, （to）相当する, 文通する・やり取りする】&lt;/b&gt;&lt;/span&gt;
&lt;span class="ml"&gt;ラテン語に由来する語で、以下の3つの要素から成る。
&lt;span class="spacer"&gt;&lt;/span&gt;com（共に）
re（返して）
spondere（誓約する）
&lt;span class="spacer"&gt;&lt;/span&gt;このまま日本語にすると「相手に誓約を返す」となる。respond部分は「答える, 返答する」という意味のrespondと同じなので、correspondは「相互に応答し合う」というイメージ。
&lt;span class="spacer"&gt;&lt;/span&gt;物事が相互に応答し合ってピッタリ合うイメージから、お互いが「一致する, 相当する」という意味になる。また、人が相互に応答し合う場合は「文通する, やり取りする」という意味になる。
&lt;div class="sample_image correspond"&gt;&lt;/div&gt;&lt;/span&gt;</v>
      </c>
      <c r="AU232" s="15"/>
      <c r="AV232" s="1" t="s">
        <v>1502</v>
      </c>
      <c r="BG232" s="7" t="s">
        <v>1503</v>
      </c>
      <c r="BH232" s="1" t="s">
        <v>2034</v>
      </c>
      <c r="BI232" s="2" t="s">
        <v>2695</v>
      </c>
      <c r="BJ232" s="1" t="s">
        <v>1504</v>
      </c>
      <c r="BK232" s="1" t="s">
        <v>2696</v>
      </c>
      <c r="BL232" s="1" t="s">
        <v>2321</v>
      </c>
      <c r="BM232" s="1" t="s">
        <v>2697</v>
      </c>
      <c r="BN232" s="1" t="s">
        <v>2044</v>
      </c>
      <c r="BO232" s="2" t="s">
        <v>2698</v>
      </c>
    </row>
    <row r="233" spans="1:67" ht="72" x14ac:dyDescent="0.45">
      <c r="A233" s="5">
        <v>232</v>
      </c>
      <c r="B233" s="8" t="s">
        <v>167</v>
      </c>
      <c r="C233" s="6" t="s">
        <v>1816</v>
      </c>
      <c r="D233" s="7" t="s">
        <v>9752</v>
      </c>
      <c r="E233" s="1" t="s">
        <v>167</v>
      </c>
      <c r="F233" s="1"/>
      <c r="G233" s="1"/>
      <c r="J233" s="1" t="s">
        <v>9753</v>
      </c>
      <c r="K233" s="2" t="s">
        <v>7446</v>
      </c>
      <c r="L233" s="9" t="s">
        <v>8151</v>
      </c>
      <c r="P233" s="7" t="s">
        <v>1241</v>
      </c>
      <c r="AV233" s="1" t="s">
        <v>1502</v>
      </c>
      <c r="BG233" s="7" t="s">
        <v>1503</v>
      </c>
      <c r="BH233" s="1" t="s">
        <v>2569</v>
      </c>
      <c r="BI233" s="1" t="s">
        <v>2699</v>
      </c>
      <c r="BJ233" s="1" t="s">
        <v>2129</v>
      </c>
      <c r="BK233" s="1" t="s">
        <v>7464</v>
      </c>
    </row>
    <row r="234" spans="1:67" ht="180" x14ac:dyDescent="0.45">
      <c r="A234" s="5">
        <v>233</v>
      </c>
      <c r="B234" s="8" t="s">
        <v>1417</v>
      </c>
      <c r="C234" s="6" t="s">
        <v>1816</v>
      </c>
      <c r="D234" s="7" t="s">
        <v>9752</v>
      </c>
      <c r="E234" s="1" t="s">
        <v>168</v>
      </c>
      <c r="F234" s="1"/>
      <c r="G234" s="1"/>
      <c r="J234" s="1" t="s">
        <v>9753</v>
      </c>
      <c r="K234" s="2" t="s">
        <v>7465</v>
      </c>
      <c r="L234" s="9" t="s">
        <v>8152</v>
      </c>
      <c r="P234" s="7" t="s">
        <v>1241</v>
      </c>
      <c r="AU234" s="15"/>
      <c r="AV234" s="1" t="s">
        <v>1502</v>
      </c>
      <c r="BG234" s="7" t="s">
        <v>1503</v>
      </c>
      <c r="BH234" s="1" t="s">
        <v>2034</v>
      </c>
      <c r="BI234" s="2" t="s">
        <v>2700</v>
      </c>
      <c r="BJ234" s="1" t="s">
        <v>1504</v>
      </c>
      <c r="BK234" s="1" t="s">
        <v>2701</v>
      </c>
      <c r="BL234" s="1" t="s">
        <v>2044</v>
      </c>
      <c r="BM234" s="2" t="s">
        <v>2702</v>
      </c>
    </row>
    <row r="235" spans="1:67" ht="216" x14ac:dyDescent="0.45">
      <c r="A235" s="5">
        <v>234</v>
      </c>
      <c r="B235" s="8" t="s">
        <v>1418</v>
      </c>
      <c r="C235" s="6" t="s">
        <v>1816</v>
      </c>
      <c r="D235" s="7" t="s">
        <v>9752</v>
      </c>
      <c r="E235" s="1" t="s">
        <v>1251</v>
      </c>
      <c r="F235" s="1" t="s">
        <v>8912</v>
      </c>
      <c r="G235" s="1"/>
      <c r="J235" s="1" t="s">
        <v>9753</v>
      </c>
      <c r="K235" s="2" t="s">
        <v>7466</v>
      </c>
      <c r="L235" s="4" t="s">
        <v>8153</v>
      </c>
      <c r="M235" s="1" t="s">
        <v>12166</v>
      </c>
      <c r="P235" s="7" t="s">
        <v>1241</v>
      </c>
      <c r="Q235" s="14" t="str">
        <f>INDEX($L:$L, MATCH("motion", $B:$B, 0))</f>
        <v>&lt;span class="w"&gt;&lt;b&gt;【565.motion：動き, 運動】&lt;/b&gt;&lt;/span&gt;
&lt;span class="ml"&gt;ラテン語に由来する語で、以下の2つの要素から成る。
&lt;span class="spacer"&gt;&lt;/span&gt;movere（動かす）
io（名詞化）
&lt;span class="spacer"&gt;&lt;/span&gt;このまま日本語にすると「動かすこと」となり、そのまま「動き, 運動」という意味になる。&lt;/span&gt;</v>
      </c>
      <c r="R235" s="14" t="str">
        <f>INDEX($L:$L, MATCH("emotion", $B:$B, 0))</f>
        <v>&lt;span class="w"&gt;&lt;b&gt;【153.emotion：感情, 情動】&lt;/b&gt;&lt;/span&gt;
&lt;span class="ml"&gt;ラテン語に由来する語で、以下の2つの要素から成る。
&lt;span class="spacer"&gt;&lt;/span&gt;ex（外に）
movere（動かす：moveの語源）
&lt;span class="spacer"&gt;&lt;/span&gt;このまま日本語にすると「外に動かす」となる。外に動く＝揺れ動くというイメージから心が揺れ動く＝「感情, 情動」となる。&lt;/span&gt;</v>
      </c>
      <c r="S235" s="14" t="str">
        <f>INDEX($L:$L, MATCH("promote", $B:$B, 0))</f>
        <v>&lt;span class="w"&gt;&lt;b&gt;【213.promote：～を促進する, （受け身で）昇進する】&lt;/b&gt;&lt;/span&gt;
&lt;span class="ml"&gt;ラテン語に由来する語で、以下の2つの要素から成る。
&lt;span class="spacer"&gt;&lt;/span&gt;pro（前へ）
movere（動かす：moveの語源）
&lt;span class="spacer"&gt;&lt;/span&gt;このまま日本語にすると「前へ動かす」となる。ここから「促進する, 昇進させる」という意味になる。
&lt;span class="spacer"&gt;&lt;/span&gt;&lt;span class="obsolete"&gt;promoteは古フランス語経由で英語に入ったため、英語では動詞となっている。
remoteはラテン語から直接英語に入ったため、英語でも形容詞となっている。&lt;/span&gt;&lt;/span&gt;</v>
      </c>
      <c r="T235" s="14" t="str">
        <f>INDEX($L:$L, MATCH("remote", $B:$B, 0))</f>
        <v>&lt;span class="w"&gt;&lt;b&gt;【682.remote：遠く離れた】&lt;/b&gt;&lt;/span&gt;
&lt;span class="ml"&gt;ラテン語に由来する語で、以下の2つの要素から成る。
&lt;span class="spacer"&gt;&lt;/span&gt;re（後ろへ）
movere（動かす）
&lt;span class="spacer"&gt;&lt;/span&gt;このまま日本語にすると「後ろへ動かす, 遠ざける」となる。ここから「遠く離れた」という意味になった。&lt;/span&gt;</v>
      </c>
      <c r="U235" s="14" t="str">
        <f>INDEX($L:$L, MATCH("mobile", $B:$B, 0))</f>
        <v>&lt;span class="w"&gt;&lt;b&gt;【195.mobile：可動式の, 動かせる】&lt;/b&gt;&lt;/span&gt;
&lt;span class="ml"&gt;ラテン語に由来する語で、以下の2つの要素から成る。
&lt;span class="spacer"&gt;&lt;/span&gt;movere（動かす：moveの語源）
bilis（〜できる）
&lt;span class="spacer"&gt;&lt;/span&gt;ラテン語から意味の変化はほとんどない。&lt;/span&gt;</v>
      </c>
      <c r="V235" s="14" t="str">
        <f>INDEX($L:$L, MATCH("motor", $B:$B, 0))</f>
        <v>&lt;span class="w"&gt;&lt;b&gt;【748.motor：モーター, 原動力】&lt;/b&gt;&lt;/span&gt;
&lt;span class="ml"&gt;ラテン語に由来する語で、以下の2つの要素から成る。
&lt;span class="spacer"&gt;&lt;/span&gt;movere（動かす）
or（〜するもの）
&lt;span class="spacer"&gt;&lt;/span&gt;このまま日本語にすると「動かすもの」つまり「原動力, モーター」という意味になる。&lt;/span&gt;</v>
      </c>
      <c r="W235" s="13" t="str">
        <f>INDEX($L:$L, MATCH("motive", $B:$B, 0))</f>
        <v>&lt;span class="w"&gt;&lt;b&gt;【1274.motive：動機】&lt;/b&gt;&lt;/span&gt;
&lt;span class="ml"&gt;ラテン語に由来する語で、以下の2つの要素から成る。
&lt;span class="spacer"&gt;&lt;/span&gt;movere（動かす）
ivus（形容詞化）
&lt;span class="spacer"&gt;&lt;/span&gt;何かを動かす、駆り立てるという形容詞が名詞となり、人を行動へと動かすもの＝「動機」という意味になった。&lt;/span&gt;</v>
      </c>
      <c r="AU235" s="15"/>
      <c r="AV235" s="1" t="s">
        <v>1502</v>
      </c>
      <c r="BG235" s="7" t="s">
        <v>1503</v>
      </c>
      <c r="BH235" s="1" t="s">
        <v>2034</v>
      </c>
      <c r="BI235" s="2" t="s">
        <v>7467</v>
      </c>
      <c r="BJ235" s="1" t="s">
        <v>1504</v>
      </c>
      <c r="BK235" s="1" t="s">
        <v>2703</v>
      </c>
      <c r="BL235" s="1" t="s">
        <v>2044</v>
      </c>
      <c r="BM235" s="2" t="s">
        <v>2704</v>
      </c>
    </row>
    <row r="236" spans="1:67" ht="90" x14ac:dyDescent="0.45">
      <c r="A236" s="5">
        <v>235</v>
      </c>
      <c r="B236" s="8" t="s">
        <v>169</v>
      </c>
      <c r="C236" s="6" t="s">
        <v>1816</v>
      </c>
      <c r="D236" s="7" t="s">
        <v>9752</v>
      </c>
      <c r="E236" s="1" t="s">
        <v>169</v>
      </c>
      <c r="F236" s="1"/>
      <c r="G236" s="1"/>
      <c r="J236" s="1" t="s">
        <v>9753</v>
      </c>
      <c r="K236" s="2" t="s">
        <v>7468</v>
      </c>
      <c r="L236" s="9" t="s">
        <v>8154</v>
      </c>
      <c r="P236" s="7" t="s">
        <v>1241</v>
      </c>
      <c r="AV236" s="1" t="s">
        <v>1502</v>
      </c>
      <c r="BG236" s="7" t="s">
        <v>1503</v>
      </c>
      <c r="BH236" s="1" t="s">
        <v>2129</v>
      </c>
      <c r="BI236" s="1" t="s">
        <v>2705</v>
      </c>
      <c r="BJ236" s="1" t="s">
        <v>2044</v>
      </c>
      <c r="BK236" s="2" t="s">
        <v>2706</v>
      </c>
      <c r="BL236" s="1" t="s">
        <v>1883</v>
      </c>
      <c r="BM236" s="2" t="s">
        <v>2707</v>
      </c>
    </row>
    <row r="237" spans="1:67" ht="216" x14ac:dyDescent="0.45">
      <c r="A237" s="5">
        <v>236</v>
      </c>
      <c r="B237" s="8" t="s">
        <v>170</v>
      </c>
      <c r="C237" s="6" t="s">
        <v>1816</v>
      </c>
      <c r="D237" s="7" t="s">
        <v>9752</v>
      </c>
      <c r="E237" s="1" t="s">
        <v>1392</v>
      </c>
      <c r="F237" s="1" t="s">
        <v>1419</v>
      </c>
      <c r="G237" s="1"/>
      <c r="J237" s="1" t="s">
        <v>9753</v>
      </c>
      <c r="K237" s="2" t="s">
        <v>12247</v>
      </c>
      <c r="L237" s="3" t="s">
        <v>12248</v>
      </c>
      <c r="M237" s="1" t="s">
        <v>12180</v>
      </c>
      <c r="P237" s="7" t="s">
        <v>1241</v>
      </c>
      <c r="Q237" s="14" t="str">
        <f>INDEX($L:$L, MATCH("consume", $B:$B, 0))</f>
        <v>&lt;span class="w"&gt;&lt;b&gt;【320.consume：〜を消費する, ～を飲食する】&lt;/b&gt;&lt;/span&gt;
&lt;span class="ml"&gt;ラテン語に由来する語で、以下の3つの要素から成る。
&lt;span class="spacer"&gt;&lt;/span&gt;com（強意）
sub（下から）
emere（取る）
&lt;span class="spacer"&gt;&lt;/span&gt;subとemereからなるsume部分は「取る」という意味。したがってこの語の核は「完全に取りつくす」というイメージ。食べられる部分を取りつくす、使える部分を取りつくすことから「消費する, 飲食する」という意味になる。
&lt;div class="sample_image consume"&gt;&lt;/div&gt;&lt;/span&gt;</v>
      </c>
      <c r="R237" s="13" t="str">
        <f>INDEX($L:$L, MATCH("prompt", $B:$B, 0))</f>
        <v>&lt;span class="w"&gt;&lt;b&gt;【981.prompt：迅速な】&lt;/b&gt;&lt;/span&gt;
&lt;span class="ml"&gt;ラテン語に由来する語で、以下の2つの要素から成る。
&lt;span class="spacer"&gt;&lt;/span&gt;pro（前に）
emere（取る）
&lt;span class="spacer"&gt;&lt;/span&gt;このまま日本語にすると「前に取り出す」となる。目の前に取り出してあってすぐに使える状態というところから、すぐ対応できる＝「迅速な」という意味になった。
&lt;div class="sample_image prompt"&gt;&lt;/div&gt;&lt;/span&gt;</v>
      </c>
      <c r="AU237" s="15"/>
      <c r="AV237" s="1" t="s">
        <v>1502</v>
      </c>
      <c r="BG237" s="7" t="s">
        <v>1503</v>
      </c>
      <c r="BH237" s="1" t="s">
        <v>2034</v>
      </c>
      <c r="BI237" s="2" t="s">
        <v>2708</v>
      </c>
      <c r="BJ237" s="1" t="s">
        <v>2044</v>
      </c>
      <c r="BK237" s="2" t="s">
        <v>2709</v>
      </c>
      <c r="BL237" s="1" t="s">
        <v>1883</v>
      </c>
      <c r="BM237" s="2" t="s">
        <v>2710</v>
      </c>
    </row>
    <row r="238" spans="1:67" ht="126" x14ac:dyDescent="0.45">
      <c r="A238" s="5">
        <v>237</v>
      </c>
      <c r="B238" s="8" t="s">
        <v>171</v>
      </c>
      <c r="C238" s="6" t="s">
        <v>1816</v>
      </c>
      <c r="D238" s="7" t="s">
        <v>9752</v>
      </c>
      <c r="E238" s="1" t="s">
        <v>1251</v>
      </c>
      <c r="F238" s="1" t="s">
        <v>1420</v>
      </c>
      <c r="G238" s="1"/>
      <c r="J238" s="1" t="s">
        <v>9753</v>
      </c>
      <c r="K238" s="2" t="s">
        <v>7469</v>
      </c>
      <c r="L238" s="4" t="s">
        <v>8155</v>
      </c>
      <c r="P238" s="7" t="s">
        <v>1241</v>
      </c>
      <c r="Q238" s="13" t="str">
        <f>INDEX($L:$L, MATCH("release", $B:$B, 0))</f>
        <v>&lt;span class="w"&gt;&lt;b&gt;【307.release：～を放出する, ～を解放する, 〜を発表する】&lt;/b&gt;&lt;/span&gt;
&lt;span class="ml"&gt;ラテン語に由来する語で、以下の2つの要素から成る。
&lt;span class="spacer"&gt;&lt;/span&gt;re（再び, 後ろに）
laxare（ゆるめる）
&lt;span class="spacer"&gt;&lt;/span&gt;このまま日本語にすると「再び緩める」となる。縛りつけているものを緩めるイメージから「解放する, 放出する」という意味になる。また公開していなかった情報を解放する場合は「発表する」となる。&lt;/span&gt;</v>
      </c>
      <c r="AU238" s="15"/>
      <c r="AV238" s="1" t="s">
        <v>1502</v>
      </c>
      <c r="BG238" s="7" t="s">
        <v>1503</v>
      </c>
      <c r="BH238" s="1" t="s">
        <v>2034</v>
      </c>
      <c r="BI238" s="2" t="s">
        <v>2711</v>
      </c>
      <c r="BJ238" s="1" t="s">
        <v>1504</v>
      </c>
      <c r="BK238" s="1" t="s">
        <v>2712</v>
      </c>
      <c r="BL238" s="1" t="s">
        <v>2044</v>
      </c>
      <c r="BM238" s="2" t="s">
        <v>2713</v>
      </c>
      <c r="BN238" s="1" t="s">
        <v>1865</v>
      </c>
      <c r="BO238" s="2" t="s">
        <v>2714</v>
      </c>
    </row>
    <row r="239" spans="1:67" ht="180" x14ac:dyDescent="0.45">
      <c r="A239" s="5">
        <v>238</v>
      </c>
      <c r="B239" s="8" t="s">
        <v>172</v>
      </c>
      <c r="C239" s="6" t="s">
        <v>1816</v>
      </c>
      <c r="D239" s="7" t="s">
        <v>9752</v>
      </c>
      <c r="E239" s="1" t="s">
        <v>1421</v>
      </c>
      <c r="F239" s="1" t="s">
        <v>1422</v>
      </c>
      <c r="G239" s="1"/>
      <c r="J239" s="1" t="s">
        <v>9753</v>
      </c>
      <c r="K239" s="2" t="s">
        <v>7470</v>
      </c>
      <c r="L239" s="9" t="s">
        <v>8156</v>
      </c>
      <c r="P239" s="7" t="s">
        <v>1241</v>
      </c>
      <c r="Q239" s="13" t="str">
        <f>INDEX($L:$L, MATCH("asset", $B:$B, 0))</f>
        <v>&lt;span class="w"&gt;&lt;b&gt;【1278.asset：価値のあるもの, 強み, （複数形で）資産】&lt;/b&gt;&lt;/span&gt;
&lt;span class="ml"&gt;ラテン語に由来する語で、以下の2つの要素から成る。
&lt;span class="spacer"&gt;&lt;/span&gt;ad（〜へ）
satis（十分に, 足りて）
&lt;span class="spacer"&gt;&lt;/span&gt;このset部分はsatisfy（満足させる）のsat部分と同じ意味を持ち、もともとは借金などを返すための「十分な資産」を表した。
&lt;span class="spacer"&gt;&lt;/span&gt;フランス語から英語へはassetz（＝assets）という形で入って「資産」を意味したが、やがて最後のsが複数形のsだと間違って解釈され、単数形assetが作られた。単数形では、一つひとつの「価値あるもの」や「強み」という意味になった。&lt;/span&gt;</v>
      </c>
      <c r="AU239" s="15"/>
      <c r="AV239" s="1" t="s">
        <v>1502</v>
      </c>
      <c r="BG239" s="7" t="s">
        <v>1503</v>
      </c>
      <c r="BH239" s="1" t="s">
        <v>2034</v>
      </c>
      <c r="BI239" s="2" t="s">
        <v>2715</v>
      </c>
      <c r="BJ239" s="1" t="s">
        <v>1504</v>
      </c>
      <c r="BK239" s="1" t="s">
        <v>2716</v>
      </c>
      <c r="BL239" s="1" t="s">
        <v>2044</v>
      </c>
      <c r="BM239" s="2" t="s">
        <v>2717</v>
      </c>
    </row>
    <row r="240" spans="1:67" ht="144" x14ac:dyDescent="0.45">
      <c r="A240" s="5">
        <v>239</v>
      </c>
      <c r="B240" s="8" t="s">
        <v>1423</v>
      </c>
      <c r="C240" s="6" t="s">
        <v>1816</v>
      </c>
      <c r="D240" s="7" t="s">
        <v>9752</v>
      </c>
      <c r="E240" s="1" t="s">
        <v>1327</v>
      </c>
      <c r="F240" s="1" t="s">
        <v>8913</v>
      </c>
      <c r="G240" s="1"/>
      <c r="J240" s="1" t="s">
        <v>9753</v>
      </c>
      <c r="K240" s="2" t="s">
        <v>7471</v>
      </c>
      <c r="L240" s="3" t="s">
        <v>8157</v>
      </c>
      <c r="P240" s="7" t="s">
        <v>1241</v>
      </c>
      <c r="Q240" s="13" t="e">
        <f>INDEX($L:$L, MATCH("conside", $B:$B, 0))</f>
        <v>#N/A</v>
      </c>
      <c r="AU240" s="15"/>
      <c r="AV240" s="1" t="s">
        <v>1502</v>
      </c>
      <c r="BG240" s="7" t="s">
        <v>1503</v>
      </c>
      <c r="BH240" s="1" t="s">
        <v>2034</v>
      </c>
      <c r="BI240" s="2" t="s">
        <v>2718</v>
      </c>
      <c r="BJ240" s="1" t="s">
        <v>1504</v>
      </c>
      <c r="BK240" s="1" t="s">
        <v>2719</v>
      </c>
      <c r="BL240" s="1" t="s">
        <v>2044</v>
      </c>
      <c r="BM240" s="2" t="s">
        <v>2720</v>
      </c>
    </row>
    <row r="241" spans="1:71" ht="396" x14ac:dyDescent="0.45">
      <c r="A241" s="5">
        <v>240</v>
      </c>
      <c r="B241" s="8" t="s">
        <v>1424</v>
      </c>
      <c r="C241" s="6" t="s">
        <v>1816</v>
      </c>
      <c r="D241" s="7" t="s">
        <v>9752</v>
      </c>
      <c r="E241" s="1" t="s">
        <v>8914</v>
      </c>
      <c r="F241" s="1" t="s">
        <v>5056</v>
      </c>
      <c r="G241" s="1"/>
      <c r="J241" s="1" t="s">
        <v>9753</v>
      </c>
      <c r="K241" s="2" t="s">
        <v>7472</v>
      </c>
      <c r="L241" s="3" t="s">
        <v>12076</v>
      </c>
      <c r="M241" s="1" t="s">
        <v>12169</v>
      </c>
      <c r="P241" s="7" t="s">
        <v>1241</v>
      </c>
      <c r="Q241" s="14" t="str">
        <f>INDEX($L:$L, MATCH("proceed", $B:$B, 0))</f>
        <v>&lt;span class="w"&gt;&lt;b&gt;【1101.proceed：進む, 進行する】&lt;/b&gt;&lt;/span&gt;
&lt;span class="ml"&gt;ラテン語に由来する語で、以下の2つの要素から成る。
&lt;span class="spacer"&gt;&lt;/span&gt;pro（前へ）
cedere（行く, 進む）
&lt;span class="spacer"&gt;&lt;/span&gt;このまま日本語にすると「前へ進む」となり「進む, 進行する」という意味になる。名詞になるとprocess（過程, 経過）やprocedure（手続き）という進行途中や進行手順を表す。&lt;/span&gt;</v>
      </c>
      <c r="R241" s="14" t="str">
        <f>INDEX($L:$L, MATCH("exceed", $B:$B, 0))</f>
        <v>&lt;span class="w"&gt;&lt;b&gt;【936.exceed：〜を超える, 〜を勝る】&lt;/b&gt;&lt;/span&gt;
&lt;span class="ml"&gt;ラテン語に由来する語で、以下の2つの要素から成る。
&lt;span class="spacer"&gt;&lt;/span&gt;ex（外に）
cedere（行く）
&lt;span class="spacer"&gt;&lt;/span&gt;このまま日本語にすると「外に行く」となる。ある範囲や基準の外に出て行くことから、何かを「超える, 勝る」という意味になる。
&lt;div class="sample_image exceed"&gt;&lt;/div&gt;&lt;/span&gt;</v>
      </c>
      <c r="S241" s="14" t="str">
        <f>INDEX($L:$L, MATCH("excess", $B:$B, 0))</f>
        <v>&lt;span class="w"&gt;&lt;b&gt;【1163.excess：過剰, 超過】&lt;/b&gt;&lt;/span&gt;
&lt;span class="ml"&gt;ラテン語に由来する語で、以下の3つの要素から成る。
&lt;span class="spacer"&gt;&lt;/span&gt;ex（外に）
cedere（行く）
us（名詞化）
&lt;span class="spacer"&gt;&lt;/span&gt;このまま日本語にすると「外に行くこと」となる。もともとは、物理的に何かの範囲や領域、境界から外へ出ることを表した。そこから意味が抽象化し、基準や度合を超えること、つまり「超過, 過剰」という意味になった。&lt;/span&gt;</v>
      </c>
      <c r="T241" s="14" t="str">
        <f>INDEX($L:$L, MATCH("access", $B:$B, 0))</f>
        <v>&lt;span class="w"&gt;&lt;b&gt;【169.access：利用, 入手, 接近】&lt;/b&gt;&lt;/span&gt;
&lt;span class="ml"&gt;ラテン語に由来する語で、以下の2つの要素から成る。
&lt;span class="spacer"&gt;&lt;/span&gt;ad（～へ）
cedere（行く）
&lt;span class="spacer"&gt;&lt;/span&gt;このまま日本語にすると「〜へ行く」となる。ここから「接近」という意味になる。さらに接近という物理的な移動から、近づいて何かを使うという「入手, 利用」という意味になる。
&lt;span class="spacer"&gt;&lt;/span&gt;The hotel has easy access to the station.
そのホテルは駅へのアクセスが良いという物理的な接近の話。
&lt;span class="spacer"&gt;&lt;/span&gt;Students have access to the library.
生徒は図書館を利用できるという利用可能性の話。&lt;/span&gt;</v>
      </c>
      <c r="U241" s="14" t="str">
        <f>INDEX($L:$L, MATCH("recession", $B:$B, 0))</f>
        <v>&lt;span class="w"&gt;&lt;b&gt;【1171.recession：不況, 後退】&lt;/b&gt;&lt;/span&gt;
&lt;span class="ml"&gt;ラテン語に由来する語で、以下の3つの要素から成る。
&lt;span class="spacer"&gt;&lt;/span&gt;re（後ろへ）
cedere（行く, 進む）
io（名詞化）
&lt;span class="spacer"&gt;&lt;/span&gt;このまま日本語にすると「後ろへ行くこと」つまり「後退」という意味になる。世界恐慌時にdepression（大不況）よりも程度が軽く、一時的な経済の後退を表す言葉として使われたことから「不況」という意味になった。
&lt;div class="sample_image recession"&gt;&lt;/div&gt;&lt;/span&gt;</v>
      </c>
      <c r="V241" s="14" t="str">
        <f>INDEX($L:$L, MATCH("necessary", $B:$B, 0))</f>
        <v>&lt;span class="w"&gt;&lt;b&gt;【199.necessary：必要な】&lt;/b&gt;&lt;/span&gt;
&lt;span class="ml"&gt;ラテン語に由来する語で、以下の3つの要素から成る。
&lt;span class="spacer"&gt;&lt;/span&gt;ne（=not：否定）
cedere（退く）
arius（形容詞化）
&lt;span class="spacer"&gt;&lt;/span&gt;このまま日本語にすると「退けない」となる。つまり何かを避けられない、それなしでは通れないということから不可欠＝「必要な」という意味になる。&lt;/span&gt;</v>
      </c>
      <c r="W241" s="14" t="str">
        <f>INDEX($L:$L, MATCH("cease", $B:$B, 0))</f>
        <v>&lt;span class="w"&gt;&lt;b&gt;【1135.cease：〜をやめる】&lt;/b&gt;&lt;/span&gt;
&lt;span class="ml"&gt;ラテン語cedere（行く, 退く）から派生した反復形cessare（やめる）に由来する。
&lt;span class="spacer"&gt;&lt;/span&gt;もともとはその場から立ち去る、身を引くという物理的な動作を表した。そこから、今まで行っていた活動や状態から身を引く＝「やめる」という意味になった。&lt;/span&gt;</v>
      </c>
      <c r="X241" s="14" t="str">
        <f>INDEX($L:$L, MATCH("precede", $B:$B, 0))</f>
        <v>&lt;span class="w"&gt;&lt;b&gt;【1302.precede：〜に先行する】&lt;/b&gt;&lt;/span&gt;
&lt;span class="ml"&gt;ラテン語に由来する語で、以下の2つの要素から成る。
&lt;span class="spacer"&gt;&lt;/span&gt;prae（前に）
cedere（行く）
&lt;span class="spacer"&gt;&lt;/span&gt;このまま日本語にすると「前に行く」となり、時間的・空間的に何かに「先行する」という意味になる。&lt;/span&gt;
&lt;div class="animation precede"&gt;&lt;/div&gt;</v>
      </c>
      <c r="Y241" s="14" t="str">
        <f>INDEX($L:$L, MATCH("unprecedented", $B:$B, 0))</f>
        <v>&lt;span class="w"&gt;&lt;b&gt;【1380.unprecedented：前例のない】&lt;/b&gt;&lt;/span&gt;
&lt;span class="ml"&gt;近代英語にさかのぼり、以下の3つの要素から成る。
&lt;span class="spacer"&gt;&lt;/span&gt;un（否定）
precedent（前例を与える）
ed（過去分詞化）
&lt;span class="spacer"&gt;&lt;/span&gt;precedent部分は、ラテン語prae（前に）＋cedere（行く）に由来するprecede（先行する）と関連する。
&lt;span class="spacer"&gt;&lt;/span&gt;否定のunが付くことで、先行するものがない、つまり「前例がない」という意味になる。&lt;/span&gt;</v>
      </c>
      <c r="Z241" s="14" t="str">
        <f>INDEX($L:$L, MATCH("ancestor", $B:$B, 0))</f>
        <v>&lt;span class="w"&gt;&lt;b&gt;【274.ancestor：祖先】&lt;/b&gt;&lt;/span&gt;
&lt;span class="ml"&gt;ラテン語に由来する語で、以下の3つの要素から成る。
&lt;span class="spacer"&gt;&lt;/span&gt;ante（前に）
cedere（行く, 進む）
or（〜する人）
&lt;span class="spacer"&gt;&lt;/span&gt;このまま日本語にすると「前に行く人」となる。自分たちよりも時間的に前を行く人から先代の人＝「祖先」という意味になる。
&lt;div class="sample_image ancestor"&gt;&lt;/div&gt;&lt;/span&gt;</v>
      </c>
      <c r="AA241" s="15"/>
      <c r="AB241" s="15"/>
      <c r="AU241" s="15"/>
      <c r="AV241" s="1" t="s">
        <v>1502</v>
      </c>
      <c r="BG241" s="7" t="s">
        <v>1503</v>
      </c>
      <c r="BH241" s="1" t="s">
        <v>2034</v>
      </c>
      <c r="BI241" s="2" t="s">
        <v>7473</v>
      </c>
      <c r="BJ241" s="1" t="s">
        <v>1504</v>
      </c>
      <c r="BK241" s="2" t="s">
        <v>2721</v>
      </c>
      <c r="BL241" s="1" t="s">
        <v>2044</v>
      </c>
      <c r="BM241" s="2" t="s">
        <v>2722</v>
      </c>
    </row>
    <row r="242" spans="1:71" ht="270" x14ac:dyDescent="0.45">
      <c r="A242" s="5">
        <v>241</v>
      </c>
      <c r="B242" s="8" t="s">
        <v>173</v>
      </c>
      <c r="C242" s="6" t="s">
        <v>6850</v>
      </c>
      <c r="D242" s="7" t="s">
        <v>9752</v>
      </c>
      <c r="E242" s="1" t="s">
        <v>46</v>
      </c>
      <c r="F242" s="1" t="s">
        <v>1425</v>
      </c>
      <c r="G242" s="1"/>
      <c r="J242" s="1" t="s">
        <v>9753</v>
      </c>
      <c r="K242" s="2" t="s">
        <v>7474</v>
      </c>
      <c r="L242" s="4" t="s">
        <v>8158</v>
      </c>
      <c r="M242" s="1" t="s">
        <v>12181</v>
      </c>
      <c r="P242" s="7" t="s">
        <v>1241</v>
      </c>
      <c r="Q242" s="14" t="str">
        <f>INDEX($L:$L, MATCH("exception", $B:$B, 0))</f>
        <v>&lt;span class="w"&gt;&lt;b&gt;【654.exception：例外】&lt;/b&gt;&lt;/span&gt;
&lt;span class="ml"&gt;ラテン語に由来する語で、以下の3つの要素から成る。
&lt;span class="spacer"&gt;&lt;/span&gt;ex（外に）
capere（取る）
io（名詞化）
&lt;span class="spacer"&gt;&lt;/span&gt;このまま日本語にすると「外に取り出すこと」となる。あるルールや条件の範囲の外に取り出すことから「例外」という意味になる。&lt;/span&gt;</v>
      </c>
      <c r="R242" s="14" t="str">
        <f>INDEX($L:$L, MATCH("reception", $B:$B, 0))</f>
        <v>&lt;span class="w"&gt;&lt;b&gt;【1446.reception：反応, 受付, 宴会, 受信】&lt;/b&gt;&lt;/span&gt;
&lt;span class="ml"&gt;ラテン語に由来する語で、以下の3つの要素から成る。
&lt;span class="spacer"&gt;&lt;/span&gt;re（再び, 後ろへ）
capere（取る）
io（名詞化）
&lt;span class="spacer"&gt;&lt;/span&gt;このまま日本語にすると「後ろへ（自分の方へ）取ること」となる。この語の核は「何かを受け取ること、受け入れること」。この核をもとに文脈で日本語訳すればよい。
&lt;span class="spacer"&gt;&lt;/span&gt;来客を受け入れることからは「宴会, 受付」、人や作品などが受け入れられることからは「反応, 評判」、電波を受け入れることからは「受信」という意味になる。&lt;/span&gt;</v>
      </c>
      <c r="S242" s="14" t="str">
        <f>INDEX($L:$L, MATCH("recipe", $B:$B, 0))</f>
        <v>&lt;span class="w"&gt;&lt;b&gt;【870.recipe：調理法, レシピ, 手順】&lt;/b&gt;&lt;/span&gt;
&lt;span class="ml"&gt;ラテン語に由来する語で、以下の2つの要素から成る。
&lt;span class="spacer"&gt;&lt;/span&gt;re（再び）
capere（取る）
&lt;span class="spacer"&gt;&lt;/span&gt;もともとは、医師が薬剤師に渡す処方箋の冒頭に、ラテン語recipe（取りなさい）と書いたことによる。これは処方箋に書かれた材料を取り出しなさいという指示だったが、そこから薬の処方箋そのものを表すようになった。
&lt;span class="spacer"&gt;&lt;/span&gt;処方箋は薬の作り方を書き記したものなので、そこから発展して、何かの「手順」や料理の「調理法, レシピ」という意味になった。&lt;/span&gt;</v>
      </c>
      <c r="T242" s="14" t="str">
        <f>INDEX($L:$L, MATCH("recipient", $B:$B, 0))</f>
        <v>&lt;span class="w"&gt;&lt;b&gt;【1264.recipient：受け取る人】&lt;/b&gt;&lt;/span&gt;
&lt;span class="ml"&gt;ラテン語に由来する語で、以下の3つの要素から成る。
&lt;span class="spacer"&gt;&lt;/span&gt;re（後ろへ, 再び）
capere（取る）
ens（〜している人）
&lt;span class="spacer"&gt;&lt;/span&gt;このまま日本語にすると「後ろへ取る人」となる。相手の方から自分の方へ何かを取る、つまり受け取ることを表して、何かを「受け取る人」という意味になる。
&lt;span class="spacer"&gt;&lt;/span&gt;receiveにent（〜する人）が付いてできた語というイメージで覚えればよい。&lt;/span&gt;</v>
      </c>
      <c r="U242" s="15"/>
      <c r="V242" s="15"/>
      <c r="W242" s="15"/>
      <c r="X242" s="15"/>
      <c r="Y242" s="15"/>
      <c r="Z242" s="15"/>
      <c r="AC242" s="15"/>
      <c r="AD242" s="15"/>
      <c r="AE242" s="15"/>
      <c r="AF242" s="15"/>
      <c r="AG242" s="15"/>
      <c r="AU242" s="15"/>
      <c r="AV242" s="1" t="s">
        <v>1502</v>
      </c>
      <c r="BG242" s="7" t="s">
        <v>1503</v>
      </c>
      <c r="BH242" s="1" t="s">
        <v>2034</v>
      </c>
      <c r="BI242" s="2" t="s">
        <v>2723</v>
      </c>
      <c r="BJ242" s="1" t="s">
        <v>1980</v>
      </c>
      <c r="BK242" s="1" t="s">
        <v>2724</v>
      </c>
      <c r="BL242" s="1" t="s">
        <v>1865</v>
      </c>
      <c r="BM242" s="2" t="s">
        <v>2725</v>
      </c>
    </row>
    <row r="243" spans="1:71" ht="144" x14ac:dyDescent="0.45">
      <c r="A243" s="5">
        <v>242</v>
      </c>
      <c r="B243" s="8" t="s">
        <v>1578</v>
      </c>
      <c r="C243" s="6" t="s">
        <v>6850</v>
      </c>
      <c r="D243" s="7" t="s">
        <v>9752</v>
      </c>
      <c r="E243" s="1" t="s">
        <v>7475</v>
      </c>
      <c r="F243" s="1" t="s">
        <v>1584</v>
      </c>
      <c r="G243" s="1"/>
      <c r="J243" s="1" t="s">
        <v>9753</v>
      </c>
      <c r="K243" s="2" t="s">
        <v>7476</v>
      </c>
      <c r="L243" s="9" t="s">
        <v>8159</v>
      </c>
      <c r="P243" s="7" t="s">
        <v>1241</v>
      </c>
      <c r="AU243" s="15"/>
      <c r="AV243" s="1" t="s">
        <v>1502</v>
      </c>
      <c r="BG243" s="7" t="s">
        <v>1503</v>
      </c>
      <c r="BH243" s="1" t="s">
        <v>2034</v>
      </c>
      <c r="BI243" s="2" t="s">
        <v>7477</v>
      </c>
      <c r="BJ243" s="1" t="s">
        <v>1504</v>
      </c>
      <c r="BK243" s="2" t="s">
        <v>2726</v>
      </c>
      <c r="BL243" s="1" t="s">
        <v>2044</v>
      </c>
      <c r="BM243" s="2" t="s">
        <v>2727</v>
      </c>
    </row>
    <row r="244" spans="1:71" ht="108" x14ac:dyDescent="0.45">
      <c r="A244" s="5">
        <v>243</v>
      </c>
      <c r="B244" s="8" t="s">
        <v>174</v>
      </c>
      <c r="C244" s="6" t="s">
        <v>6850</v>
      </c>
      <c r="D244" s="7" t="s">
        <v>9752</v>
      </c>
      <c r="E244" s="6" t="s">
        <v>1327</v>
      </c>
      <c r="F244" s="1" t="s">
        <v>695</v>
      </c>
      <c r="G244" s="1"/>
      <c r="J244" s="1" t="s">
        <v>9753</v>
      </c>
      <c r="K244" s="2" t="s">
        <v>7478</v>
      </c>
      <c r="L244" s="4" t="s">
        <v>8160</v>
      </c>
      <c r="P244" s="7" t="s">
        <v>1241</v>
      </c>
      <c r="Q244" s="14" t="str">
        <f>INDEX($L:$L, MATCH("divide", $B:$B, 0))</f>
        <v>&lt;span class="w"&gt;&lt;b&gt;【308.divide：～を分ける】&lt;/b&gt;&lt;/span&gt;
&lt;span class="ml"&gt;ラテン語に由来する語で、以下の2つの要素から成る。
&lt;span class="spacer"&gt;&lt;/span&gt;dis（離れて）
videre（分ける）
&lt;span class="spacer"&gt;&lt;/span&gt;このまま日本語にすると「分けて離す」となる。ここから分離する＝「分ける, 分かれる」という意味になる。&lt;/span&gt;</v>
      </c>
      <c r="R244" s="13" t="str">
        <f>INDEX($L:$L, MATCH("individual", $B:$B, 0))</f>
        <v>&lt;span class="w"&gt;&lt;b&gt;【82.individual：個々の, 個人の】&lt;/b&gt;&lt;/span&gt;
&lt;span class="ml"&gt;ラテン語に由来する語で、以下の4つの要素から成る。
&lt;span class="spacer"&gt;&lt;/span&gt;in（否定）
dis（離れて）
videre（分ける）
alis（形容詞化）
&lt;span class="spacer"&gt;&lt;/span&gt;このまま日本語にすると「（それ以上）分けて離すことができない」となる。つまりもう分けられない最小単位となった物や人＝「個々の, 個人の」という意味になる。
&lt;span class="spacer"&gt;&lt;/span&gt;ラテン語dis（離れて）とvidere（分ける）からは英語の動詞divide（分ける）が生まれている。individualは、divideをinで否定している形容詞と覚えれば、individualとdiveideをセットで覚えられる。&lt;/span&gt;</v>
      </c>
      <c r="AU244" s="15"/>
      <c r="AV244" s="1" t="s">
        <v>1502</v>
      </c>
      <c r="BG244" s="7" t="s">
        <v>1503</v>
      </c>
      <c r="BH244" s="1" t="s">
        <v>2034</v>
      </c>
      <c r="BI244" s="2" t="s">
        <v>2728</v>
      </c>
      <c r="BJ244" s="1" t="s">
        <v>2048</v>
      </c>
      <c r="BK244" s="2" t="s">
        <v>2729</v>
      </c>
      <c r="BL244" s="1" t="s">
        <v>1504</v>
      </c>
      <c r="BM244" s="2" t="s">
        <v>2730</v>
      </c>
      <c r="BN244" s="1" t="s">
        <v>2044</v>
      </c>
      <c r="BO244" s="2" t="s">
        <v>2731</v>
      </c>
      <c r="BP244" s="1" t="s">
        <v>1860</v>
      </c>
      <c r="BQ244" s="2" t="s">
        <v>2732</v>
      </c>
    </row>
    <row r="245" spans="1:71" ht="198" x14ac:dyDescent="0.45">
      <c r="A245" s="5">
        <v>244</v>
      </c>
      <c r="B245" s="8" t="s">
        <v>175</v>
      </c>
      <c r="C245" s="6" t="s">
        <v>6850</v>
      </c>
      <c r="D245" s="7" t="s">
        <v>9752</v>
      </c>
      <c r="E245" s="6" t="s">
        <v>175</v>
      </c>
      <c r="F245" s="1"/>
      <c r="G245" s="1"/>
      <c r="J245" s="1" t="s">
        <v>9753</v>
      </c>
      <c r="K245" s="2" t="s">
        <v>7479</v>
      </c>
      <c r="L245" s="3" t="s">
        <v>8161</v>
      </c>
      <c r="M245" s="1" t="s">
        <v>12150</v>
      </c>
      <c r="P245" s="7" t="s">
        <v>1241</v>
      </c>
      <c r="Q245" s="13" t="str">
        <f>INDEX($L:$L, MATCH("occur", $B:$B, 0))</f>
        <v>&lt;span class="w"&gt;&lt;b&gt;【108.occur：起こる, 思い浮かぶ】&lt;/b&gt;&lt;/span&gt;
&lt;span class="ml"&gt;ラテン語に由来する語で、以下の2つの要素から成る。
&lt;span class="spacer"&gt;&lt;/span&gt;ob（～に対して）
currere（走る）
&lt;span class="spacer"&gt;&lt;/span&gt;このまま日本語にすると「～に対して走る」となる。これは走っているときに何かにぶつかるという、自分の意思とは関係のない不意の出来事を表す。
&lt;span class="spacer"&gt;&lt;/span&gt;ここから、ある出来事が自分の前に不意に現れる＝何かが「起こる」という意味になる。また、ある考えが自分の前に不意に現れる「思い浮かぶ」という意味になる。
&lt;div class="sample_image occur"&gt;&lt;/div&gt;
&lt;span class="spacer"&gt;&lt;/span&gt;移動中にぶつかるという表現で偶然性を表すことは、英語のrun into, run across, come acrossなどにも見られる。&lt;/span&gt;</v>
      </c>
      <c r="R245" s="13" t="str">
        <f>INDEX($L:$L, MATCH("current", $B:$B, 0))</f>
        <v>&lt;span class="w"&gt;&lt;b&gt;【182.current：現在の, 現代の, 流通している】&lt;/b&gt;&lt;/span&gt;
&lt;span class="ml"&gt;ラテン語currere（走る）に由来する。
&lt;span class="spacer"&gt;&lt;/span&gt;「走る」という語は人や物が動いているというイメージになり、「流通している」という意味になる。
&lt;span class="spacer"&gt;&lt;/span&gt;また動いているのはまさにいま現在なので「現在の, 現代の」という意味になる。&lt;/span&gt;</v>
      </c>
      <c r="S245" s="13" t="str">
        <f>INDEX($L:$L, MATCH("curriculum", $B:$B, 0))</f>
        <v>&lt;span class="w"&gt;&lt;b&gt;【878.curriculum：カリキュラム, 教育課程】&lt;/b&gt;&lt;/span&gt;
&lt;span class="ml"&gt;ラテン語に由来する語で、以下の2つの要素から成る。
&lt;span class="spacer"&gt;&lt;/span&gt;currere（走る）
culum（名詞化：場所・道具を表す）
&lt;span class="spacer"&gt;&lt;/span&gt;このまま日本語にすると「走るための場所」となる。もともとは実際に走るコースを表していたが、そこから教育において進んでいくコース＝「教育課程, カリキュラム」という意味になった。
&lt;div class="sample_image curriculum"&gt;&lt;/div&gt;&lt;/span&gt;</v>
      </c>
      <c r="AU245" s="15"/>
      <c r="AV245" s="1" t="s">
        <v>1502</v>
      </c>
      <c r="BG245" s="7" t="s">
        <v>1503</v>
      </c>
      <c r="BH245" s="1" t="s">
        <v>2034</v>
      </c>
      <c r="BI245" s="2" t="s">
        <v>2733</v>
      </c>
      <c r="BJ245" s="1" t="s">
        <v>2147</v>
      </c>
      <c r="BK245" s="1" t="s">
        <v>2734</v>
      </c>
      <c r="BL245" s="1" t="s">
        <v>1504</v>
      </c>
      <c r="BM245" s="2" t="s">
        <v>2735</v>
      </c>
      <c r="BN245" s="1" t="s">
        <v>2044</v>
      </c>
      <c r="BO245" s="2" t="s">
        <v>2736</v>
      </c>
      <c r="BP245" s="1" t="s">
        <v>1865</v>
      </c>
      <c r="BQ245" s="2" t="s">
        <v>2737</v>
      </c>
    </row>
    <row r="246" spans="1:71" ht="216" x14ac:dyDescent="0.45">
      <c r="A246" s="5">
        <v>245</v>
      </c>
      <c r="B246" s="8" t="s">
        <v>176</v>
      </c>
      <c r="C246" s="6" t="s">
        <v>6850</v>
      </c>
      <c r="D246" s="7" t="s">
        <v>9752</v>
      </c>
      <c r="E246" s="6" t="s">
        <v>1426</v>
      </c>
      <c r="F246" s="1" t="s">
        <v>1427</v>
      </c>
      <c r="G246" s="1"/>
      <c r="J246" s="1" t="s">
        <v>9753</v>
      </c>
      <c r="K246" s="2" t="s">
        <v>7480</v>
      </c>
      <c r="L246" s="4" t="s">
        <v>8162</v>
      </c>
      <c r="M246" s="1" t="s">
        <v>12182</v>
      </c>
      <c r="P246" s="7" t="s">
        <v>1241</v>
      </c>
      <c r="Q246" s="14" t="str">
        <f>INDEX($L:$L, MATCH("contrary", $B:$B, 0))</f>
        <v>&lt;span class="w"&gt;&lt;b&gt;【488.contrary：反対の】&lt;/b&gt;&lt;/span&gt;
&lt;span class="ml"&gt;ラテン語に由来する語で、以下の2つの要素から成る。
&lt;span class="spacer"&gt;&lt;/span&gt;contra（〜に対して, 反対に）
arius（形容詞化）
&lt;span class="spacer"&gt;&lt;/span&gt;このまま日本語にすると「反対の」という意味になる。&lt;/span&gt;</v>
      </c>
      <c r="R246" s="14" t="str">
        <f>INDEX($L:$L, MATCH("controversy", $B:$B, 0))</f>
        <v>&lt;span class="w"&gt;&lt;b&gt;【1152.controversy：論争】&lt;/b&gt;&lt;/span&gt;
&lt;span class="ml"&gt;ラテン語に由来する語で、以下の3つの要素から成る。
&lt;span class="spacer"&gt;&lt;/span&gt;contra（反対に）
versus（〜の方に向けられた)
ia（名詞化）
&lt;span class="spacer"&gt;&lt;/span&gt;この語の核は「相手と同じ方向ではなく反対に向いていること、向き合っていること」。つまり考えや立場が対立して争っていることを表し、そこから 「論争」という意味になる。
&lt;div class="sample_image controversy"&gt;&lt;/div&gt;&lt;/span&gt;</v>
      </c>
      <c r="S246" s="14" t="str">
        <f>INDEX($L:$L, MATCH("contradict", $B:$B, 0))</f>
        <v>&lt;span class="w"&gt;&lt;b&gt;【1412.contradict：〜と矛盾する, 〜と反対の意見を言う】&lt;/b&gt;&lt;/span&gt;
&lt;span class="ml"&gt;ラテン語に由来する語で、以下の2つの要素から成る。
&lt;span class="spacer"&gt;&lt;/span&gt;contra（〜に対して）
dicere（言う, 話す）
&lt;span class="spacer"&gt;&lt;/span&gt;相手に反対して話すことから「反対の意見を言う」という意味に、発言や事実と反対のことを言うことから「矛盾する」という意味になる。
&lt;div class="sample_image contradict"&gt;&lt;/div&gt;&lt;/span&gt;</v>
      </c>
      <c r="T246" s="13" t="str">
        <f>INDEX($L:$L, MATCH("encounter", $B:$B, 0))</f>
        <v>&lt;span class="w"&gt;&lt;b&gt;【415.encounter：〜に遭遇する, 〜に偶然出会う】&lt;/b&gt;&lt;/span&gt;
&lt;span class="ml"&gt;ラテン語に由来する語で、以下の2つの要素から成る。
&lt;span class="spacer"&gt;&lt;/span&gt;in（中に）
contra（反対して, 〜に対して）
&lt;span class="spacer"&gt;&lt;/span&gt;この語の核は「何かと対する状況の中にいる」ということ。何かと向かい合う状況の中にいるイメージから「遭遇する, 偶然出会う」という意味になる。
&lt;div class="sample_image encounter"&gt;&lt;/div&gt;&lt;/span&gt;</v>
      </c>
      <c r="U246" s="13" t="str">
        <f>INDEX($L:$L, MATCH("counterpart", $B:$B, 0))</f>
        <v>&lt;span class="w"&gt;&lt;b&gt;【969.counterpart：相当する物や人】&lt;/b&gt;&lt;/span&gt;
&lt;span class="ml"&gt;フランス語に由来する語で、以下の2つの要素から成る。
&lt;span class="spacer"&gt;&lt;/span&gt;contra（対して）
partie（分けられたもの, 部分, 写し）
&lt;span class="spacer"&gt;&lt;/span&gt;このまま日本語にすると「何かに対応させて分けられたもの」となる。もともとは法的な文書を写して分けたものを表した。法的文書の写しは元の文書と同等のものであることから、一般的な意味に発展し、何かに「相当する物や人」という意味になった。&lt;/span&gt;</v>
      </c>
      <c r="AU246" s="15"/>
      <c r="AV246" s="1" t="s">
        <v>1502</v>
      </c>
      <c r="BG246" s="7" t="s">
        <v>1503</v>
      </c>
      <c r="BH246" s="1" t="s">
        <v>2034</v>
      </c>
      <c r="BI246" s="2" t="s">
        <v>2738</v>
      </c>
      <c r="BJ246" s="1" t="s">
        <v>2048</v>
      </c>
      <c r="BK246" s="1" t="s">
        <v>2739</v>
      </c>
      <c r="BL246" s="1" t="s">
        <v>2740</v>
      </c>
      <c r="BM246" s="1" t="s">
        <v>2741</v>
      </c>
      <c r="BN246" s="1" t="s">
        <v>2017</v>
      </c>
      <c r="BO246" s="1" t="s">
        <v>2742</v>
      </c>
      <c r="BP246" s="1" t="s">
        <v>1865</v>
      </c>
      <c r="BQ246" s="2" t="s">
        <v>2743</v>
      </c>
    </row>
    <row r="247" spans="1:71" ht="234" x14ac:dyDescent="0.45">
      <c r="A247" s="5">
        <v>246</v>
      </c>
      <c r="B247" s="8" t="s">
        <v>177</v>
      </c>
      <c r="C247" s="6" t="s">
        <v>6850</v>
      </c>
      <c r="D247" s="7" t="s">
        <v>9752</v>
      </c>
      <c r="E247" s="6" t="s">
        <v>1428</v>
      </c>
      <c r="F247" s="6" t="s">
        <v>524</v>
      </c>
      <c r="G247" s="1"/>
      <c r="J247" s="1" t="s">
        <v>9753</v>
      </c>
      <c r="K247" s="2" t="s">
        <v>7481</v>
      </c>
      <c r="L247" s="4" t="s">
        <v>8163</v>
      </c>
      <c r="P247" s="7" t="s">
        <v>1241</v>
      </c>
      <c r="Q247" s="14" t="str">
        <f>INDEX($L:$L, MATCH("select", $B:$B, 0))</f>
        <v>&lt;span class="w"&gt;&lt;b&gt;【322.select：〜を選ぶ, えり抜く】&lt;/b&gt;&lt;/span&gt;
&lt;span class="ml"&gt;ラテン語に由来する語で、以下の2つの要素から成る。
&lt;span class="spacer"&gt;&lt;/span&gt;se（離れて）
legere（集める, 選ぶ）
&lt;span class="spacer"&gt;&lt;/span&gt;このまま日本語にすると「選んで離す」となる。全体の中から選び出して離す＝「選ぶ, えり抜く」という意味になる。&lt;/span&gt;</v>
      </c>
      <c r="R247" s="14" t="str">
        <f>INDEX($L:$L, MATCH("neglect", $B:$B, 0))</f>
        <v>&lt;span class="w"&gt;&lt;b&gt;【733.neglect：〜を無視する, 〜をおろそかにする】&lt;/b&gt;&lt;/span&gt;
&lt;span class="ml"&gt;ラテン語に由来する語で、以下の2つの要素から成る。
&lt;span class="spacer"&gt;&lt;/span&gt;nec（ない）
legere（拾い上げる, 選ぶ）
&lt;span class="spacer"&gt;&lt;/span&gt;このまま日本語にすると「拾い上げない」となる。これは、拾い上げないでそのまま放置することから、何かを「おろそかにする」という意味になる。また拾わないということが、注意を払わない、軽視するといった心理的な態度を表すようになり、「無視する」という意味にもなった。&lt;/span&gt;</v>
      </c>
      <c r="S247" s="14" t="str">
        <f>INDEX($L:$L, MATCH("elect", $B:$B, 0))</f>
        <v>&lt;span class="w"&gt;&lt;b&gt;【1137.elect：〜を選出する】&lt;/b&gt;&lt;/span&gt;
&lt;span class="ml"&gt;ラテン語に由来する語で、以下の2つの要素から成る。
&lt;span class="spacer"&gt;&lt;/span&gt;ex（外に）
legere（選ぶ）
&lt;span class="spacer"&gt;&lt;/span&gt;このまま日本語にすると「選んで外に」となる。複数の選択肢から選び出すことから、「（ある役職や地位などに）選出する」という意味になる。&lt;/span&gt;</v>
      </c>
      <c r="T247" s="14" t="str">
        <f>INDEX($L:$L, MATCH("collective", $B:$B, 0))</f>
        <v>&lt;span class="w"&gt;&lt;b&gt;【895.collective：集団の, 共同の】&lt;/b&gt;&lt;/span&gt;
&lt;span class="ml"&gt;ラテン語に由来する語で、以下の2つの要素から成る。
&lt;span class="spacer"&gt;&lt;/span&gt;com（共に）
legere（集める）
ivus（形容詞化）
&lt;span class="spacer"&gt;&lt;/span&gt;このまま日本語にすると「共に集まった」、つまり「集合の, 集団な」という意味になる。これはcollect（集める）の形容詞として覚えればよい。&lt;/span&gt;</v>
      </c>
      <c r="U247" s="14" t="str">
        <f>INDEX($L:$L, MATCH("elite", $B:$B, 0))</f>
        <v>&lt;span class="w"&gt;&lt;b&gt;【746.elite：（the eliteで）エリート（集合名詞）】&lt;/b&gt;&lt;/span&gt;
&lt;span class="ml"&gt;ラテン語に由来する語で、以下の2つの要素から成る。
&lt;span class="spacer"&gt;&lt;/span&gt;ex（外に）
legere（選ぶ）
&lt;span class="spacer"&gt;&lt;/span&gt;この語の核は「外に選び出す」。ここから選び出された人たち、つまり「エリート」という意味になった。&lt;/span&gt;</v>
      </c>
      <c r="V247" s="14" t="str">
        <f>INDEX($L:$L, MATCH("lecture", $B:$B, 0))</f>
        <v>&lt;span class="w"&gt;&lt;b&gt;【368.lecture：講義, 講演, 説教】&lt;/b&gt;&lt;/span&gt;
&lt;span class="ml"&gt;ラテン語に由来する語で、以下の2つの要素から成る。
&lt;span class="spacer"&gt;&lt;/span&gt;legere（集める, 選び取る, 言葉を選び取る, 読む）
ura（名詞化）
&lt;span class="spacer"&gt;&lt;/span&gt;もともとは、書物から特定の言葉を選び出して読み上げることを意味した。本が貴重だった時代は、教師がテキストを読み上げるのが授業の基本スタイルだったことから、「講義, 講演」という意味になる。
&lt;span class="spacer"&gt;&lt;/span&gt;また相手に何かを言い聞かせるということから「説教」という意味になる。&lt;/span&gt;</v>
      </c>
      <c r="W247" s="13" t="str">
        <f>INDEX($L:$L, MATCH("intelligent", $B:$B, 0))</f>
        <v>&lt;span class="w"&gt;&lt;b&gt;【379.intelligent：聡明な, 知能が高い】&lt;/b&gt;&lt;/span&gt;
&lt;span class="ml"&gt;ラテン語に由来する語で、以下の2つの要素から成る。
&lt;span class="spacer"&gt;&lt;/span&gt;inter（～の間に）
legere（集める, 選ぶ）
&lt;span class="spacer"&gt;&lt;/span&gt;これは、さまざまな物事や情報「の間に」ある違いを見極めて「選ぶ」能力があるということを表す。ここから「知能の高い, 聡明な」という意味になる。
&lt;span class="spacer"&gt;&lt;/span&gt;AI（人工知能）は、Artificial（人工的な）Inteligence（知能）の略。inteligence（知能）の形容詞がintelligent（知能が高い）。&lt;/span&gt;</v>
      </c>
      <c r="X247" s="13" t="str">
        <f>INDEX($L:$L, MATCH("dialect", $B:$B, 0))</f>
        <v>&lt;span class="w"&gt;&lt;b&gt;【463.dialect：方言】&lt;/b&gt;&lt;/span&gt;
&lt;span class="ml"&gt;ギリシャ語に由来する語で、以下の2つの要素から成る。
&lt;span class="spacer"&gt;&lt;/span&gt;dia（間で）
legein（話す）
&lt;span class="spacer"&gt;&lt;/span&gt;このまま日本語にすると「間で話す」となる。もともとは、人々の間で言葉を交わすこと、つまり会話を意味していた。
&lt;span class="spacer"&gt;&lt;/span&gt;古代ギリシャは、一つの国家ではなく、独立した多数の都市国家（ポリス）が基本単位であり、地域ごとに話し方が異なっていた。このような言葉遣いの違いを指してdialektosが使われるようになり、そこから「方言」という意味になった。&lt;/span&gt;</v>
      </c>
      <c r="AU247" s="15"/>
      <c r="AV247" s="1" t="s">
        <v>1502</v>
      </c>
      <c r="BG247" s="7" t="s">
        <v>1503</v>
      </c>
      <c r="BH247" s="1" t="s">
        <v>2034</v>
      </c>
      <c r="BI247" s="2" t="s">
        <v>7482</v>
      </c>
      <c r="BJ247" s="1" t="s">
        <v>2519</v>
      </c>
      <c r="BK247" s="1" t="s">
        <v>2744</v>
      </c>
      <c r="BL247" s="1" t="s">
        <v>1883</v>
      </c>
      <c r="BM247" s="2" t="s">
        <v>2745</v>
      </c>
    </row>
    <row r="248" spans="1:71" ht="126" x14ac:dyDescent="0.45">
      <c r="A248" s="5">
        <v>247</v>
      </c>
      <c r="B248" s="8" t="s">
        <v>178</v>
      </c>
      <c r="C248" s="6" t="s">
        <v>6850</v>
      </c>
      <c r="D248" s="7" t="s">
        <v>9752</v>
      </c>
      <c r="E248" s="6" t="s">
        <v>178</v>
      </c>
      <c r="F248" s="1"/>
      <c r="G248" s="1"/>
      <c r="J248" s="1" t="s">
        <v>9753</v>
      </c>
      <c r="K248" s="2"/>
      <c r="L248" s="9" t="s">
        <v>10656</v>
      </c>
      <c r="P248" s="7" t="s">
        <v>1241</v>
      </c>
      <c r="Q248" s="13" t="str">
        <f>INDEX($L:$L, MATCH("penalty", $B:$B, 0))</f>
        <v>&lt;span class="w"&gt;&lt;b&gt;【1055.penalty：罰, 罰金, ペナルティ】&lt;/b&gt;&lt;/span&gt;
&lt;span class="ml"&gt;ギリシャ語poinē（罰, 罰金）に由来する。
&lt;span class="spacer"&gt;&lt;/span&gt;もともとは「罰, 刑罰」を意味したが、法に限定されず、義務違反やスポーツのルール違反などの「罰, ペナルティ」という意味にもなった。&lt;/span&gt;</v>
      </c>
      <c r="AV248" s="1" t="s">
        <v>1502</v>
      </c>
      <c r="BG248" s="7" t="s">
        <v>1503</v>
      </c>
      <c r="BH248" s="1" t="s">
        <v>2423</v>
      </c>
      <c r="BI248" s="1" t="s">
        <v>2746</v>
      </c>
      <c r="BJ248" s="1" t="s">
        <v>2034</v>
      </c>
      <c r="BK248" s="2" t="s">
        <v>2747</v>
      </c>
      <c r="BL248" s="1" t="s">
        <v>2324</v>
      </c>
      <c r="BM248" s="2" t="s">
        <v>2748</v>
      </c>
      <c r="BN248" s="1" t="s">
        <v>2031</v>
      </c>
      <c r="BO248" s="1" t="s">
        <v>2749</v>
      </c>
      <c r="BP248" s="1" t="s">
        <v>2044</v>
      </c>
      <c r="BQ248" s="2" t="s">
        <v>2750</v>
      </c>
      <c r="BR248" s="1" t="s">
        <v>1865</v>
      </c>
      <c r="BS248" s="2" t="s">
        <v>2751</v>
      </c>
    </row>
    <row r="249" spans="1:71" ht="108" x14ac:dyDescent="0.45">
      <c r="A249" s="5">
        <v>248</v>
      </c>
      <c r="B249" s="8" t="s">
        <v>179</v>
      </c>
      <c r="C249" s="6" t="s">
        <v>6850</v>
      </c>
      <c r="D249" s="7" t="s">
        <v>9752</v>
      </c>
      <c r="E249" s="6" t="s">
        <v>179</v>
      </c>
      <c r="F249" s="1"/>
      <c r="G249" s="1"/>
      <c r="J249" s="1" t="s">
        <v>9753</v>
      </c>
      <c r="K249" s="2" t="s">
        <v>7483</v>
      </c>
      <c r="L249" s="3" t="s">
        <v>8164</v>
      </c>
      <c r="P249" s="7" t="s">
        <v>1241</v>
      </c>
      <c r="AU249" s="15"/>
      <c r="AV249" s="1" t="s">
        <v>1502</v>
      </c>
      <c r="BG249" s="7" t="s">
        <v>1503</v>
      </c>
      <c r="BH249" s="1" t="s">
        <v>2034</v>
      </c>
      <c r="BI249" s="2" t="s">
        <v>2752</v>
      </c>
      <c r="BJ249" s="1" t="s">
        <v>1980</v>
      </c>
      <c r="BK249" s="2" t="s">
        <v>2753</v>
      </c>
      <c r="BL249" s="1" t="s">
        <v>2754</v>
      </c>
      <c r="BM249" s="1" t="s">
        <v>2755</v>
      </c>
      <c r="BN249" s="1" t="s">
        <v>2321</v>
      </c>
      <c r="BO249" s="1" t="s">
        <v>2756</v>
      </c>
      <c r="BP249" s="1" t="s">
        <v>2044</v>
      </c>
      <c r="BQ249" s="2" t="s">
        <v>2757</v>
      </c>
      <c r="BR249" s="1" t="s">
        <v>1865</v>
      </c>
      <c r="BS249" s="2" t="s">
        <v>2758</v>
      </c>
    </row>
    <row r="250" spans="1:71" ht="180" x14ac:dyDescent="0.45">
      <c r="A250" s="5">
        <v>249</v>
      </c>
      <c r="B250" s="8" t="s">
        <v>180</v>
      </c>
      <c r="C250" s="6" t="s">
        <v>6850</v>
      </c>
      <c r="D250" s="7" t="s">
        <v>9752</v>
      </c>
      <c r="E250" s="1" t="s">
        <v>46</v>
      </c>
      <c r="F250" s="1" t="s">
        <v>1429</v>
      </c>
      <c r="G250" s="1"/>
      <c r="J250" s="1" t="s">
        <v>9753</v>
      </c>
      <c r="K250" s="2" t="s">
        <v>7484</v>
      </c>
      <c r="L250" s="4" t="s">
        <v>8165</v>
      </c>
      <c r="M250" s="1" t="s">
        <v>12157</v>
      </c>
      <c r="P250" s="7" t="s">
        <v>1241</v>
      </c>
      <c r="Q250" s="14" t="str">
        <f>INDEX($L:$L, MATCH("maintain", $B:$B, 0))</f>
        <v>&lt;span class="w"&gt;&lt;b&gt;【206.maintain：～を維持する, ～を主張する】&lt;/b&gt;&lt;/span&gt;
&lt;span class="ml"&gt;ラテン語に由来する語で、以下の2つの要素から成る。
&lt;span class="spacer"&gt;&lt;/span&gt;manus（手）
tenere（保つ, 握る）
&lt;span class="spacer"&gt;&lt;/span&gt;このまま日本語にすると「手で保つ」となる。手を使って何かを支えるイメージから、状態が続くように支える＝「維持する」という意味になる。手ではなく発言で誰かを支えるとなれば「主張する」という意味になる。&lt;/span&gt;</v>
      </c>
      <c r="R250" s="14" t="str">
        <f>INDEX($L:$L, MATCH("obtain", $B:$B, 0))</f>
        <v>&lt;span class="w"&gt;&lt;b&gt;【507.obtain：〜を得る】&lt;/b&gt;&lt;/span&gt;
&lt;span class="ml"&gt;ラテン語に由来する語で、以下の2つの要素から成る。
&lt;span class="spacer"&gt;&lt;/span&gt;ob（強意）
tenere（保つ）
&lt;span class="spacer"&gt;&lt;/span&gt;この語の核は「しっかり保つ」。ここから、何かをしっかりつかみとってそれを離さない、つまり努力して何かを「得る」という意味になる。
&lt;div class="sample_image obtain"&gt;&lt;/div&gt;&lt;/span&gt;</v>
      </c>
      <c r="S250" s="14" t="str">
        <f>INDEX($L:$L, MATCH("sustain", $B:$B, 0))</f>
        <v>&lt;span class="w"&gt;&lt;b&gt;【738.sustain：〜を持続させる】&lt;/b&gt;&lt;/span&gt;
&lt;span class="ml"&gt;ラテン語に由来する語で、以下の2つの要素から成る。
&lt;span class="spacer"&gt;&lt;/span&gt;sub（下から）
tenere（保つ, 保持する）
&lt;span class="spacer"&gt;&lt;/span&gt;このまま日本語にすると「下から保つ」となる。下から支えるイメージから、何かを「持続させる」という意味になる。
&lt;div class="sample_image sustain"&gt;&lt;/div&gt;&lt;/span&gt;</v>
      </c>
      <c r="T250" s="14" t="str">
        <f>INDEX($L:$L, MATCH("retain", $B:$B, 0))</f>
        <v>&lt;span class="w"&gt;&lt;b&gt;【916.retain：〜を保持する】&lt;/b&gt;&lt;/span&gt;
&lt;span class="ml"&gt;ラテン語に由来する語で、以下の2つの要素から成る。
&lt;span class="spacer"&gt;&lt;/span&gt;re（後ろに）
tenere（つかむ）
&lt;span class="spacer"&gt;&lt;/span&gt;このまま日本語にすると「つかんで後ろに」となる。何かを後ろ方向につかんで引き止めるイメージから、なくならないように留めておく、つまり何かを「保持する」という意味になる。
&lt;div class="sample_image retain"&gt;&lt;/div&gt;&lt;/span&gt;</v>
      </c>
      <c r="U250" s="14" t="str">
        <f>INDEX($L:$L, MATCH("entertain", $B:$B, 0))</f>
        <v>&lt;span class="w"&gt;&lt;b&gt;【919.entertain：〜を楽しませる, 〜をもてなす】&lt;/b&gt;&lt;/span&gt;
&lt;span class="ml"&gt;古フランス語に由来する語で、以下の2つの要素から成る。
&lt;span class="spacer"&gt;&lt;/span&gt;entre（間に）
tenir（保つ）
&lt;span class="spacer"&gt;&lt;/span&gt;この語の核は「自分と相手の間にある関係や状態を保つ」。良好な関係に保つために、客人を「もてなす」や相手を「楽しませる」という意味になる。&lt;/span&gt;</v>
      </c>
      <c r="V250" s="13" t="str">
        <f>INDEX($L:$L, MATCH("contain", $B:$B, 0))</f>
        <v>&lt;span class="w"&gt;&lt;b&gt;【130.contain：〜を含む, 感情などを抑える】&lt;/b&gt;&lt;/span&gt;
&lt;span class="ml"&gt;ラテン語に由来する語で、以下の2つの要素から成る。
&lt;span class="spacer"&gt;&lt;/span&gt;com（共に）
tenere（保持する）
&lt;span class="spacer"&gt;&lt;/span&gt;このまま日本語にすると「共に保持する」となる。ある状態や物を一緒にまとめて保っておくイメージ。ここから感情を自分の内側にまとめて保つ＝「感情などを抑える」、物を何かの中にまとめて保つ＝「含む」という意味になる。&lt;/span&gt;</v>
      </c>
      <c r="AU250" s="15"/>
      <c r="AV250" s="1" t="s">
        <v>1502</v>
      </c>
      <c r="BG250" s="7" t="s">
        <v>1503</v>
      </c>
      <c r="BH250" s="1" t="s">
        <v>2034</v>
      </c>
      <c r="BI250" s="2" t="s">
        <v>2759</v>
      </c>
      <c r="BJ250" s="1" t="s">
        <v>2044</v>
      </c>
      <c r="BK250" s="2" t="s">
        <v>2760</v>
      </c>
    </row>
    <row r="251" spans="1:71" ht="126" x14ac:dyDescent="0.45">
      <c r="A251" s="5">
        <v>250</v>
      </c>
      <c r="B251" s="8" t="s">
        <v>1579</v>
      </c>
      <c r="C251" s="6" t="s">
        <v>6850</v>
      </c>
      <c r="D251" s="7" t="s">
        <v>9752</v>
      </c>
      <c r="E251" s="6" t="s">
        <v>1857</v>
      </c>
      <c r="F251" s="1" t="s">
        <v>1584</v>
      </c>
      <c r="G251" s="1"/>
      <c r="J251" s="1" t="s">
        <v>9753</v>
      </c>
      <c r="K251" s="2" t="s">
        <v>7485</v>
      </c>
      <c r="L251" s="3" t="s">
        <v>8840</v>
      </c>
      <c r="P251" s="7" t="s">
        <v>1241</v>
      </c>
      <c r="Q251" s="13" t="str">
        <f>INDEX($L:$L, MATCH("sector", $B:$B, 0))</f>
        <v>&lt;span class="w"&gt;&lt;b&gt;【772.sector：部門（領域）, セクター】&lt;/b&gt;&lt;/span&gt;
&lt;span class="ml"&gt;ラテン語に由来する語で、以下の2つの要素から成る。
&lt;span class="spacer"&gt;&lt;/span&gt;secare（切る）
or（〜する人, 〜するもの）
&lt;span class="spacer"&gt;&lt;/span&gt;このまま日本語にすると「切る人・もの」となる。もともとは円を切られたもの、つまり「扇形」を表した。
&lt;span class="spacer"&gt;&lt;/span&gt;第一次世界大戦時においては、司令部を中心として円形に区切られた担当区域や作戦地域を指したが、そこから形を問わず様々な「部門, 領域」を意味するようになった。
&lt;div class="sample_image sector"&gt;&lt;/div&gt;&lt;/span&gt;</v>
      </c>
      <c r="AU251" s="15"/>
      <c r="AV251" s="1" t="s">
        <v>1502</v>
      </c>
      <c r="BG251" s="7" t="s">
        <v>1503</v>
      </c>
      <c r="BH251" s="1" t="s">
        <v>2034</v>
      </c>
      <c r="BI251" s="2" t="s">
        <v>7486</v>
      </c>
      <c r="BJ251" s="1" t="s">
        <v>2031</v>
      </c>
      <c r="BK251" s="1" t="s">
        <v>2761</v>
      </c>
      <c r="BL251" s="1" t="s">
        <v>2044</v>
      </c>
      <c r="BM251" s="2" t="s">
        <v>2762</v>
      </c>
      <c r="BO251" s="2"/>
    </row>
    <row r="252" spans="1:71" ht="108" x14ac:dyDescent="0.45">
      <c r="A252" s="5">
        <v>251</v>
      </c>
      <c r="B252" s="8" t="s">
        <v>1581</v>
      </c>
      <c r="C252" s="6" t="s">
        <v>6850</v>
      </c>
      <c r="D252" s="7" t="s">
        <v>9752</v>
      </c>
      <c r="E252" s="6" t="s">
        <v>8915</v>
      </c>
      <c r="F252" s="1" t="s">
        <v>1895</v>
      </c>
      <c r="G252" s="1"/>
      <c r="J252" s="1" t="s">
        <v>9753</v>
      </c>
      <c r="K252" s="2" t="s">
        <v>7487</v>
      </c>
      <c r="L252" s="9" t="s">
        <v>8166</v>
      </c>
      <c r="P252" s="7" t="s">
        <v>1241</v>
      </c>
      <c r="Q252" s="13" t="str">
        <f>INDEX($L:$L, MATCH("obey", $B:$B, 0))</f>
        <v>&lt;span class="w"&gt;&lt;b&gt;【1023.obey：〜に従う】&lt;/b&gt;&lt;/span&gt;
&lt;span class="ml"&gt;ラテン語に由来する語で、以下の2つの要素から成る。
&lt;span class="spacer"&gt;&lt;/span&gt;ob（〜に向かって）
audire（聞く）
&lt;span class="spacer"&gt;&lt;/span&gt;この語の核は「対象に耳を傾ける」。相手の言うことをしっかりと聞くことから、相手の言葉を受け入れてその通りに行動することを表すようになり、「従う」という意味になった。
&lt;div class="sample_image obey"&gt;&lt;/div&gt;&lt;/span&gt;</v>
      </c>
      <c r="AU252" s="15"/>
      <c r="AV252" s="1" t="s">
        <v>1502</v>
      </c>
      <c r="BG252" s="7" t="s">
        <v>1503</v>
      </c>
      <c r="BH252" s="1" t="s">
        <v>2034</v>
      </c>
      <c r="BI252" s="2" t="s">
        <v>2763</v>
      </c>
      <c r="BJ252" s="1" t="s">
        <v>2031</v>
      </c>
      <c r="BK252" s="1" t="s">
        <v>2764</v>
      </c>
      <c r="BL252" s="1" t="s">
        <v>2044</v>
      </c>
      <c r="BM252" s="2" t="s">
        <v>2765</v>
      </c>
      <c r="BN252" s="1" t="s">
        <v>1865</v>
      </c>
      <c r="BO252" s="2" t="s">
        <v>2766</v>
      </c>
      <c r="BP252" s="1" t="s">
        <v>1860</v>
      </c>
      <c r="BQ252" s="2" t="s">
        <v>2767</v>
      </c>
    </row>
    <row r="253" spans="1:71" ht="108" x14ac:dyDescent="0.45">
      <c r="A253" s="5">
        <v>252</v>
      </c>
      <c r="B253" s="8" t="s">
        <v>181</v>
      </c>
      <c r="C253" s="6" t="s">
        <v>6850</v>
      </c>
      <c r="D253" s="7" t="s">
        <v>9752</v>
      </c>
      <c r="E253" s="6" t="s">
        <v>1341</v>
      </c>
      <c r="F253" s="6" t="s">
        <v>1430</v>
      </c>
      <c r="G253" s="1"/>
      <c r="J253" s="1" t="s">
        <v>9753</v>
      </c>
      <c r="K253" s="2" t="s">
        <v>7488</v>
      </c>
      <c r="L253" s="9" t="s">
        <v>8167</v>
      </c>
      <c r="P253" s="7" t="s">
        <v>1241</v>
      </c>
      <c r="AU253" s="15"/>
      <c r="AV253" s="1" t="s">
        <v>1502</v>
      </c>
      <c r="BG253" s="7" t="s">
        <v>1503</v>
      </c>
      <c r="BH253" s="1" t="s">
        <v>2034</v>
      </c>
      <c r="BI253" s="2" t="s">
        <v>2768</v>
      </c>
      <c r="BJ253" s="1" t="s">
        <v>2031</v>
      </c>
      <c r="BK253" s="2" t="s">
        <v>2769</v>
      </c>
      <c r="BL253" s="1" t="s">
        <v>2017</v>
      </c>
      <c r="BM253" s="1" t="s">
        <v>2770</v>
      </c>
      <c r="BN253" s="1" t="s">
        <v>1865</v>
      </c>
      <c r="BO253" s="2" t="s">
        <v>2771</v>
      </c>
    </row>
    <row r="254" spans="1:71" ht="90" x14ac:dyDescent="0.45">
      <c r="A254" s="5">
        <v>253</v>
      </c>
      <c r="B254" s="8" t="s">
        <v>182</v>
      </c>
      <c r="C254" s="6" t="s">
        <v>6850</v>
      </c>
      <c r="D254" s="7" t="s">
        <v>9752</v>
      </c>
      <c r="E254" s="6" t="s">
        <v>182</v>
      </c>
      <c r="F254" s="1"/>
      <c r="G254" s="1"/>
      <c r="J254" s="1" t="s">
        <v>9753</v>
      </c>
      <c r="K254" s="2"/>
      <c r="L254" s="9" t="s">
        <v>8168</v>
      </c>
      <c r="P254" s="7" t="s">
        <v>1241</v>
      </c>
      <c r="AU254" s="15"/>
      <c r="AV254" s="1" t="s">
        <v>1502</v>
      </c>
      <c r="BG254" s="7" t="s">
        <v>1503</v>
      </c>
      <c r="BH254" s="1" t="s">
        <v>2648</v>
      </c>
      <c r="BI254" s="2" t="s">
        <v>2772</v>
      </c>
      <c r="BJ254" s="1" t="s">
        <v>2044</v>
      </c>
      <c r="BK254" s="2" t="s">
        <v>2773</v>
      </c>
    </row>
    <row r="255" spans="1:71" ht="198" x14ac:dyDescent="0.45">
      <c r="A255" s="5">
        <v>254</v>
      </c>
      <c r="B255" s="8" t="s">
        <v>183</v>
      </c>
      <c r="C255" s="6" t="s">
        <v>6850</v>
      </c>
      <c r="D255" s="7" t="s">
        <v>9752</v>
      </c>
      <c r="E255" s="6" t="s">
        <v>183</v>
      </c>
      <c r="F255" s="1"/>
      <c r="G255" s="1"/>
      <c r="J255" s="1" t="s">
        <v>9753</v>
      </c>
      <c r="K255" s="2" t="s">
        <v>7489</v>
      </c>
      <c r="L255" s="9" t="s">
        <v>8169</v>
      </c>
      <c r="P255" s="7" t="s">
        <v>1241</v>
      </c>
      <c r="AU255" s="15"/>
      <c r="AV255" s="1" t="s">
        <v>1502</v>
      </c>
      <c r="BG255" s="7" t="s">
        <v>1503</v>
      </c>
      <c r="BH255" s="1" t="s">
        <v>2423</v>
      </c>
      <c r="BI255" s="2" t="s">
        <v>2774</v>
      </c>
      <c r="BJ255" s="1" t="s">
        <v>1237</v>
      </c>
      <c r="BK255" s="2" t="s">
        <v>2775</v>
      </c>
      <c r="BL255" s="1" t="s">
        <v>1883</v>
      </c>
      <c r="BM255" s="2" t="s">
        <v>4492</v>
      </c>
    </row>
    <row r="256" spans="1:71" ht="54" x14ac:dyDescent="0.45">
      <c r="A256" s="5">
        <v>255</v>
      </c>
      <c r="B256" s="8" t="s">
        <v>184</v>
      </c>
      <c r="C256" s="6" t="s">
        <v>6850</v>
      </c>
      <c r="D256" s="7" t="s">
        <v>9752</v>
      </c>
      <c r="E256" s="1" t="s">
        <v>8916</v>
      </c>
      <c r="F256" s="1" t="s">
        <v>2776</v>
      </c>
      <c r="G256" s="1"/>
      <c r="J256" s="1" t="s">
        <v>9753</v>
      </c>
      <c r="K256" s="2" t="s">
        <v>7490</v>
      </c>
      <c r="L256" s="4" t="s">
        <v>8170</v>
      </c>
      <c r="P256" s="7" t="s">
        <v>1241</v>
      </c>
      <c r="Q256" s="16" t="str">
        <f>INDEX($L:$L, MATCH("technology", $B:$B, 0))</f>
        <v>&lt;span class="w"&gt;&lt;b&gt;【77.technology：科学技術】&lt;/b&gt;&lt;/span&gt;
&lt;span class="ml"&gt;ギリシャ語に由来する語で、以下の2つの要素から成る。
&lt;span class="spacer"&gt;&lt;/span&gt;tekhnē（技能, 技術）
logia（学問, 論）
&lt;span class="spacer"&gt;&lt;/span&gt;このまま日本語にすると「ある技能や技術に関する論述や学問」となる。~logyは学問名を形成する要素で、もともとは技能や技術を理論的に扱う学問を指したが、そこから科学理論に基づいた技術＝「科学技術」そのものを意味するようになった。&lt;/span&gt;</v>
      </c>
      <c r="AU256" s="15"/>
      <c r="AV256" s="1" t="s">
        <v>1502</v>
      </c>
      <c r="BG256" s="7" t="s">
        <v>1503</v>
      </c>
      <c r="BH256" s="1" t="s">
        <v>2423</v>
      </c>
      <c r="BI256" s="2" t="s">
        <v>2777</v>
      </c>
      <c r="BJ256" s="1" t="s">
        <v>2519</v>
      </c>
      <c r="BK256" s="1" t="s">
        <v>2778</v>
      </c>
      <c r="BL256" s="1" t="s">
        <v>1883</v>
      </c>
      <c r="BM256" s="2" t="s">
        <v>2779</v>
      </c>
    </row>
    <row r="257" spans="1:69" ht="234" x14ac:dyDescent="0.45">
      <c r="A257" s="5">
        <v>256</v>
      </c>
      <c r="B257" s="8" t="s">
        <v>1431</v>
      </c>
      <c r="C257" s="6" t="s">
        <v>6850</v>
      </c>
      <c r="D257" s="7" t="s">
        <v>9752</v>
      </c>
      <c r="E257" s="1" t="s">
        <v>185</v>
      </c>
      <c r="F257" s="1"/>
      <c r="G257" s="1"/>
      <c r="J257" s="1" t="s">
        <v>9753</v>
      </c>
      <c r="K257" s="2" t="s">
        <v>7491</v>
      </c>
      <c r="L257" s="4" t="s">
        <v>8171</v>
      </c>
      <c r="P257" s="7" t="s">
        <v>1241</v>
      </c>
      <c r="Q257" s="14"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R257" s="14"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S257" s="14" t="str">
        <f>INDEX($L:$L, MATCH("establish", $B:$B, 0))</f>
        <v>&lt;span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v>
      </c>
      <c r="T257" s="14" t="str">
        <f>INDEX($L:$L, MATCH("static", $B:$B, 0))</f>
        <v>&lt;span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v>
      </c>
      <c r="U257" s="14"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V257" s="14"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W257" s="14"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X257" s="14"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Y257" s="13"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Z257" s="13"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AA257" s="13" t="str">
        <f>INDEX($L:$L, MATCH("steady", $B:$B, 0))</f>
        <v>&lt;span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v>
      </c>
      <c r="AB257"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C257" s="13" t="str">
        <f>INDEX($L:$L, MATCH("restore", $B:$B, 0))</f>
        <v>&lt;span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v>
      </c>
      <c r="AD257" s="13"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AE257" s="13"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U257" s="15"/>
      <c r="AV257" s="1" t="s">
        <v>1502</v>
      </c>
      <c r="BG257" s="7" t="s">
        <v>1503</v>
      </c>
      <c r="BH257" s="1" t="s">
        <v>2780</v>
      </c>
      <c r="BI257" s="2" t="s">
        <v>7492</v>
      </c>
      <c r="BJ257" s="1" t="s">
        <v>1865</v>
      </c>
      <c r="BK257" s="2" t="s">
        <v>2781</v>
      </c>
    </row>
    <row r="258" spans="1:69" ht="108" x14ac:dyDescent="0.45">
      <c r="A258" s="5">
        <v>257</v>
      </c>
      <c r="B258" s="8" t="s">
        <v>1583</v>
      </c>
      <c r="C258" s="6" t="s">
        <v>6850</v>
      </c>
      <c r="D258" s="7" t="s">
        <v>9752</v>
      </c>
      <c r="E258" s="1" t="s">
        <v>1460</v>
      </c>
      <c r="F258" s="1" t="s">
        <v>1584</v>
      </c>
      <c r="G258" s="1"/>
      <c r="J258" s="1" t="s">
        <v>9753</v>
      </c>
      <c r="K258" s="2" t="s">
        <v>7493</v>
      </c>
      <c r="L258" s="4" t="s">
        <v>8172</v>
      </c>
      <c r="P258" s="7" t="s">
        <v>1241</v>
      </c>
      <c r="Q258" s="13" t="str">
        <f>INDEX($L:$L, MATCH("adopt", $B:$B, 0))</f>
        <v>&lt;span class="w"&gt;&lt;b&gt;【314.adopt：～を採用する, ～を養子にとる】&lt;/b&gt;&lt;/span&gt;
&lt;span class="ml"&gt;ラテン語に由来する語で、以下の2つの要素から成る。
&lt;span class="spacer"&gt;&lt;/span&gt;ad（〜へ）
optare（選ぶ）
&lt;span class="spacer"&gt;&lt;/span&gt;このまま日本語にすると「〜へ選ぶ」となる。adoptは「対象を選び取って自分のものにする」というイメージ。ここから「採用する, 養子にする」という意味になる。&lt;/span&gt;</v>
      </c>
      <c r="AU258" s="15"/>
      <c r="AV258" s="1" t="s">
        <v>1502</v>
      </c>
      <c r="BG258" s="7" t="s">
        <v>1503</v>
      </c>
      <c r="BH258" s="1" t="s">
        <v>2780</v>
      </c>
      <c r="BI258" s="2" t="s">
        <v>7494</v>
      </c>
      <c r="BJ258" s="1" t="s">
        <v>2031</v>
      </c>
      <c r="BK258" s="1" t="s">
        <v>2782</v>
      </c>
      <c r="BL258" s="1" t="s">
        <v>2017</v>
      </c>
      <c r="BM258" s="1" t="s">
        <v>1583</v>
      </c>
      <c r="BN258" s="1" t="s">
        <v>1865</v>
      </c>
      <c r="BO258" s="2" t="s">
        <v>2783</v>
      </c>
    </row>
    <row r="259" spans="1:69" ht="234" x14ac:dyDescent="0.45">
      <c r="A259" s="5">
        <v>258</v>
      </c>
      <c r="B259" s="8" t="s">
        <v>1432</v>
      </c>
      <c r="C259" s="6" t="s">
        <v>6850</v>
      </c>
      <c r="D259" s="7" t="s">
        <v>9752</v>
      </c>
      <c r="E259" s="1" t="s">
        <v>1251</v>
      </c>
      <c r="F259" s="1" t="s">
        <v>1808</v>
      </c>
      <c r="G259" s="1"/>
      <c r="J259" s="1" t="s">
        <v>9753</v>
      </c>
      <c r="K259" s="2" t="s">
        <v>7495</v>
      </c>
      <c r="L259" s="3" t="s">
        <v>12096</v>
      </c>
      <c r="P259" s="7" t="s">
        <v>1241</v>
      </c>
      <c r="Q259" s="14" t="str">
        <f>INDEX($L:$L, MATCH("regard", $B:$B, 0))</f>
        <v>&lt;span class="w"&gt;&lt;b&gt;【132.regard：〜を見なす, 注意を払う, 〜を評価する, 敬意を払う】&lt;/b&gt;&lt;/span&gt;
&lt;span class="ml"&gt;古フランス語に由来する語で、以下の2つの要素から成る。
&lt;span class="spacer"&gt;&lt;/span&gt;re（強意）
garder（見る, 注意する）
&lt;span class="spacer"&gt;&lt;/span&gt;このgarderは、ボディガードのguard（監視者）の語源でもある。つまり、regardのgard部分の意味の核は「注意して見る」。
&lt;span class="spacer"&gt;&lt;/span&gt;ここからまず「注意を払う」という意味になる。
&lt;span class="spacer"&gt;&lt;/span&gt;次に、何かに注意を向けるということは、その対象に注意を向ける価値があるということ。そこから「評価する, 敬意を払う」という意味になる。
&lt;span class="spacer"&gt;&lt;/span&gt;最後に、注意というニュアンスが薄まってただ対象を見るとなり、「見なす」という意味になる。&lt;/span&gt;</v>
      </c>
      <c r="R259" s="14" t="str">
        <f>INDEX($L:$L, MATCH("regardless", $B:$B, 0))</f>
        <v>&lt;span class="w"&gt;&lt;b&gt;【497.regardless：（of ~）〜に関係なく, 〜にかかわらず】&lt;/b&gt;&lt;/span&gt;
&lt;span class="ml"&gt;近代英語にさかのぼり、以下の2つの要素から成る。
&lt;span class="spacer"&gt;&lt;/span&gt;regard（関心, 注意）
less（～がない）
&lt;span class="spacer"&gt;&lt;/span&gt;このまま日本語にすると「関心や注意がない」となる。ある事柄に注意や関心を向けず、それを考慮に入れないことから、「〜に関係なく, 〜にもかかわらず」という意味になる。&lt;/span&gt;</v>
      </c>
      <c r="S259" s="13" t="str">
        <f>INDEX($L:$L, MATCH("guard", $B:$B, 0))</f>
        <v>&lt;span class="w"&gt;&lt;b&gt;【761.guard：警備員, 監視】&lt;/b&gt;&lt;/span&gt;
&lt;span class="ml"&gt;印欧祖語*wer-（警戒する）−古フランス語garder（保持する, 保護する）に由来する。
&lt;span class="spacer"&gt;&lt;/span&gt;もともとは注意深く見て警戒するというニュアンスだったが、そこから、見ているだけではなく何かを保護するという能動的な行動のニュアンスが強まった。そして守る行為である「監視」や、守る人である「警備員」などの意味になった。&lt;/span&gt;</v>
      </c>
      <c r="T259" s="13" t="str">
        <f>INDEX($L:$L, MATCH("award", $B:$B, 0))</f>
        <v>&lt;span class="w"&gt;&lt;b&gt;【650.award：賞, 授与】&lt;/b&gt;&lt;/span&gt;
&lt;span class="ml"&gt;古北フランス語に由来する語で、以下の2つの要素から成る。
&lt;span class="spacer"&gt;&lt;/span&gt;es（外に）
warder（注意して見る）
&lt;span class="spacer"&gt;&lt;/span&gt;この語の核は「注意深く見て判断した結果、何かを外に出す」。そこから、注意深い観察の後に送られる「賞」や、賞を与えること＝「授与」という意味になった。&lt;/span&gt;</v>
      </c>
      <c r="U259" s="13" t="str">
        <f>INDEX($L:$L, MATCH("aware", $B:$B, 0))</f>
        <v>&lt;span class="w"&gt;&lt;b&gt;【190.aware：気づいて, 知って】&lt;/b&gt;&lt;/span&gt;
&lt;span class="ml"&gt;gewær（用心深い, 警戒している）にさかのぼる語。
&lt;span class="spacer"&gt;&lt;/span&gt;用心や警戒といった注意しているという感覚から、対象に注意を向けて「気づいて, 知って」という意味になった。&lt;/span&gt;</v>
      </c>
      <c r="AT259" s="15"/>
      <c r="AU259" s="15"/>
      <c r="AV259" s="1" t="s">
        <v>1502</v>
      </c>
      <c r="BG259" s="7" t="s">
        <v>1503</v>
      </c>
      <c r="BH259" s="2" t="s">
        <v>2784</v>
      </c>
      <c r="BI259" s="2" t="s">
        <v>2785</v>
      </c>
      <c r="BJ259" s="1" t="s">
        <v>2044</v>
      </c>
      <c r="BK259" s="2" t="s">
        <v>2786</v>
      </c>
    </row>
    <row r="260" spans="1:69" ht="126" x14ac:dyDescent="0.45">
      <c r="A260" s="5">
        <v>259</v>
      </c>
      <c r="B260" s="8" t="s">
        <v>186</v>
      </c>
      <c r="C260" s="6" t="s">
        <v>6850</v>
      </c>
      <c r="D260" s="7" t="s">
        <v>9752</v>
      </c>
      <c r="E260" s="6" t="s">
        <v>186</v>
      </c>
      <c r="F260" s="1"/>
      <c r="G260" s="1"/>
      <c r="J260" s="1" t="s">
        <v>9753</v>
      </c>
      <c r="K260" s="2"/>
      <c r="L260" s="9" t="s">
        <v>9201</v>
      </c>
      <c r="P260" s="7" t="s">
        <v>1241</v>
      </c>
      <c r="AT260" s="15"/>
      <c r="AU260" s="15"/>
      <c r="AV260" s="1" t="s">
        <v>1502</v>
      </c>
      <c r="BG260" s="7" t="s">
        <v>1503</v>
      </c>
      <c r="BH260" s="2" t="s">
        <v>2519</v>
      </c>
      <c r="BI260" s="2" t="s">
        <v>2787</v>
      </c>
      <c r="BJ260" s="1" t="s">
        <v>1865</v>
      </c>
      <c r="BK260" s="2" t="s">
        <v>2788</v>
      </c>
    </row>
    <row r="261" spans="1:69" ht="144" x14ac:dyDescent="0.45">
      <c r="A261" s="5">
        <v>260</v>
      </c>
      <c r="B261" s="8" t="s">
        <v>187</v>
      </c>
      <c r="C261" s="6" t="s">
        <v>6850</v>
      </c>
      <c r="D261" s="7" t="s">
        <v>9752</v>
      </c>
      <c r="E261" s="1" t="s">
        <v>187</v>
      </c>
      <c r="F261" s="1"/>
      <c r="G261" s="1"/>
      <c r="J261" s="1" t="s">
        <v>9753</v>
      </c>
      <c r="K261" s="2" t="s">
        <v>7496</v>
      </c>
      <c r="L261" s="9" t="s">
        <v>8173</v>
      </c>
      <c r="P261" s="7" t="s">
        <v>1241</v>
      </c>
      <c r="AU261" s="15"/>
      <c r="AV261" s="1" t="s">
        <v>1502</v>
      </c>
      <c r="BG261" s="7" t="s">
        <v>1503</v>
      </c>
      <c r="BH261" s="1" t="s">
        <v>2780</v>
      </c>
      <c r="BI261" s="2" t="s">
        <v>2789</v>
      </c>
      <c r="BJ261" s="1" t="s">
        <v>2031</v>
      </c>
      <c r="BK261" s="2" t="s">
        <v>2790</v>
      </c>
      <c r="BL261" s="1" t="s">
        <v>2044</v>
      </c>
      <c r="BM261" s="2" t="s">
        <v>2791</v>
      </c>
    </row>
    <row r="262" spans="1:69" ht="144" x14ac:dyDescent="0.45">
      <c r="A262" s="5">
        <v>261</v>
      </c>
      <c r="B262" s="8" t="s">
        <v>188</v>
      </c>
      <c r="C262" s="6" t="s">
        <v>6850</v>
      </c>
      <c r="D262" s="7" t="s">
        <v>9752</v>
      </c>
      <c r="E262" s="6" t="s">
        <v>46</v>
      </c>
      <c r="F262" s="1" t="s">
        <v>1433</v>
      </c>
      <c r="G262" s="1"/>
      <c r="J262" s="1" t="s">
        <v>9753</v>
      </c>
      <c r="K262" s="2" t="s">
        <v>7497</v>
      </c>
      <c r="L262" s="3" t="s">
        <v>8174</v>
      </c>
      <c r="P262" s="7" t="s">
        <v>1241</v>
      </c>
      <c r="AU262" s="15"/>
      <c r="AV262" s="1" t="s">
        <v>1502</v>
      </c>
      <c r="BG262" s="7" t="s">
        <v>1503</v>
      </c>
      <c r="BH262" s="1" t="s">
        <v>2780</v>
      </c>
      <c r="BI262" s="2" t="s">
        <v>2792</v>
      </c>
      <c r="BJ262" s="1" t="s">
        <v>2147</v>
      </c>
      <c r="BK262" s="1" t="s">
        <v>2793</v>
      </c>
      <c r="BL262" s="1" t="s">
        <v>1504</v>
      </c>
      <c r="BM262" s="1" t="s">
        <v>2794</v>
      </c>
      <c r="BN262" s="1" t="s">
        <v>2044</v>
      </c>
      <c r="BO262" s="2" t="s">
        <v>2795</v>
      </c>
    </row>
    <row r="263" spans="1:69" ht="72" x14ac:dyDescent="0.45">
      <c r="A263" s="5">
        <v>262</v>
      </c>
      <c r="B263" s="8" t="s">
        <v>189</v>
      </c>
      <c r="C263" s="6" t="s">
        <v>6850</v>
      </c>
      <c r="D263" s="7" t="s">
        <v>9752</v>
      </c>
      <c r="E263" s="6" t="s">
        <v>189</v>
      </c>
      <c r="F263" s="1"/>
      <c r="G263" s="1"/>
      <c r="J263" s="1" t="s">
        <v>9753</v>
      </c>
      <c r="K263" s="2" t="s">
        <v>2796</v>
      </c>
      <c r="L263" s="9" t="s">
        <v>8175</v>
      </c>
      <c r="P263" s="7" t="s">
        <v>1241</v>
      </c>
      <c r="AU263" s="15"/>
      <c r="AV263" s="1" t="s">
        <v>1502</v>
      </c>
      <c r="BG263" s="7" t="s">
        <v>1503</v>
      </c>
      <c r="BH263" s="1" t="s">
        <v>1863</v>
      </c>
      <c r="BI263" s="2" t="s">
        <v>2797</v>
      </c>
      <c r="BJ263" s="1" t="s">
        <v>1865</v>
      </c>
      <c r="BK263" s="2" t="s">
        <v>2798</v>
      </c>
    </row>
    <row r="264" spans="1:69" ht="198" x14ac:dyDescent="0.45">
      <c r="A264" s="5">
        <v>263</v>
      </c>
      <c r="B264" s="8" t="s">
        <v>190</v>
      </c>
      <c r="C264" s="6" t="s">
        <v>6850</v>
      </c>
      <c r="D264" s="7" t="s">
        <v>9752</v>
      </c>
      <c r="E264" s="6" t="s">
        <v>46</v>
      </c>
      <c r="F264" s="6" t="s">
        <v>1434</v>
      </c>
      <c r="G264" s="1"/>
      <c r="J264" s="1" t="s">
        <v>9753</v>
      </c>
      <c r="K264" s="2" t="s">
        <v>7498</v>
      </c>
      <c r="L264" s="3" t="s">
        <v>8176</v>
      </c>
      <c r="P264" s="7" t="s">
        <v>1241</v>
      </c>
      <c r="Q264" s="13" t="str">
        <f>INDEX($L:$L, MATCH("tissue", $B:$B, 0))</f>
        <v>&lt;span class="w"&gt;&lt;b&gt;【765.tissue：（生物の）組織, ティッシュペーパー】&lt;/b&gt;&lt;/span&gt;
&lt;span class="ml"&gt;ラテン語texere（織る）に由来する。
&lt;span class="spacer"&gt;&lt;/span&gt;もともとは、薄くて軽いガーゼのような細かく織られた布地を表した。
&lt;span class="spacer"&gt;&lt;/span&gt;そして生物学において、動植物の細胞や繊維が、まるで布の目のように複雑に織り合わさって形作られていることから、生物の「組織」という意味になった。
&lt;span class="spacer"&gt;&lt;/span&gt;さらに1929年から薄くて柔らかい紙である「ティッシュペーパー」という意味になった。&lt;/span&gt;</v>
      </c>
      <c r="R264" s="13" t="str">
        <f>INDEX($L:$L, MATCH("subtle", $B:$B, 0))</f>
        <v>&lt;span class="w"&gt;&lt;b&gt;【788.subtle：微妙な, かすかな】&lt;/b&gt;&lt;/span&gt;
&lt;span class="ml"&gt;ラテン語に由来する語で、以下の2つの要素から成る。
&lt;span class="spacer"&gt;&lt;/span&gt;sub（〜の下へ）
tele（縦糸）
&lt;span class="spacer"&gt;&lt;/span&gt;縦糸の下に細かく横糸を通し、布がきめ細かく織られることから繊細さを表すようになった。そしてそこから発展し、捉えがたい繊細さを表す「微妙な, かすかな」という意味になった。
&lt;div class="sample_image subtle"&gt;&lt;/div&gt;&lt;/span&gt;</v>
      </c>
      <c r="AU264" s="15"/>
      <c r="AV264" s="1" t="s">
        <v>1502</v>
      </c>
      <c r="BG264" s="7" t="s">
        <v>1503</v>
      </c>
      <c r="BH264" s="1" t="s">
        <v>2780</v>
      </c>
      <c r="BI264" s="2" t="s">
        <v>2799</v>
      </c>
      <c r="BJ264" s="1" t="s">
        <v>2044</v>
      </c>
      <c r="BK264" s="2" t="s">
        <v>2800</v>
      </c>
      <c r="BL264" s="1" t="s">
        <v>1865</v>
      </c>
      <c r="BM264" s="2" t="s">
        <v>2801</v>
      </c>
    </row>
    <row r="265" spans="1:69" ht="126" x14ac:dyDescent="0.45">
      <c r="A265" s="5">
        <v>264</v>
      </c>
      <c r="B265" s="8" t="s">
        <v>191</v>
      </c>
      <c r="C265" s="6" t="s">
        <v>6850</v>
      </c>
      <c r="D265" s="7" t="s">
        <v>9752</v>
      </c>
      <c r="E265" s="6" t="s">
        <v>1327</v>
      </c>
      <c r="F265" s="1" t="s">
        <v>1435</v>
      </c>
      <c r="G265" s="1"/>
      <c r="J265" s="1" t="s">
        <v>9753</v>
      </c>
      <c r="K265" s="2" t="s">
        <v>7499</v>
      </c>
      <c r="L265" s="9" t="s">
        <v>8177</v>
      </c>
      <c r="P265" s="7" t="s">
        <v>1241</v>
      </c>
      <c r="Q265" s="13" t="str">
        <f>INDEX($L:$L, MATCH("combat", $B:$B, 0))</f>
        <v>&lt;span class="w"&gt;&lt;b&gt;【1268.combat：戦闘】&lt;/b&gt;&lt;/span&gt;
&lt;span class="ml"&gt;ラテン語に由来する語で、以下の2つの要素から成る。
&lt;span class="spacer"&gt;&lt;/span&gt;com（共に）
battuere（打つ）
&lt;span class="spacer"&gt;&lt;/span&gt;このまま日本語にすると「共に打つ」となる。互いに打ち合うことから「戦闘」という意味になった。
&lt;span class="spacer"&gt;&lt;/span&gt;ラテン語battuere（打つ）からは次のような語も生まれており、すべて「打つ」というイメージを保っている。
debate（討論する, ディベート）
bat（木の棒, バット）
battle（バトル）&lt;/span&gt;</v>
      </c>
      <c r="AU265" s="15"/>
      <c r="AV265" s="1" t="s">
        <v>1502</v>
      </c>
      <c r="BG265" s="7" t="s">
        <v>1503</v>
      </c>
      <c r="BH265" s="1" t="s">
        <v>2780</v>
      </c>
      <c r="BI265" s="2" t="s">
        <v>2802</v>
      </c>
      <c r="BJ265" s="1" t="s">
        <v>2031</v>
      </c>
      <c r="BK265" s="2" t="s">
        <v>2803</v>
      </c>
      <c r="BL265" s="1" t="s">
        <v>2044</v>
      </c>
      <c r="BM265" s="2" t="s">
        <v>2804</v>
      </c>
    </row>
    <row r="266" spans="1:69" ht="144" x14ac:dyDescent="0.45">
      <c r="A266" s="5">
        <v>265</v>
      </c>
      <c r="B266" s="8" t="s">
        <v>192</v>
      </c>
      <c r="C266" s="6" t="s">
        <v>6850</v>
      </c>
      <c r="D266" s="7" t="s">
        <v>9752</v>
      </c>
      <c r="E266" s="6" t="s">
        <v>192</v>
      </c>
      <c r="F266" s="1"/>
      <c r="G266" s="1"/>
      <c r="J266" s="1" t="s">
        <v>9753</v>
      </c>
      <c r="K266" s="2" t="s">
        <v>7500</v>
      </c>
      <c r="L266" s="4" t="s">
        <v>8178</v>
      </c>
      <c r="P266" s="7" t="s">
        <v>1241</v>
      </c>
      <c r="Q266" s="18" t="str">
        <f>INDEX($L:$L, MATCH("focus", $B:$B, 0))</f>
        <v>&lt;span class="w"&gt;&lt;b&gt;【66.focus：焦点】&lt;/b&gt;&lt;/span&gt;
&lt;span class="ml"&gt;ラテン語focus（暖炉, 火）に由来する。
&lt;span class="spacer"&gt;&lt;/span&gt;レンズを使って光を一点に集めると対象に火がつくということから、一か所に集中する点＝「焦点」という意味になる。&lt;/span&gt;</v>
      </c>
      <c r="AU266" s="15"/>
      <c r="AV266" s="1" t="s">
        <v>1502</v>
      </c>
      <c r="BG266" s="7" t="s">
        <v>1503</v>
      </c>
      <c r="BH266" s="1" t="s">
        <v>2780</v>
      </c>
      <c r="BI266" s="2" t="s">
        <v>7501</v>
      </c>
      <c r="BJ266" s="1" t="s">
        <v>1980</v>
      </c>
      <c r="BK266" s="1" t="s">
        <v>2805</v>
      </c>
      <c r="BL266" s="1" t="s">
        <v>2031</v>
      </c>
      <c r="BM266" s="2" t="s">
        <v>2806</v>
      </c>
      <c r="BN266" s="1" t="s">
        <v>2044</v>
      </c>
      <c r="BO266" s="2" t="s">
        <v>7502</v>
      </c>
    </row>
    <row r="267" spans="1:69" ht="126" x14ac:dyDescent="0.45">
      <c r="A267" s="5">
        <v>266</v>
      </c>
      <c r="B267" s="8" t="s">
        <v>1585</v>
      </c>
      <c r="C267" s="6" t="s">
        <v>6850</v>
      </c>
      <c r="D267" s="7" t="s">
        <v>9752</v>
      </c>
      <c r="E267" s="6" t="s">
        <v>7503</v>
      </c>
      <c r="F267" s="1" t="s">
        <v>1584</v>
      </c>
      <c r="G267" s="1"/>
      <c r="J267" s="1" t="s">
        <v>9753</v>
      </c>
      <c r="K267" s="2" t="s">
        <v>7504</v>
      </c>
      <c r="L267" s="9" t="s">
        <v>8179</v>
      </c>
      <c r="P267" s="7" t="s">
        <v>1241</v>
      </c>
      <c r="AU267" s="15"/>
      <c r="AV267" s="1" t="s">
        <v>1502</v>
      </c>
      <c r="BG267" s="7" t="s">
        <v>1503</v>
      </c>
      <c r="BH267" s="1" t="s">
        <v>2780</v>
      </c>
      <c r="BI267" s="2" t="s">
        <v>2807</v>
      </c>
      <c r="BJ267" s="1" t="s">
        <v>2147</v>
      </c>
      <c r="BK267" s="2" t="s">
        <v>2808</v>
      </c>
      <c r="BL267" s="1" t="s">
        <v>2044</v>
      </c>
      <c r="BM267" s="2" t="s">
        <v>7505</v>
      </c>
      <c r="BN267" s="1" t="s">
        <v>1865</v>
      </c>
      <c r="BO267" s="2" t="s">
        <v>2809</v>
      </c>
    </row>
    <row r="268" spans="1:69" ht="162" x14ac:dyDescent="0.45">
      <c r="A268" s="5">
        <v>267</v>
      </c>
      <c r="B268" s="8" t="s">
        <v>193</v>
      </c>
      <c r="C268" s="6" t="s">
        <v>6850</v>
      </c>
      <c r="D268" s="7" t="s">
        <v>9752</v>
      </c>
      <c r="E268" s="6" t="s">
        <v>193</v>
      </c>
      <c r="F268" s="1"/>
      <c r="G268" s="1"/>
      <c r="J268" s="1" t="s">
        <v>9753</v>
      </c>
      <c r="K268" s="2" t="s">
        <v>7506</v>
      </c>
      <c r="L268" s="9" t="s">
        <v>8180</v>
      </c>
      <c r="P268" s="7" t="s">
        <v>1241</v>
      </c>
      <c r="AV268" s="1" t="s">
        <v>1502</v>
      </c>
      <c r="BG268" s="7" t="s">
        <v>1503</v>
      </c>
      <c r="BH268" s="1" t="s">
        <v>2648</v>
      </c>
      <c r="BI268" s="1" t="s">
        <v>2810</v>
      </c>
      <c r="BJ268" s="1" t="s">
        <v>2044</v>
      </c>
      <c r="BK268" s="1" t="s">
        <v>2811</v>
      </c>
      <c r="BL268" s="1" t="s">
        <v>1883</v>
      </c>
      <c r="BM268" s="2" t="s">
        <v>2812</v>
      </c>
      <c r="BN268" s="1" t="s">
        <v>1860</v>
      </c>
      <c r="BO268" s="2" t="s">
        <v>2813</v>
      </c>
    </row>
    <row r="269" spans="1:69" ht="144" x14ac:dyDescent="0.45">
      <c r="A269" s="5">
        <v>268</v>
      </c>
      <c r="B269" s="8" t="s">
        <v>194</v>
      </c>
      <c r="C269" s="6" t="s">
        <v>6850</v>
      </c>
      <c r="D269" s="7" t="s">
        <v>9752</v>
      </c>
      <c r="E269" s="6" t="s">
        <v>1436</v>
      </c>
      <c r="F269" s="1" t="s">
        <v>1437</v>
      </c>
      <c r="G269" s="1"/>
      <c r="J269" s="1" t="s">
        <v>9753</v>
      </c>
      <c r="K269" s="2" t="s">
        <v>7507</v>
      </c>
      <c r="L269" s="9" t="s">
        <v>8181</v>
      </c>
      <c r="P269" s="7" t="s">
        <v>1241</v>
      </c>
      <c r="AU269" s="15"/>
      <c r="AV269" s="1" t="s">
        <v>1502</v>
      </c>
      <c r="BG269" s="7" t="s">
        <v>1503</v>
      </c>
      <c r="BH269" s="1" t="s">
        <v>2780</v>
      </c>
      <c r="BI269" s="2" t="s">
        <v>2814</v>
      </c>
      <c r="BJ269" s="1" t="s">
        <v>2147</v>
      </c>
      <c r="BK269" s="1" t="s">
        <v>2815</v>
      </c>
      <c r="BL269" s="1" t="s">
        <v>1980</v>
      </c>
      <c r="BM269" s="1" t="s">
        <v>2816</v>
      </c>
      <c r="BN269" s="1" t="s">
        <v>2031</v>
      </c>
      <c r="BO269" s="2" t="s">
        <v>2817</v>
      </c>
      <c r="BP269" s="1" t="s">
        <v>1865</v>
      </c>
      <c r="BQ269" s="2" t="s">
        <v>2818</v>
      </c>
    </row>
    <row r="270" spans="1:69" ht="216" x14ac:dyDescent="0.45">
      <c r="A270" s="5">
        <v>269</v>
      </c>
      <c r="B270" s="8" t="s">
        <v>1586</v>
      </c>
      <c r="C270" s="6" t="s">
        <v>6850</v>
      </c>
      <c r="D270" s="7" t="s">
        <v>9752</v>
      </c>
      <c r="E270" s="6" t="s">
        <v>195</v>
      </c>
      <c r="F270" s="1"/>
      <c r="G270" s="1"/>
      <c r="J270" s="1" t="s">
        <v>9753</v>
      </c>
      <c r="K270" s="2" t="s">
        <v>7508</v>
      </c>
      <c r="L270" s="9" t="s">
        <v>8182</v>
      </c>
      <c r="P270" s="7" t="s">
        <v>1241</v>
      </c>
      <c r="AU270" s="15"/>
      <c r="AV270" s="1" t="s">
        <v>1502</v>
      </c>
      <c r="BG270" s="7" t="s">
        <v>1503</v>
      </c>
      <c r="BH270" s="1" t="s">
        <v>2819</v>
      </c>
      <c r="BI270" s="2" t="s">
        <v>2820</v>
      </c>
      <c r="BJ270" s="1" t="s">
        <v>2519</v>
      </c>
      <c r="BK270" s="2" t="s">
        <v>2821</v>
      </c>
      <c r="BL270" s="1" t="s">
        <v>1883</v>
      </c>
      <c r="BM270" s="2" t="s">
        <v>2822</v>
      </c>
    </row>
    <row r="271" spans="1:69" ht="144" x14ac:dyDescent="0.45">
      <c r="A271" s="5">
        <v>270</v>
      </c>
      <c r="B271" s="8" t="s">
        <v>196</v>
      </c>
      <c r="C271" s="6" t="s">
        <v>6850</v>
      </c>
      <c r="D271" s="7" t="s">
        <v>9752</v>
      </c>
      <c r="E271" s="6" t="s">
        <v>7510</v>
      </c>
      <c r="F271" s="1" t="s">
        <v>7511</v>
      </c>
      <c r="G271" s="1"/>
      <c r="J271" s="1" t="s">
        <v>9753</v>
      </c>
      <c r="K271" s="2" t="s">
        <v>7509</v>
      </c>
      <c r="L271" s="3" t="s">
        <v>8183</v>
      </c>
      <c r="P271" s="7" t="s">
        <v>1241</v>
      </c>
      <c r="AU271" s="15"/>
      <c r="AV271" s="1" t="s">
        <v>1502</v>
      </c>
      <c r="BG271" s="7" t="s">
        <v>1503</v>
      </c>
      <c r="BH271" s="1" t="s">
        <v>2423</v>
      </c>
      <c r="BI271" s="2" t="s">
        <v>2823</v>
      </c>
      <c r="BJ271" s="1" t="s">
        <v>2519</v>
      </c>
      <c r="BK271" s="2" t="s">
        <v>2824</v>
      </c>
      <c r="BL271" s="1" t="s">
        <v>1883</v>
      </c>
      <c r="BM271" s="2" t="s">
        <v>2825</v>
      </c>
    </row>
    <row r="272" spans="1:69" ht="162" x14ac:dyDescent="0.45">
      <c r="A272" s="5">
        <v>271</v>
      </c>
      <c r="B272" s="8" t="s">
        <v>197</v>
      </c>
      <c r="C272" s="6" t="s">
        <v>6850</v>
      </c>
      <c r="D272" s="7" t="s">
        <v>9752</v>
      </c>
      <c r="E272" s="6" t="s">
        <v>197</v>
      </c>
      <c r="F272" s="1"/>
      <c r="G272" s="1"/>
      <c r="J272" s="1" t="s">
        <v>9753</v>
      </c>
      <c r="K272" s="2" t="s">
        <v>7512</v>
      </c>
      <c r="L272" s="9" t="s">
        <v>8184</v>
      </c>
      <c r="P272" s="7"/>
      <c r="Q272" s="13" t="str">
        <f>INDEX($L:$L, MATCH("diabetes", $B:$B, 0))</f>
        <v>&lt;span class="w"&gt;&lt;b&gt;【1159.diabetes：糖尿病】&lt;/b&gt;&lt;/span&gt;
&lt;span class="ml"&gt;ギリシャ語に由来する語で、以下の3つの要素から成る。
&lt;span class="spacer"&gt;&lt;/span&gt;dia（通って）
bainein（行く）
tes（〜するもの）
&lt;span class="spacer"&gt;&lt;/span&gt;このまま日本語にすると「通って行くもの」となる。もともとは、古代ギリシャの医学において、ある病気の患者が大量の水を飲み、それがそのまま尿として排出される症状に付けられた病名だった（diabetes：水がそのまま通って体外へ行く）。
&lt;span class="spacer"&gt;&lt;/span&gt;近代になると、ある医師が、この病気の患者の尿が蜂蜜のように甘いことに気づく。そしてラテン語mellitus（蜂蜜のように甘い）という語を付け加え、現代の正式な医学的病名diabetes mellitus（真性糖尿病）が誕生した。diabetes mellitusは正式な医学用語で、日常ではdiabetesで「糖尿病」を指す。&lt;/span&gt;</v>
      </c>
      <c r="AU272" s="15"/>
      <c r="AV272" s="1" t="s">
        <v>1502</v>
      </c>
      <c r="BG272" s="7" t="s">
        <v>1503</v>
      </c>
      <c r="BH272" s="1" t="s">
        <v>2423</v>
      </c>
      <c r="BI272" s="2" t="s">
        <v>2826</v>
      </c>
      <c r="BJ272" s="1" t="s">
        <v>2780</v>
      </c>
      <c r="BK272" s="2" t="s">
        <v>2827</v>
      </c>
      <c r="BL272" s="1" t="s">
        <v>1883</v>
      </c>
      <c r="BM272" s="2" t="s">
        <v>2828</v>
      </c>
    </row>
    <row r="273" spans="1:69" ht="198" x14ac:dyDescent="0.45">
      <c r="A273" s="5">
        <v>272</v>
      </c>
      <c r="B273" s="8" t="s">
        <v>198</v>
      </c>
      <c r="C273" s="6" t="s">
        <v>6850</v>
      </c>
      <c r="D273" s="7" t="s">
        <v>9752</v>
      </c>
      <c r="E273" s="6" t="s">
        <v>46</v>
      </c>
      <c r="F273" s="6" t="s">
        <v>5657</v>
      </c>
      <c r="G273" s="1" t="s">
        <v>1895</v>
      </c>
      <c r="J273" s="1" t="s">
        <v>9753</v>
      </c>
      <c r="K273" s="2" t="s">
        <v>7513</v>
      </c>
      <c r="L273" s="3" t="s">
        <v>8185</v>
      </c>
      <c r="M273" s="1" t="s">
        <v>12183</v>
      </c>
      <c r="P273" s="7" t="s">
        <v>1241</v>
      </c>
      <c r="Q273" s="14" t="str">
        <f>INDEX($L:$L, MATCH("sequence", $B:$B, 0))</f>
        <v>&lt;span class="w"&gt;&lt;b&gt;【641.sequence：連続, 一連のもの】&lt;/b&gt;&lt;/span&gt;
&lt;span class="ml"&gt;ラテン語sequi（従う, 続く）に由来する。
&lt;span class="spacer"&gt;&lt;/span&gt;何かに従って続いていくことから「一連のもの, 連続」という意味になる。
&lt;div class="sample_image sequence"&gt;&lt;/div&gt;&lt;/span&gt;</v>
      </c>
      <c r="R273" s="14" t="str">
        <f>INDEX($L:$L, MATCH("subsequent", $B:$B, 0))</f>
        <v>&lt;span class="w"&gt;&lt;b&gt;【1089.subsequent：その後の】&lt;/b&gt;&lt;/span&gt;
&lt;span class="ml"&gt;ラテン語に由来する語で、以下の2つの要素から成る。
&lt;span class="spacer"&gt;&lt;/span&gt;sub（下に, 後に）
sequi（従う）
&lt;span class="spacer"&gt;&lt;/span&gt;この語の核は「何かの後に従って続く」。subはサブメンバーのサブで、後に控えているイメージ。sequent部分はsequence（連続）の形容詞として覚える。何かの後に連続しているイメージから「その後の」という意味になる。&lt;/span&gt;</v>
      </c>
      <c r="S273" s="14" t="str">
        <f>INDEX($L:$L, MATCH("pursue", $B:$B, 0))</f>
        <v>&lt;span class="w"&gt;&lt;b&gt;【604.pursue：追い求める】&lt;/b&gt;&lt;/span&gt;
&lt;span class="ml"&gt;ラテン語に由来する語で、以下の2つの要素から成る。
&lt;span class="spacer"&gt;&lt;/span&gt;pro（前へ）
sequi（従う）
&lt;span class="spacer"&gt;&lt;/span&gt;このまま日本語にすると「前に従う」となる。この核は「前にいるものの後を追って従い続ける」。物理的に何かを追いかけることから、比喩的に目標や目的を「追い求める」という意味になった。
&lt;div class="sample_image pursue"&gt;&lt;/div&gt;&lt;/span&gt;</v>
      </c>
      <c r="T273" s="14" t="str">
        <f>INDEX($L:$L, MATCH("sue", $B:$B, 0))</f>
        <v>&lt;span class="w"&gt;&lt;b&gt;【902.sue：〜を告訴する】&lt;/b&gt;&lt;/span&gt;
&lt;span class="ml"&gt;ラテン語sequi（従う, 後を追う）に由来する。
&lt;span class="spacer"&gt;&lt;/span&gt;相手の後を追うという物理的な追跡から、法廷で相手を追うことへと意味が特化して「告訴する」という意味になった。
&lt;div class="sample_image sue"&gt;&lt;/div&gt;&lt;/span&gt;</v>
      </c>
      <c r="U273" s="15"/>
      <c r="V273" s="15"/>
      <c r="AU273" s="15"/>
      <c r="AV273" s="1" t="s">
        <v>1502</v>
      </c>
      <c r="BG273" s="7" t="s">
        <v>1503</v>
      </c>
      <c r="BH273" s="1" t="s">
        <v>2780</v>
      </c>
      <c r="BI273" s="2" t="s">
        <v>2829</v>
      </c>
      <c r="BJ273" s="1" t="s">
        <v>2147</v>
      </c>
      <c r="BK273" s="2" t="s">
        <v>7514</v>
      </c>
      <c r="BL273" s="1" t="s">
        <v>2780</v>
      </c>
      <c r="BM273" s="2" t="s">
        <v>2830</v>
      </c>
      <c r="BN273" s="1" t="s">
        <v>2044</v>
      </c>
      <c r="BO273" s="2" t="s">
        <v>2831</v>
      </c>
    </row>
    <row r="274" spans="1:69" ht="180" x14ac:dyDescent="0.45">
      <c r="A274" s="5">
        <v>273</v>
      </c>
      <c r="B274" s="8" t="s">
        <v>199</v>
      </c>
      <c r="C274" s="6" t="s">
        <v>6850</v>
      </c>
      <c r="D274" s="7" t="s">
        <v>9752</v>
      </c>
      <c r="E274" s="6" t="s">
        <v>199</v>
      </c>
      <c r="F274" s="1"/>
      <c r="G274" s="1"/>
      <c r="J274" s="1" t="s">
        <v>9753</v>
      </c>
      <c r="K274" s="2" t="s">
        <v>7515</v>
      </c>
      <c r="L274" s="3" t="s">
        <v>10337</v>
      </c>
      <c r="M274" s="1" t="s">
        <v>12177</v>
      </c>
      <c r="P274" s="7" t="s">
        <v>1241</v>
      </c>
      <c r="Q274" s="14" t="str">
        <f>INDEX($L:$L, MATCH("esteem", $B:$B, 0))</f>
        <v>&lt;span class="w"&gt;&lt;b&gt;【1202.esteem：〜を尊敬する】&lt;/b&gt;&lt;/span&gt;
&lt;span class="ml"&gt;ラテン語aestimare（価値を定める, 評価する, 査定する）に由来する。
&lt;span class="spacer"&gt;&lt;/span&gt;当初はestimate（見積もる）と同じ意味だったが、そこから対象を高く評価することに特化して「尊敬する」という意味になった。&lt;/span&gt;</v>
      </c>
      <c r="R274" s="13" t="str">
        <f>INDEX($L:$L, MATCH("estimate", $B:$B, 0))</f>
        <v>&lt;span class="w"&gt;&lt;b&gt;【220.estimate：～を推定する, ～を見積もる, ～を評価する】&lt;/b&gt;&lt;/span&gt;
&lt;span class="ml"&gt;ラテン語aestimare（価値を定める）に由来する。
&lt;span class="spacer"&gt;&lt;/span&gt;価値を定めることから「評価する」という意味になる。またおおまかな評価を行う場合は「見積る, 推定する」という意味になる。&lt;/span&gt;</v>
      </c>
      <c r="S274" s="13" t="str">
        <f>INDEX($L:$L, MATCH("underestimate", $B:$B, 0))</f>
        <v>&lt;span class="w"&gt;&lt;b&gt;【1424.underestimate：〜を過小評価する】&lt;/b&gt;&lt;/span&gt;
&lt;span class="ml"&gt;近代英語にさかのぼり、以下の2つの要素から成る。
&lt;span class="spacer"&gt;&lt;/span&gt;under（下に）
estimate（見積もる）
&lt;span class="spacer"&gt;&lt;/span&gt;このまま日本語にすると「下に見積もる」すなわち「過小評価する」という意味になる。&lt;/span&gt;</v>
      </c>
      <c r="AU274" s="15"/>
      <c r="AV274" s="1" t="s">
        <v>1502</v>
      </c>
      <c r="BG274" s="7" t="s">
        <v>1503</v>
      </c>
      <c r="BH274" s="1" t="s">
        <v>2780</v>
      </c>
      <c r="BI274" s="2" t="s">
        <v>2832</v>
      </c>
      <c r="BJ274" s="1" t="s">
        <v>2031</v>
      </c>
      <c r="BK274" s="2" t="s">
        <v>2833</v>
      </c>
      <c r="BL274" s="1" t="s">
        <v>2044</v>
      </c>
      <c r="BM274" s="2" t="s">
        <v>7516</v>
      </c>
    </row>
    <row r="275" spans="1:69" ht="409.6" x14ac:dyDescent="0.45">
      <c r="A275" s="5">
        <v>274</v>
      </c>
      <c r="B275" s="8" t="s">
        <v>1438</v>
      </c>
      <c r="C275" s="6" t="s">
        <v>6850</v>
      </c>
      <c r="D275" s="7" t="s">
        <v>9752</v>
      </c>
      <c r="E275" s="1" t="s">
        <v>1595</v>
      </c>
      <c r="F275" s="1" t="s">
        <v>8917</v>
      </c>
      <c r="G275" s="1" t="s">
        <v>1695</v>
      </c>
      <c r="J275" s="1" t="s">
        <v>9753</v>
      </c>
      <c r="K275" s="2" t="s">
        <v>7260</v>
      </c>
      <c r="L275" s="3" t="s">
        <v>8186</v>
      </c>
      <c r="M275" s="1" t="s">
        <v>12184</v>
      </c>
      <c r="P275" s="7" t="s">
        <v>1241</v>
      </c>
      <c r="Q275" s="14" t="str">
        <f>INDEX($L:$L, MATCH("ancient", $B:$B, 0))</f>
        <v>&lt;span class="w"&gt;&lt;b&gt;【98.ancient：古代の, 昔からの】&lt;/b&gt;&lt;/span&gt;
&lt;span class="ml"&gt;ラテン語ante（前の）に由来する。
&lt;span class="spacer"&gt;&lt;/span&gt;「（時間的に）前の」から「古代の, 昔からの」という意味になる。
&lt;span class="spacer"&gt;&lt;/span&gt;以下の時代区分も参考に。
modern（近代・現代）
medieval（中世）
ancient（古代の）&lt;/span&gt;</v>
      </c>
      <c r="R275" s="14" t="str">
        <f>INDEX($L:$L, MATCH("advance", $B:$B, 0))</f>
        <v>&lt;span class="w"&gt;&lt;b&gt;【114.advance：～を進歩させる, ～を前進する】&lt;/b&gt;&lt;/span&gt;
&lt;span class="ml"&gt;ラテン語に由来する語で、以下の2つの要素から成る。
&lt;span class="spacer"&gt;&lt;/span&gt;ab（～から）
ante（前に）
&lt;span class="spacer"&gt;&lt;/span&gt;このまま日本語にすると「～から前に」となる。ここから前方への移動を表して「進歩させる, 前進する」という意味になる。&lt;/span&gt;</v>
      </c>
      <c r="S275" s="14" t="str">
        <f>INDEX($L:$L, MATCH("advantage", $B:$B, 0))</f>
        <v>&lt;span class="w"&gt;&lt;b&gt;【158.advantage：利点, 有利, 優勢】&lt;/b&gt;&lt;/span&gt;
&lt;span class="ml"&gt;ラテン語に由来する語で、以下の2つの要素から成る。
&lt;span class="spacer"&gt;&lt;/span&gt;ab（〜から）
ante（前に）
&lt;span class="obsolete"&gt;age（名詞化）は古フランス語段階で付いた。&lt;/span&gt;
&lt;span class="spacer"&gt;&lt;/span&gt;このまま日本語にすると「〜から前に」となる。他よりも前に進んでいる状態を表し、他よりも優れている・良いところがあるという「有利, 優勢, 利点」という意味になる。&lt;/span&gt;</v>
      </c>
      <c r="T275" s="14" t="str">
        <f>INDEX($L:$L, MATCH("disadvantage", $B:$B, 0))</f>
        <v>&lt;span class="w"&gt;&lt;b&gt;【563.disadvantage：不利, 障害】&lt;/b&gt;&lt;/span&gt;
&lt;span class="ml"&gt;古フランス語に由来する語で、以下の2つの要素から成る。
&lt;span class="spacer"&gt;&lt;/span&gt;des（否定）
avantage（有利, 利益）
&lt;span class="spacer"&gt;&lt;/span&gt;有利や利益の否定なので「不利, 障害」という意味になる。&lt;/span&gt;</v>
      </c>
      <c r="U275" s="14" t="str">
        <f>INDEX($L:$L, MATCH("succeed", $B:$B, 0))</f>
        <v>&lt;span class="w"&gt;&lt;b&gt;【240.succeed：成功する（in）, 継承する（to）】&lt;/b&gt;&lt;/span&gt;
&lt;span class="ml"&gt;ラテン語に由来する語で、以下の2つの要素から成る。
&lt;span class="spacer"&gt;&lt;/span&gt;sub（後に）
cedere（行く, 進む）
&lt;span class="spacer"&gt;&lt;/span&gt;このまま日本語にすると「後に行く」となる。ここから次の2つの意味に発展する。
&lt;span class="spacer"&gt;&lt;/span&gt;①前任者の後を行くというイメージから「何かを継承する」という意味になる。この場合はsucceed &lt;strong&gt;to&lt;/strong&gt; Aで「Aに成功する」となる。
&lt;span class="spacer"&gt;&lt;/span&gt;②行為の後に結果が続くというイメージから「成功する」という意味になる。この場合はsucceed &lt;strong&gt;in&lt;/strong&gt; Aで「Aを継承する」となる。
&lt;div class="sample_image succeed"&gt;&lt;/div&gt;
&lt;span class="spacer"&gt;&lt;/span&gt;&lt;span class="obsolete"&gt;succeedは、もともとは何かに続いて結果が出るという意味で、良い結果（成功）を意味したわけではない。
&lt;span class="spacer"&gt;&lt;/span&gt;16世紀頃にsucceed well（ことがうまくいく）という表現があり、ここからwellが省略されてsucceed（成功する）となった。
&lt;span class="spacer"&gt;&lt;/span&gt;これと同じことがlikeでも起こり、最初はlike ~ wellで「好む」という意味だったが、likeの1語のみになった。
&lt;span class="spacer"&gt;&lt;/span&gt;「～の方が好き / ～が一番好き」という場合、wellの比較級 / 最上級を使ってlike ~ better / the bestとなるが、これはlike〜wellの名残である。&lt;/span&gt;&lt;/span&gt;</v>
      </c>
      <c r="V275" s="14" t="str">
        <f>INDEX($L:$L, MATCH("proceed", $B:$B, 0))</f>
        <v>&lt;span class="w"&gt;&lt;b&gt;【1101.proceed：進む, 進行する】&lt;/b&gt;&lt;/span&gt;
&lt;span class="ml"&gt;ラテン語に由来する語で、以下の2つの要素から成る。
&lt;span class="spacer"&gt;&lt;/span&gt;pro（前へ）
cedere（行く, 進む）
&lt;span class="spacer"&gt;&lt;/span&gt;このまま日本語にすると「前へ進む」となり「進む, 進行する」という意味になる。名詞になるとprocess（過程, 経過）やprocedure（手続き）という進行途中や進行手順を表す。&lt;/span&gt;</v>
      </c>
      <c r="W275" s="14" t="str">
        <f>INDEX($L:$L, MATCH("exceed", $B:$B, 0))</f>
        <v>&lt;span class="w"&gt;&lt;b&gt;【936.exceed：〜を超える, 〜を勝る】&lt;/b&gt;&lt;/span&gt;
&lt;span class="ml"&gt;ラテン語に由来する語で、以下の2つの要素から成る。
&lt;span class="spacer"&gt;&lt;/span&gt;ex（外に）
cedere（行く）
&lt;span class="spacer"&gt;&lt;/span&gt;このまま日本語にすると「外に行く」となる。ある範囲や基準の外に出て行くことから、何かを「超える, 勝る」という意味になる。
&lt;div class="sample_image exceed"&gt;&lt;/div&gt;&lt;/span&gt;</v>
      </c>
      <c r="X275" s="14" t="str">
        <f>INDEX($L:$L, MATCH("excess", $B:$B, 0))</f>
        <v>&lt;span class="w"&gt;&lt;b&gt;【1163.excess：過剰, 超過】&lt;/b&gt;&lt;/span&gt;
&lt;span class="ml"&gt;ラテン語に由来する語で、以下の3つの要素から成る。
&lt;span class="spacer"&gt;&lt;/span&gt;ex（外に）
cedere（行く）
us（名詞化）
&lt;span class="spacer"&gt;&lt;/span&gt;このまま日本語にすると「外に行くこと」となる。もともとは、物理的に何かの範囲や領域、境界から外へ出ることを表した。そこから意味が抽象化し、基準や度合を超えること、つまり「超過, 過剰」という意味になった。&lt;/span&gt;</v>
      </c>
      <c r="Y275" s="14" t="str">
        <f>INDEX($L:$L, MATCH("access", $B:$B, 0))</f>
        <v>&lt;span class="w"&gt;&lt;b&gt;【169.access：利用, 入手, 接近】&lt;/b&gt;&lt;/span&gt;
&lt;span class="ml"&gt;ラテン語に由来する語で、以下の2つの要素から成る。
&lt;span class="spacer"&gt;&lt;/span&gt;ad（～へ）
cedere（行く）
&lt;span class="spacer"&gt;&lt;/span&gt;このまま日本語にすると「〜へ行く」となる。ここから「接近」という意味になる。さらに接近という物理的な移動から、近づいて何かを使うという「入手, 利用」という意味になる。
&lt;span class="spacer"&gt;&lt;/span&gt;The hotel has easy access to the station.
そのホテルは駅へのアクセスが良いという物理的な接近の話。
&lt;span class="spacer"&gt;&lt;/span&gt;Students have access to the library.
生徒は図書館を利用できるという利用可能性の話。&lt;/span&gt;</v>
      </c>
      <c r="Z275" s="14" t="str">
        <f>INDEX($L:$L, MATCH("recession", $B:$B, 0))</f>
        <v>&lt;span class="w"&gt;&lt;b&gt;【1171.recession：不況, 後退】&lt;/b&gt;&lt;/span&gt;
&lt;span class="ml"&gt;ラテン語に由来する語で、以下の3つの要素から成る。
&lt;span class="spacer"&gt;&lt;/span&gt;re（後ろへ）
cedere（行く, 進む）
io（名詞化）
&lt;span class="spacer"&gt;&lt;/span&gt;このまま日本語にすると「後ろへ行くこと」つまり「後退」という意味になる。世界恐慌時にdepression（大不況）よりも程度が軽く、一時的な経済の後退を表す言葉として使われたことから「不況」という意味になった。
&lt;div class="sample_image recession"&gt;&lt;/div&gt;&lt;/span&gt;</v>
      </c>
      <c r="AA275" s="14" t="str">
        <f>INDEX($L:$L, MATCH("necessary", $B:$B, 0))</f>
        <v>&lt;span class="w"&gt;&lt;b&gt;【199.necessary：必要な】&lt;/b&gt;&lt;/span&gt;
&lt;span class="ml"&gt;ラテン語に由来する語で、以下の3つの要素から成る。
&lt;span class="spacer"&gt;&lt;/span&gt;ne（=not：否定）
cedere（退く）
arius（形容詞化）
&lt;span class="spacer"&gt;&lt;/span&gt;このまま日本語にすると「退けない」となる。つまり何かを避けられない、それなしでは通れないということから不可欠＝「必要な」という意味になる。&lt;/span&gt;</v>
      </c>
      <c r="AB275" s="14" t="str">
        <f>INDEX($L:$L, MATCH("cease", $B:$B, 0))</f>
        <v>&lt;span class="w"&gt;&lt;b&gt;【1135.cease：〜をやめる】&lt;/b&gt;&lt;/span&gt;
&lt;span class="ml"&gt;ラテン語cedere（行く, 退く）から派生した反復形cessare（やめる）に由来する。
&lt;span class="spacer"&gt;&lt;/span&gt;もともとはその場から立ち去る、身を引くという物理的な動作を表した。そこから、今まで行っていた活動や状態から身を引く＝「やめる」という意味になった。&lt;/span&gt;</v>
      </c>
      <c r="AC275" s="13" t="str">
        <f>INDEX($L:$L, MATCH("precede", $B:$B, 0))</f>
        <v>&lt;span class="w"&gt;&lt;b&gt;【1302.precede：〜に先行する】&lt;/b&gt;&lt;/span&gt;
&lt;span class="ml"&gt;ラテン語に由来する語で、以下の2つの要素から成る。
&lt;span class="spacer"&gt;&lt;/span&gt;prae（前に）
cedere（行く）
&lt;span class="spacer"&gt;&lt;/span&gt;このまま日本語にすると「前に行く」となり、時間的・空間的に何かに「先行する」という意味になる。&lt;/span&gt;
&lt;div class="animation precede"&gt;&lt;/div&gt;</v>
      </c>
      <c r="AD275" s="13" t="str">
        <f>INDEX($L:$L, MATCH("unprecedented", $B:$B, 0))</f>
        <v>&lt;span class="w"&gt;&lt;b&gt;【1380.unprecedented：前例のない】&lt;/b&gt;&lt;/span&gt;
&lt;span class="ml"&gt;近代英語にさかのぼり、以下の3つの要素から成る。
&lt;span class="spacer"&gt;&lt;/span&gt;un（否定）
precedent（前例を与える）
ed（過去分詞化）
&lt;span class="spacer"&gt;&lt;/span&gt;precedent部分は、ラテン語prae（前に）＋cedere（行く）に由来するprecede（先行する）と関連する。
&lt;span class="spacer"&gt;&lt;/span&gt;否定のunが付くことで、先行するものがない、つまり「前例がない」という意味になる。&lt;/span&gt;</v>
      </c>
      <c r="AU275" s="15"/>
      <c r="AV275" s="1" t="s">
        <v>1502</v>
      </c>
      <c r="BG275" s="7" t="s">
        <v>1503</v>
      </c>
      <c r="BH275" s="1" t="s">
        <v>2780</v>
      </c>
      <c r="BI275" s="2" t="s">
        <v>2834</v>
      </c>
      <c r="BJ275" s="1" t="s">
        <v>2147</v>
      </c>
      <c r="BK275" s="2" t="s">
        <v>2835</v>
      </c>
      <c r="BL275" s="1" t="s">
        <v>2031</v>
      </c>
      <c r="BM275" s="2" t="s">
        <v>2836</v>
      </c>
      <c r="BN275" s="1" t="s">
        <v>2044</v>
      </c>
      <c r="BO275" s="2" t="s">
        <v>2837</v>
      </c>
    </row>
    <row r="276" spans="1:69" ht="396" x14ac:dyDescent="0.45">
      <c r="A276" s="5">
        <v>275</v>
      </c>
      <c r="B276" s="8" t="s">
        <v>1439</v>
      </c>
      <c r="C276" s="6" t="s">
        <v>6850</v>
      </c>
      <c r="D276" s="7" t="s">
        <v>9752</v>
      </c>
      <c r="E276" s="1" t="s">
        <v>200</v>
      </c>
      <c r="F276" s="1"/>
      <c r="G276" s="1"/>
      <c r="J276" s="1" t="s">
        <v>9753</v>
      </c>
      <c r="K276" s="2" t="s">
        <v>7517</v>
      </c>
      <c r="L276" s="4" t="s">
        <v>8187</v>
      </c>
      <c r="M276" s="1" t="s">
        <v>12146</v>
      </c>
      <c r="P276" s="7" t="s">
        <v>1241</v>
      </c>
      <c r="Q276" s="14" t="str">
        <f>INDEX($L:$L, MATCH("native", $B:$B, 0))</f>
        <v>&lt;span class="w"&gt;&lt;b&gt;【94.native：出生地の, 原生の, 生まれつきの】&lt;/b&gt;&lt;/span&gt;
&lt;span class="ml"&gt;印欧祖語*gene-（生む, 生み出す）から派生したラテン語に由来する語で、以下の2つの要素から成る。
&lt;span class="spacer"&gt;&lt;/span&gt;nasci（生まれる）
ivus（形容詞化）
&lt;span class="spacer"&gt;&lt;/span&gt;「生まれる」が形容詞となって「生まれたままの」＝「生まれつきの」という意味になる。
&lt;span class="spacer"&gt;&lt;/span&gt;また生まれた土地と結びついている＝「出生地の, 原生の」という意味になる。&lt;/span&gt;</v>
      </c>
      <c r="R276" s="14" t="str">
        <f>INDEX($L:$L, MATCH("innate", $B:$B, 0))</f>
        <v>&lt;span class="w"&gt;&lt;b&gt;【1290.innate：生まれながらの】&lt;/b&gt;&lt;/span&gt;
&lt;span class="ml"&gt;ラテン語に由来する語で、以下の2つの要素から成る。
&lt;span class="spacer"&gt;&lt;/span&gt;in（中に）
nasci（生まれる）
&lt;span class="spacer"&gt;&lt;/span&gt;このまま日本語にすると「〜の中に生まれる」となる。生まれた時からその人やその動物の中にあることを表して「生まれつきの」という意味になる。
&lt;span class="spacer"&gt;&lt;/span&gt;nate部分は、nativeやnatureと同じイメージ。&lt;/span&gt;</v>
      </c>
      <c r="S276" s="14" t="str">
        <f>INDEX($L:$L, MATCH("indigenous", $B:$B, 0))</f>
        <v>&lt;span class="w"&gt;&lt;b&gt;【1189.indigenous：原産の, 先住の】&lt;/b&gt;&lt;/span&gt;
&lt;span class="ml"&gt;ラテン語に由来する語で、以下の3つの要素から成る。
&lt;span class="spacer"&gt;&lt;/span&gt;indu（中に）
gignere（生む）
us（形容詞化）
&lt;span class="spacer"&gt;&lt;/span&gt;この語の核は「ある環境の中で生まれた」。ある土地に初めから根付いている動植物や人を表して「土着の, 先住の」という意味になった。
&lt;div class="sample_image indigenous"&gt;&lt;/div&gt;&lt;/span&gt;</v>
      </c>
      <c r="T276" s="14" t="str">
        <f>INDEX($L:$L, MATCH("gender", $B:$B, 0))</f>
        <v>&lt;span class="w"&gt;&lt;b&gt;【370.gender：社会的/文化的な性, 性別】&lt;/b&gt;&lt;/span&gt;
&lt;span class="ml"&gt;ラテン語genus（種族, 血統, 性別）に由来する。
&lt;span class="spacer"&gt;&lt;/span&gt;もともとは種類や文法上の性を表す言葉だったが、次第に人間の種類を分ける性別として使われるようになる。特に生物学的な性別に対し、「社会/文化的な性」として使われる。たとえば社会・文化における性差別をなくすことをジェンダーの平等と言う。&lt;/span&gt;</v>
      </c>
      <c r="U276" s="14" t="str">
        <f>INDEX($L:$L, MATCH("generate", $B:$B, 0))</f>
        <v>&lt;span class="w"&gt;&lt;b&gt;【407.generate：〜を生み出す】&lt;/b&gt;&lt;/span&gt;
&lt;span class="ml"&gt;ラテン語genus（種族,  血統, 性別）から派生した動詞generare（生む, 生じさせる）に由来する。
&lt;span class="spacer"&gt;&lt;/span&gt;印欧祖語*gene-（生む, 産む）と同じく「生み出す」という意味になる。
&lt;span class="spacer"&gt;&lt;/span&gt;名詞generationは同時代の種族全体や生むこと自体を表して「世代, 発生」という意味になる。
&lt;span class="spacer"&gt;&lt;/span&gt;形容詞generalは「種族全体に関する」から「一般的な」という意味になる。&lt;/span&gt;</v>
      </c>
      <c r="V276" s="14" t="str">
        <f>INDEX($L:$L, MATCH("generous", $B:$B, 0))</f>
        <v>&lt;span class="w"&gt;&lt;b&gt;【880.generous：寛大な, 気前のよい】&lt;/b&gt;&lt;/span&gt;
&lt;span class="ml"&gt;ラテン語に由来する語で、以下の2つの要素から成る。
&lt;span class="spacer"&gt;&lt;/span&gt;genus（生まれ, 家系, 血統）
osus（形容詞化：〜に満ちている）
&lt;span class="spacer"&gt;&lt;/span&gt;もともとは、立派な血統に満ちていて高貴な生まれであることを表した。古代や中世には、高貴な人は器が大きく、他者に対して気前よくものを与え、寛大に振る舞うべきであるという価値観があったことから「寛大な, 気前のよい」という意味になった。&lt;/span&gt;</v>
      </c>
      <c r="W276" s="14" t="str">
        <f>INDEX($L:$L, MATCH("genuine", $B:$B, 0))</f>
        <v>&lt;span class="w"&gt;&lt;b&gt;【888.genuine：本物の, 偽りのない】&lt;/b&gt;&lt;/span&gt;
&lt;span class="ml"&gt;ラテン語に由来する語で、以下の2つの要素から成ると考えられる。
&lt;span class="spacer"&gt;&lt;/span&gt;gignere（生む, 産出する）
inus（形容詞化）
&lt;span class="spacer"&gt;&lt;/span&gt;この語の核は「生まれたまま自然な状態」。後から作られた混ぜ物や偽物ではなく、生まれたままであることを表し、「本物の, 偽りのない」という意味になる。
&lt;span class="spacer"&gt;&lt;/span&gt;また別の語源の説では、ラテン語genu（膝）に由来するという考えもある。
&lt;span class="spacer"&gt;&lt;/span&gt;古代ローマでは、赤ん坊が生まれると、父親がその子を自分の膝の上に置くという伝統的な儀式があった。これは単なるスキンシップではなく、「この子は間違いなく自分の血を引く、正式な子供である」と公に認めるための重要な法的手続きだった。そこから「偽りのない, 本物の」という意味になった。&lt;/span&gt;</v>
      </c>
      <c r="X276" s="14" t="str">
        <f>INDEX($L:$L, MATCH("pregnant", $B:$B, 0))</f>
        <v>&lt;span class="w"&gt;&lt;b&gt;【1095.pregnant：妊娠した】&lt;/b&gt;&lt;/span&gt;
&lt;span class="ml"&gt;ラテン語に由来する語で、以下の2つの要素から成る。
&lt;span class="spacer"&gt;&lt;/span&gt;prae（前に）
gnasci（生まれる）
&lt;span class="spacer"&gt;&lt;/span&gt;このまま日本語にすると「生まれる前」となる。そこから子を宿している状態＝「妊娠した」という意味になる。&lt;/span&gt;</v>
      </c>
      <c r="AV276" s="1" t="s">
        <v>1502</v>
      </c>
      <c r="BG276" s="7" t="s">
        <v>1503</v>
      </c>
      <c r="BH276" s="1" t="s">
        <v>1976</v>
      </c>
      <c r="BI276" s="1" t="s">
        <v>2838</v>
      </c>
      <c r="BJ276" s="1" t="s">
        <v>2423</v>
      </c>
      <c r="BK276" s="2" t="s">
        <v>7518</v>
      </c>
      <c r="BL276" s="1" t="s">
        <v>2839</v>
      </c>
      <c r="BM276" s="2" t="s">
        <v>2840</v>
      </c>
      <c r="BN276" s="1" t="s">
        <v>1860</v>
      </c>
      <c r="BO276" s="2" t="s">
        <v>2841</v>
      </c>
    </row>
    <row r="277" spans="1:69" ht="108" x14ac:dyDescent="0.45">
      <c r="A277" s="5">
        <v>276</v>
      </c>
      <c r="B277" s="8" t="s">
        <v>201</v>
      </c>
      <c r="C277" s="6" t="s">
        <v>6850</v>
      </c>
      <c r="D277" s="7" t="s">
        <v>9752</v>
      </c>
      <c r="E277" s="6" t="s">
        <v>201</v>
      </c>
      <c r="F277" s="1"/>
      <c r="G277" s="1"/>
      <c r="J277" s="1" t="s">
        <v>9753</v>
      </c>
      <c r="K277" s="2" t="s">
        <v>7519</v>
      </c>
      <c r="L277" s="9" t="s">
        <v>10657</v>
      </c>
      <c r="P277" s="7" t="s">
        <v>1241</v>
      </c>
      <c r="AU277" s="15"/>
      <c r="AV277" s="1" t="s">
        <v>1502</v>
      </c>
      <c r="BG277" s="7" t="s">
        <v>1503</v>
      </c>
      <c r="BH277" s="1" t="s">
        <v>2031</v>
      </c>
      <c r="BI277" s="2" t="s">
        <v>2842</v>
      </c>
      <c r="BJ277" s="1" t="s">
        <v>2044</v>
      </c>
      <c r="BK277" s="2" t="s">
        <v>7520</v>
      </c>
      <c r="BL277" s="1" t="s">
        <v>1865</v>
      </c>
      <c r="BM277" s="2" t="s">
        <v>2843</v>
      </c>
    </row>
    <row r="278" spans="1:69" ht="162" x14ac:dyDescent="0.45">
      <c r="A278" s="5">
        <v>277</v>
      </c>
      <c r="B278" s="8" t="s">
        <v>1440</v>
      </c>
      <c r="C278" s="6" t="s">
        <v>6850</v>
      </c>
      <c r="D278" s="7" t="s">
        <v>9752</v>
      </c>
      <c r="E278" s="1" t="s">
        <v>1251</v>
      </c>
      <c r="F278" s="1" t="s">
        <v>7521</v>
      </c>
      <c r="G278" s="1" t="s">
        <v>1584</v>
      </c>
      <c r="J278" s="1" t="s">
        <v>9753</v>
      </c>
      <c r="K278" s="2" t="s">
        <v>7522</v>
      </c>
      <c r="L278" s="3" t="s">
        <v>8188</v>
      </c>
      <c r="M278" s="1" t="s">
        <v>12120</v>
      </c>
      <c r="P278" s="7" t="s">
        <v>1241</v>
      </c>
      <c r="Q278" s="14" t="str">
        <f>INDEX($L:$L, MATCH("involve", $B:$B, 0))</f>
        <v>&lt;span class="w"&gt;&lt;b&gt;【19.involve：～を関与させる】&lt;/b&gt;&lt;/span&gt;
&lt;span class="ml"&gt;ラテン語に由来する語で、以下の2つの要素から成る。
&lt;span class="spacer"&gt;&lt;/span&gt;in（中に）
volvere（巻く, 回す, 転がす）
&lt;span class="spacer"&gt;&lt;/span&gt;このまま日本語にすると「中に巻く」となる。ある事柄に巻き込んでいくイメージから「関与させる」という意味になる。
&lt;span class="spacer"&gt;&lt;/span&gt;involveは関与「させる」という意味なので、受け身のbe involved in ~で関与「している」となる。
&lt;div class="sample_image involve"&gt;&lt;/div&gt;&lt;/span&gt;</v>
      </c>
      <c r="R278" s="13" t="str">
        <f>INDEX($L:$L, MATCH("evolve", $B:$B, 0))</f>
        <v>&lt;span class="w"&gt;&lt;b&gt;【323.evolve：進化する, 発展する】&lt;/b&gt;&lt;/span&gt;
&lt;span class="ml"&gt;ラテン語に由来する語で、以下の2つの要素から成る。
&lt;span class="spacer"&gt;&lt;/span&gt;ex（外へ）
volvere（巻く, 回す, 転がす）
&lt;span class="spacer"&gt;&lt;/span&gt;この語の核は「巻かれたものを外に転がして広げる」というイメージ。巻物を外に広げるように物事が広がっていく、展開していく。ここから「発展する, 進化する」という意味になる。
&lt;div class="sample_image evolve"&gt;&lt;/div&gt;&lt;/span&gt;</v>
      </c>
      <c r="AU278" s="15"/>
      <c r="AV278" s="1" t="s">
        <v>1502</v>
      </c>
      <c r="BG278" s="7" t="s">
        <v>1503</v>
      </c>
      <c r="BH278" s="1" t="s">
        <v>2780</v>
      </c>
      <c r="BI278" s="2" t="s">
        <v>7559</v>
      </c>
      <c r="BJ278" s="1" t="s">
        <v>2147</v>
      </c>
      <c r="BK278" s="2" t="s">
        <v>7523</v>
      </c>
      <c r="BL278" s="1" t="s">
        <v>2031</v>
      </c>
      <c r="BM278" s="2" t="s">
        <v>2844</v>
      </c>
      <c r="BN278" s="1" t="s">
        <v>2044</v>
      </c>
      <c r="BO278" s="2" t="s">
        <v>2845</v>
      </c>
      <c r="BP278" s="1" t="s">
        <v>1865</v>
      </c>
      <c r="BQ278" s="2" t="s">
        <v>2846</v>
      </c>
    </row>
    <row r="279" spans="1:69" ht="216" x14ac:dyDescent="0.45">
      <c r="A279" s="5">
        <v>278</v>
      </c>
      <c r="B279" s="8" t="s">
        <v>202</v>
      </c>
      <c r="C279" s="6" t="s">
        <v>6850</v>
      </c>
      <c r="D279" s="7" t="s">
        <v>9752</v>
      </c>
      <c r="E279" s="1" t="s">
        <v>31</v>
      </c>
      <c r="F279" s="1" t="s">
        <v>1441</v>
      </c>
      <c r="G279" s="1"/>
      <c r="J279" s="1" t="s">
        <v>9753</v>
      </c>
      <c r="K279" s="2" t="s">
        <v>7524</v>
      </c>
      <c r="L279" s="3" t="s">
        <v>8189</v>
      </c>
      <c r="M279" s="1" t="s">
        <v>12185</v>
      </c>
      <c r="P279" s="7" t="s">
        <v>1241</v>
      </c>
      <c r="Q279" s="14" t="str">
        <f>INDEX($L:$L, MATCH("ingredient", $B:$B, 0))</f>
        <v>&lt;span class="w"&gt;&lt;b&gt;【575.ingredient：成分, 材料】&lt;/b&gt;&lt;/span&gt;
&lt;span class="ml"&gt;ラテン語に由来する語で、以下の2つの要素から成る。
&lt;span class="spacer"&gt;&lt;/span&gt;in（中に）
gradi（歩く, 進む）
&lt;span class="spacer"&gt;&lt;/span&gt;このまま日本語にすると「中に歩く」となる。これは「何かの中に入る」イメージ。そこから、混合物や調合などに入るもの、つまり「成分, 材料」という意味になる。
&lt;div class="sample_image ingredient"&gt;&lt;/div&gt;&lt;/span&gt;</v>
      </c>
      <c r="R279" s="14" t="str">
        <f>INDEX($L:$L, MATCH("aggressive", $B:$B, 0))</f>
        <v>&lt;span class="w"&gt;&lt;b&gt;【592.aggressive：攻撃的な】&lt;/b&gt;&lt;/span&gt;
&lt;span class="ml"&gt;ラテン語に由来する語で、以下の2つの要素から成る。
&lt;span class="spacer"&gt;&lt;/span&gt;ad（〜へ）
gradus（一歩）から派生した動詞gradi（歩く, 進む）
&lt;span class="obsolete"&gt;ive（形容詞化）は英語段階で付いた&lt;/span&gt;
&lt;span class="spacer"&gt;&lt;/span&gt;このまま日本語にすると「〜へ歩き進む」となり、対象への接近や、さらに襲いかかる・攻撃することを表した。ここから「攻撃的な」という意味になった。&lt;/span&gt;</v>
      </c>
      <c r="S279" s="14" t="str">
        <f>INDEX($L:$L, MATCH("congress", $B:$B, 0))</f>
        <v>&lt;span class="w"&gt;&lt;b&gt;【1145.congress：米国議会, 会議】&lt;/b&gt;&lt;/span&gt;
&lt;span class="ml"&gt;ラテン語に由来する語で、以下の2つの要素から成る。
&lt;span class="spacer"&gt;&lt;/span&gt;com（共に）
gradus（一歩）から派生したgradi（歩く）
&lt;span class="spacer"&gt;&lt;/span&gt;この語の核は「共に歩み寄ること」。もともとは、歩いてきて人が同じ場所に集まることから「会合」や「会議」という意味になった。その後、アメリカ合衆国において、連邦議会の名称としてCongressが採用されて「米国議会」という意味になった。
&lt;div class="sample_image congress"&gt;&lt;/div&gt;&lt;/span&gt;</v>
      </c>
      <c r="T279" s="14" t="str">
        <f>INDEX($L:$L, MATCH("gradual", $B:$B, 0))</f>
        <v>&lt;span class="w"&gt;&lt;b&gt;【1391.gradual：徐々の, 緩やかな】&lt;/b&gt;&lt;/span&gt;
&lt;span class="ml"&gt;ラテン語に由来する語で、以下の2つの要素から成る。
&lt;span class="spacer"&gt;&lt;/span&gt;gradus（一歩, 登る段, 物事の段階）
alis（形容詞化）
&lt;span class="spacer"&gt;&lt;/span&gt;この語の核は「一歩一歩すすむ」。
一歩ずつ、あるいは一段ずつ進むことから、物事が一気に飛躍するのではなく、段階的に変化する＝「徐々の, 緩やかな」という意味になった。
&lt;div class="sample_image gradual"&gt;&lt;/div&gt;&lt;/span&gt;</v>
      </c>
      <c r="U279" s="13" t="str">
        <f>INDEX($L:$L, MATCH("undergraduate", $B:$B, 0))</f>
        <v>&lt;span class="w"&gt;&lt;b&gt;【1167.undergraduate：学部生】&lt;/b&gt;&lt;/span&gt;
&lt;span class="ml"&gt;近代英語にさかのぼり、以下の2つの要素から成る。
&lt;span class="spacer"&gt;&lt;/span&gt;under（下に）
graduate（卒業生, 学位取得者）
&lt;span class="spacer"&gt;&lt;/span&gt;大学卒業生＝最初の学位（学士号）を取得した人の下の段階を表すことから、「学部生（大学生）」という意味になる。&lt;/span&gt;</v>
      </c>
      <c r="AU279" s="15"/>
      <c r="AV279" s="1" t="s">
        <v>1502</v>
      </c>
      <c r="BG279" s="7" t="s">
        <v>1503</v>
      </c>
      <c r="BH279" s="1" t="s">
        <v>2780</v>
      </c>
      <c r="BI279" s="2" t="s">
        <v>2847</v>
      </c>
      <c r="BJ279" s="1" t="s">
        <v>2031</v>
      </c>
      <c r="BK279" s="2" t="s">
        <v>2848</v>
      </c>
      <c r="BL279" s="1" t="s">
        <v>2044</v>
      </c>
      <c r="BM279" s="2" t="s">
        <v>2849</v>
      </c>
      <c r="BN279" s="1" t="s">
        <v>1865</v>
      </c>
      <c r="BO279" s="2" t="s">
        <v>2850</v>
      </c>
    </row>
    <row r="280" spans="1:69" ht="306" x14ac:dyDescent="0.45">
      <c r="A280" s="5">
        <v>279</v>
      </c>
      <c r="B280" s="8" t="s">
        <v>1442</v>
      </c>
      <c r="C280" s="6" t="s">
        <v>6851</v>
      </c>
      <c r="D280" s="7" t="s">
        <v>9752</v>
      </c>
      <c r="E280" s="1" t="s">
        <v>6920</v>
      </c>
      <c r="F280" s="1" t="s">
        <v>8918</v>
      </c>
      <c r="G280" s="1" t="s">
        <v>1528</v>
      </c>
      <c r="J280" s="1" t="s">
        <v>9753</v>
      </c>
      <c r="K280" s="2" t="s">
        <v>7525</v>
      </c>
      <c r="L280" s="4" t="s">
        <v>9202</v>
      </c>
      <c r="M280" s="1" t="s">
        <v>12136</v>
      </c>
      <c r="P280" s="7" t="s">
        <v>1241</v>
      </c>
      <c r="Q280" s="14" t="str">
        <f>INDEX($L:$L, MATCH("knowledge", $B:$B, 0))</f>
        <v>&lt;span class="w"&gt;&lt;b&gt;【58.knowledge：知識, 認識】&lt;/b&gt;&lt;/span&gt;
&lt;span class="ml"&gt;knowledgeは「knowの名詞」と覚えればよい。
&lt;span class="spacer"&gt;&lt;/span&gt;知っているという動詞から知っていること＝「知識, 認識」という名詞になる。&lt;/span&gt;</v>
      </c>
      <c r="R280" s="14" t="str">
        <f>INDEX($L:$L, MATCH("acknowledge", $B:$B, 0))</f>
        <v>&lt;span class="w"&gt;&lt;b&gt;【717.acknowledge：〜を認める】&lt;/b&gt;&lt;/span&gt;
&lt;span class="ml"&gt;以下の中英語の2語がひとつになってできた語。
&lt;span class="spacer"&gt;&lt;/span&gt;aknowen（知っていることを認める）
knowlechen（認める）
&lt;span class="spacer"&gt;&lt;/span&gt;この語は、対象を示すac（〜に）とknow（知っている）が合わさったと考えればよい。「何かに対して知っていると認める」というイメージで覚える。&lt;/span&gt;</v>
      </c>
      <c r="S280" s="14" t="str">
        <f>INDEX($L:$L, MATCH("unknown", $B:$B, 0))</f>
        <v>&lt;span class="w"&gt;&lt;b&gt;【492.unknown：不明の, 知られていない】&lt;/b&gt;&lt;/span&gt;
&lt;span class="ml"&gt;中英語にさかのぼり、以下の2つの要素から成る。
&lt;span class="spacer"&gt;&lt;/span&gt;un（否定）
knowの過去分詞known
&lt;span class="spacer"&gt;&lt;/span&gt;このまま「知られていない」という意味になる。&lt;/span&gt;</v>
      </c>
      <c r="T280" s="14" t="str">
        <f>INDEX($L:$L, MATCH("notice", $B:$B, 0))</f>
        <v>&lt;span class="w"&gt;&lt;b&gt;【101.notice：（動）～に気づく, （名）通知】&lt;/b&gt;&lt;/span&gt;
&lt;span class="ml"&gt;印欧祖語*gno-（知る）から生まれたラテン語(g)nōscere（知るようになる, 認識する）
&lt;span class="spacer"&gt;&lt;/span&gt;「知るようになる」から知られるきっかけである「通知, 知らせ」という名詞になる。そして知らせによって何かを認識するので、「気づく」という動詞になる。&lt;/span&gt;</v>
      </c>
      <c r="U280" s="14" t="str">
        <f>INDEX($L:$L, MATCH("notion", $B:$B, 0))</f>
        <v>&lt;span class="w"&gt;&lt;b&gt;【453.notion：概念, 考え】&lt;/b&gt;&lt;/span&gt;
&lt;span class="ml"&gt;ラテン語に由来する語で、以下の2つの要素から成る。
&lt;span class="spacer"&gt;&lt;/span&gt;noscere（知る）
io（名詞化）
&lt;span class="spacer"&gt;&lt;/span&gt;この語の核は「知られているもの」。ここから頭の中にある「考え, 概念」という意味になる。&lt;/span&gt;</v>
      </c>
      <c r="V280" s="14" t="str">
        <f>INDEX($L:$L, MATCH("noble", $B:$B, 0))</f>
        <v>&lt;span class="w"&gt;&lt;b&gt;【1184.noble：高貴な, 高潔な, 気高い】&lt;/b&gt;&lt;/span&gt;
&lt;span class="ml"&gt;ラテン語に由来する語で、以下の2つの要素から成る。
&lt;span class="spacer"&gt;&lt;/span&gt;gnoscere（知る）
bilis（できる）
&lt;span class="spacer"&gt;&lt;/span&gt;この語の核は「皆によく知られている＝知名度が高い」。当時の社会で、世間によく知られているということは身分が高い家、つまり貴族ということになる。そこから「高貴な」という意味になった。
&lt;span class="spacer"&gt;&lt;/span&gt;また高貴な人々にふさわしいとされる道徳心や立派な振る舞いから「高潔な, 気高い」という意味にもなった。
&lt;div class="sample_image noble"&gt;&lt;/div&gt;&lt;/span&gt;</v>
      </c>
      <c r="W280" s="14" t="str">
        <f>INDEX($L:$L, MATCH("ignore", $B:$B, 0))</f>
        <v>&lt;span class="w"&gt;&lt;b&gt;【224.ignore：～を無視する】&lt;/b&gt;&lt;/span&gt;
&lt;span class="ml"&gt;ラテン語に由来する語で、以下の2つの要素から成る。
&lt;span class="spacer"&gt;&lt;/span&gt;in（否定）
gnarus（知っている）
&lt;span class="spacer"&gt;&lt;/span&gt;このまま日本語にすると「知らない」となる。気に留めることなく知らないふりをすることから、「無視する」という意味になった。
&lt;span class="spacer"&gt;&lt;/span&gt;形容詞ignorant（無知な）,や名詞ignorance（無知）もセットで覚えておく。&lt;/span&gt;</v>
      </c>
      <c r="X280" s="14" t="str">
        <f>INDEX($L:$L, MATCH("recognize", $B:$B, 0))</f>
        <v>&lt;span class="w"&gt;&lt;b&gt;【106.recognize：～を認識する, ～を識別する】&lt;/b&gt;&lt;/span&gt;
&lt;span class="ml"&gt;ラテン語に由来する語で、以下の3つの要素から成る。
&lt;span class="spacer"&gt;&lt;/span&gt;re（再び）
com（強意）
gnoscere（知る）
&lt;span class="spacer"&gt;&lt;/span&gt;このまま日本語にすると「再びしっかり知る」となる。目の前の情報Aを既にある知識と照らし合わせ、情報Aは知識の中の情報Bと同一であると再び知る。つまり、情報Aは情報Bであると「識別する, 認識する」という意味になる。
&lt;div class="sample_image recognize"&gt;&lt;/div&gt;&lt;/span&gt;</v>
      </c>
      <c r="Y280" s="14" t="str">
        <f>INDEX($L:$L, MATCH("diagnose", $B:$B, 0))</f>
        <v>&lt;span class="w"&gt;&lt;b&gt;【1419.diagnose：診断する】&lt;/b&gt;&lt;/span&gt;
&lt;span class="ml"&gt;ギリシャ語に由来する語で、以下の2つの要素から成る。
&lt;span class="spacer"&gt;&lt;/span&gt;dia（間に）
gignōskein（学ぶ, 知るようになる）
&lt;span class="spacer"&gt;&lt;/span&gt;もともとは、様々な物事の間にある差異を知り、それぞれを区別する、識別することを表した。そこから医学において、症状を見分けて病名を特定することを意味するようになり、「診断する」という意味になった。
&lt;div class="sample_image diagnose"&gt;&lt;/div&gt;
&lt;span class="spacer"&gt;&lt;/span&gt;さらに現代では、医学に限らず、機械や技術、ビジネス、教育など様々な分野において「問題分析をする」という意味でも使われる。&lt;/span&gt;</v>
      </c>
      <c r="Z280" s="13" t="str">
        <f>INDEX($L:$L, MATCH("acquaintance", $B:$B, 0))</f>
        <v>&lt;span class="w"&gt;&lt;b&gt;【1257.acquaintance：知人, 面識, 知識】&lt;/b&gt;&lt;/span&gt;
&lt;span class="ml"&gt;ラテン語に由来する語で、以下の4つの要素から成る。
&lt;span class="spacer"&gt;&lt;/span&gt;ad（〜へ）
com（完全に）
gnoscere（知る）
&lt;span class="obsolete"&gt;ance（名詞化）はフランス語段階で付いた&lt;/span&gt;
&lt;span class="spacer"&gt;&lt;/span&gt;この語の核は「何かをしっかり知っていること」。そこから、ある分野に通じているという意味での「知識」や、相手と初対面ではなくて顔を見て知っているという「面識」、そして面識がある人、すなわち「知人」などの意味になる。
&lt;span class="spacer"&gt;&lt;/span&gt;acquaintanceというスペルはもとのラテン語から大きく変わってしまったが、印欧祖語*gno-（知る）そしてラテン語gnoscere（知る）から生まれた語。&lt;/span&gt;</v>
      </c>
      <c r="AV280" s="1" t="s">
        <v>1502</v>
      </c>
      <c r="BG280" s="7" t="s">
        <v>1503</v>
      </c>
      <c r="BH280" s="1" t="s">
        <v>2254</v>
      </c>
      <c r="BI280" s="1" t="s">
        <v>3355</v>
      </c>
      <c r="BJ280" s="1" t="s">
        <v>2780</v>
      </c>
      <c r="BK280" s="2" t="s">
        <v>2851</v>
      </c>
      <c r="BL280" s="1" t="s">
        <v>1883</v>
      </c>
      <c r="BM280" s="2" t="s">
        <v>2852</v>
      </c>
    </row>
    <row r="281" spans="1:69" ht="216" x14ac:dyDescent="0.45">
      <c r="A281" s="5">
        <v>280</v>
      </c>
      <c r="B281" s="8" t="s">
        <v>1443</v>
      </c>
      <c r="C281" s="6" t="s">
        <v>6851</v>
      </c>
      <c r="D281" s="7" t="s">
        <v>9752</v>
      </c>
      <c r="E281" s="1" t="s">
        <v>76</v>
      </c>
      <c r="F281" s="1" t="s">
        <v>5272</v>
      </c>
      <c r="G281" s="1"/>
      <c r="J281" s="1" t="s">
        <v>9753</v>
      </c>
      <c r="K281" s="2" t="s">
        <v>2853</v>
      </c>
      <c r="L281" s="4" t="s">
        <v>8190</v>
      </c>
      <c r="P281" s="7" t="s">
        <v>1241</v>
      </c>
      <c r="Q281" s="13" t="str">
        <f>INDEX($L:$L, MATCH("idea", $B:$B, 0))</f>
        <v>&lt;span class="w"&gt;&lt;b&gt;【41.idea：考え】&lt;/b&gt;&lt;/span&gt;
&lt;span class="ml"&gt;
日本語でも使われるアイデア(考え)として覚えればよいが、下記の内容を知っておくと、哲学に関わる文章が出てきた時に便利かもしれない。
&lt;span class="spacer"&gt;&lt;/span&gt;ideaで重要なのは、本当に現実に存在するわけではなく、頭の中にある概念だということ。
&lt;span class="spacer"&gt;&lt;/span&gt;ideaは、もとは哲学用語（イデア）で、人間が感覚で知る現実世界ではなく、頭（理性）で知る本質的な世界を意味する。
&lt;span class="spacer"&gt;&lt;/span&gt;たとえば、私たちは「三角形」というものを知っているが、現実世界に完璧な三角形は存在しない。実際に三角形を線で描いても、拡大して見れば角は完璧にとがっていないし、直線も完璧なまっすぐな線ではない。しかし人間の頭の中には完璧な三角形がある。この頭で知っている完璧で完全なものがイデアと呼ばれる。（→idealに関係する）&lt;/span&gt;</v>
      </c>
      <c r="AU281" s="15"/>
      <c r="AV281" s="1" t="s">
        <v>1502</v>
      </c>
      <c r="BG281" s="7" t="s">
        <v>1503</v>
      </c>
      <c r="BH281" s="1" t="s">
        <v>2423</v>
      </c>
      <c r="BI281" s="2" t="s">
        <v>2854</v>
      </c>
      <c r="BJ281" s="1" t="s">
        <v>2780</v>
      </c>
      <c r="BK281" s="2" t="s">
        <v>2855</v>
      </c>
      <c r="BL281" s="1" t="s">
        <v>2324</v>
      </c>
      <c r="BM281" s="2" t="s">
        <v>2856</v>
      </c>
      <c r="BN281" s="1" t="s">
        <v>2044</v>
      </c>
      <c r="BO281" s="2" t="s">
        <v>2857</v>
      </c>
      <c r="BP281" s="1" t="s">
        <v>1865</v>
      </c>
      <c r="BQ281" s="2" t="s">
        <v>2858</v>
      </c>
    </row>
    <row r="282" spans="1:69" ht="144" x14ac:dyDescent="0.45">
      <c r="A282" s="5">
        <v>281</v>
      </c>
      <c r="B282" s="8" t="s">
        <v>203</v>
      </c>
      <c r="C282" s="6" t="s">
        <v>6851</v>
      </c>
      <c r="D282" s="7" t="s">
        <v>9752</v>
      </c>
      <c r="E282" s="6" t="s">
        <v>1444</v>
      </c>
      <c r="F282" s="6" t="s">
        <v>1445</v>
      </c>
      <c r="G282" s="1"/>
      <c r="J282" s="1" t="s">
        <v>9753</v>
      </c>
      <c r="K282" s="2" t="s">
        <v>7560</v>
      </c>
      <c r="L282" s="3" t="s">
        <v>8191</v>
      </c>
      <c r="M282" s="1" t="s">
        <v>12123</v>
      </c>
      <c r="P282" s="7" t="s">
        <v>1241</v>
      </c>
      <c r="Q282" s="14" t="str">
        <f>INDEX($L:$L, MATCH("affect", $B:$B, 0))</f>
        <v>&lt;span class="w"&gt;&lt;b&gt;【25.affect：～に影響する】&lt;/b&gt;&lt;/span&gt;
&lt;span class="ml"&gt;ラテン語に由来する語で、以下の2つの要素から成る。
&lt;span class="spacer"&gt;&lt;/span&gt;ad（～へ）
facere（する, 作る）
&lt;span class="spacer"&gt;&lt;/span&gt;このまま日本語にすると「～へ何かをする」となる。ここから精神的もしくは物理的に「影響する」という意味になる。&lt;/span&gt;</v>
      </c>
      <c r="R282" s="13" t="str">
        <f>INDEX($L:$L, MATCH("effect", $B:$B, 0))</f>
        <v>&lt;span class="w"&gt;&lt;b&gt;【48.effect：影響, 効果】&lt;/b&gt;&lt;/span&gt;
&lt;span class="ml"&gt;ラテン語に由来する語で、以下の2つの要素から成る。
&lt;span class="spacer"&gt;&lt;/span&gt;ex（外へ）
facere（行う）
&lt;span class="spacer"&gt;&lt;/span&gt;このまま日本語にすると「行なって外へ」となる。何かを行なった結果として外に出てきたものというイメージから、「影響, 効果」という意味になる。
&lt;span class="spacer"&gt;&lt;/span&gt;サウンドエフェクトやゲームのエフェクトといった「効果」と関連させて覚える。
&lt;span class="spacer"&gt;&lt;/span&gt;effectは、何かを行なった結果として現実に出てきたものなので、かつては「現実, 事実」という意味があった。この意味はin effect「実際に, 事実上」に残っている。&lt;/span&gt;</v>
      </c>
      <c r="S282" s="13" t="str">
        <f>INDEX($L:$L, MATCH("infection", $B:$B, 0))</f>
        <v>&lt;span class="w"&gt;&lt;b&gt;【852.infection：感染（症）】&lt;/b&gt;&lt;/span&gt;
&lt;span class="ml"&gt;ラテン語に由来する語で、以下の3つの要素から成る。
&lt;span class="spacer"&gt;&lt;/span&gt;in（中に）
facere（行う, 作る）
io（名詞化）
&lt;span class="spacer"&gt;&lt;/span&gt;このまま日本語にすると「中に（入れて）行う」となる。もともとは、布を染料の中に入れて染めることを表したが、次第に美しく染めるだけではなく、悪いものが入り込んで汚染することも表すようになった。そこから医学において、悪いものが体の中に入って健康体を病気に染めていくこと、つまり「感染（症）」という意味になった。
&lt;div class="sample_image infection"&gt;&lt;/div&gt;&lt;/span&gt;</v>
      </c>
      <c r="T282" s="13" t="str">
        <f>INDEX($L:$L, MATCH("sufficient", $B:$B, 0))</f>
        <v>&lt;span class="w"&gt;&lt;b&gt;【483.sufficient：十分な（=enough）】&lt;/b&gt;&lt;/span&gt;
&lt;span class="ml"&gt;ラテン語に由来する語で、以下の2つの要素から成る。
&lt;span class="spacer"&gt;&lt;/span&gt;sub（下から）
facere（行う, 作る）
&lt;span class="spacer"&gt;&lt;/span&gt;このまま日本語にすると「下から作る」となる。これは、下から必要とされるラインまで作り上げるというイメージ。ここから、数量が足りていて「十分な」という意味になる。
&lt;div class="sample_image sufficient"&gt;&lt;/div&gt;
&lt;span class="spacer"&gt;&lt;/span&gt;［sufficientとadequate］
&lt;span class="spacer"&gt;&lt;/span&gt;sufficient：必要な分まで足りるという意味で「十分な」という感じ。否定のinsufficientは「不足している」という意味になる。
&lt;span class="spacer"&gt;&lt;/span&gt;adequate：必要最低限の水準は満たしていて「十分な」という感じ。否定のinadequateは「不適切な」という意味になる。またadequateは、質はまぁまぁという少しネガティブな印象を含むことがある。&lt;/span&gt;</v>
      </c>
      <c r="U282" s="13" t="str">
        <f>INDEX($L:$L, MATCH("insufficient", $B:$B, 0))</f>
        <v>&lt;span class="w"&gt;&lt;b&gt;【1484.insufficient：不十分な】&lt;/b&gt;&lt;/span&gt;
&lt;span class="ml"&gt;ラテン語に由来する語で、以下の2つの要素から成る。
&lt;span class="spacer"&gt;&lt;/span&gt;in（否定）
sufficientem（十分な）
&lt;span class="spacer"&gt;&lt;/span&gt;十分であることを否定するので「不十分な」という意味になる。
&lt;span class="spacer"&gt;&lt;/span&gt;sufficientは関連語を参照。&lt;/span&gt;</v>
      </c>
      <c r="AU282" s="15"/>
      <c r="AV282" s="1" t="s">
        <v>1502</v>
      </c>
      <c r="BG282" s="7" t="s">
        <v>1503</v>
      </c>
      <c r="BH282" s="1" t="s">
        <v>2780</v>
      </c>
      <c r="BI282" s="2" t="s">
        <v>2859</v>
      </c>
      <c r="BJ282" s="1" t="s">
        <v>2031</v>
      </c>
      <c r="BK282" s="2" t="s">
        <v>2860</v>
      </c>
      <c r="BL282" s="1" t="s">
        <v>2044</v>
      </c>
      <c r="BM282" s="2" t="s">
        <v>2861</v>
      </c>
      <c r="BN282" s="1" t="s">
        <v>3496</v>
      </c>
      <c r="BO282" s="2" t="s">
        <v>7526</v>
      </c>
    </row>
    <row r="283" spans="1:69" ht="162" x14ac:dyDescent="0.45">
      <c r="A283" s="5">
        <v>282</v>
      </c>
      <c r="B283" s="8" t="s">
        <v>1446</v>
      </c>
      <c r="C283" s="6" t="s">
        <v>6851</v>
      </c>
      <c r="D283" s="7" t="s">
        <v>9752</v>
      </c>
      <c r="E283" s="1" t="s">
        <v>8919</v>
      </c>
      <c r="F283" s="1" t="s">
        <v>6202</v>
      </c>
      <c r="G283" s="1" t="s">
        <v>49</v>
      </c>
      <c r="J283" s="1" t="s">
        <v>9753</v>
      </c>
      <c r="K283" s="2" t="s">
        <v>7527</v>
      </c>
      <c r="L283" s="4" t="s">
        <v>8192</v>
      </c>
      <c r="M283" s="1" t="s">
        <v>12186</v>
      </c>
      <c r="P283" s="7" t="s">
        <v>1241</v>
      </c>
      <c r="Q283" s="13" t="str">
        <f>INDEX($L:$L, MATCH("advertise", $B:$B, 0))</f>
        <v>&lt;span class="w"&gt;&lt;b&gt;【414.advertise：〜を宣伝する】&lt;/b&gt;&lt;/span&gt;
&lt;span class="ml"&gt;ラテン語に由来する語で、以下の2つの要素から成る。
&lt;span class="spacer"&gt;&lt;/span&gt;ad（〜へ）
vertere（回す, 向ける）
&lt;span class="spacer"&gt;&lt;/span&gt;この語の核は「注意をある方向へ向けさせる」ということ。人の注意を特定の対象に向けさせることから、商品などに目を向けさせる＝「何かを宣伝する」という意味になる。
&lt;div class="sample_image advertise"&gt;&lt;/div&gt;&lt;/span&gt;</v>
      </c>
      <c r="R283" s="13" t="str">
        <f>INDEX($L:$L, MATCH("diversity", $B:$B, 0))</f>
        <v>&lt;span class="w"&gt;&lt;b&gt;【456.diversity：多様性, 相違点】&lt;/b&gt;&lt;/span&gt;
&lt;span class="ml"&gt;ラテン語に由来する語で、以下の3つの要素から成る。
&lt;span class="spacer"&gt;&lt;/span&gt;dis（離れて）
vertere（回す, 向ける）
tas（名詞化）
&lt;span class="spacer"&gt;&lt;/span&gt;このまま日本語にすると「離れた（異なる）方向に向けること」となる。これは、それぞれが異なる方向を向いているイメージ。そこから、物事がさまざまに分かれている状態を表し、「多様性, 相違点」という意味になる。&lt;/span&gt;</v>
      </c>
      <c r="S283" s="13" t="str">
        <f>INDEX($L:$L, MATCH("reverse", $B:$B, 0))</f>
        <v>&lt;span class="w"&gt;&lt;b&gt;【726.reverse：〜を逆転させる, 〜を反対にする】&lt;/b&gt;&lt;/span&gt;
&lt;span class="ml"&gt;ラテン語に由来する語で、以下の2つの要素から成る。
&lt;span class="spacer"&gt;&lt;/span&gt;re（再び, 後ろへ）
vertere（回す, 向ける）
&lt;span class="spacer"&gt;&lt;/span&gt;このまま日本語にすると「後ろへ向ける」や「再び回す」となる。このような向きを変える、ひっくり返す動きから、何かを「逆転させる, 反対にする」という意味になる。&lt;/span&gt;</v>
      </c>
      <c r="T283" s="13" t="str">
        <f>INDEX($L:$L, MATCH("divorce", $B:$B, 0))</f>
        <v>&lt;span class="w"&gt;&lt;b&gt;【764.divorce：離婚, 分離】&lt;/b&gt;&lt;/span&gt;
&lt;span class="ml"&gt;ラテン語に由来する語で、以下の2つの要素から成る。
&lt;span class="spacer"&gt;&lt;/span&gt;dis（離れて）
vertere（向ける）
&lt;span class="spacer"&gt;&lt;/span&gt;このまま日本語にすると「離れた方向に向ける」となる。もともとは何かの「分離」を意味した。そして、人生という道を共にする夫婦が離れた方を向いて行くことから「離婚」という意味になった。
&lt;div class="sample_image divorce"&gt;&lt;/div&gt;&lt;/span&gt;</v>
      </c>
      <c r="U283" s="13" t="str">
        <f>INDEX($L:$L, MATCH("controversy", $B:$B, 0))</f>
        <v>&lt;span class="w"&gt;&lt;b&gt;【1152.controversy：論争】&lt;/b&gt;&lt;/span&gt;
&lt;span class="ml"&gt;ラテン語に由来する語で、以下の3つの要素から成る。
&lt;span class="spacer"&gt;&lt;/span&gt;contra（反対に）
versus（〜の方に向けられた)
ia（名詞化）
&lt;span class="spacer"&gt;&lt;/span&gt;この語の核は「相手と同じ方向ではなく反対に向いていること、向き合っていること」。つまり考えや立場が対立して争っていることを表し、そこから 「論争」という意味になる。
&lt;div class="sample_image controversy"&gt;&lt;/div&gt;&lt;/span&gt;</v>
      </c>
      <c r="V283" s="13" t="str">
        <f>INDEX($L:$L, MATCH("anniversary", $B:$B, 0))</f>
        <v>&lt;span class="w"&gt;&lt;b&gt;【1245.anniversary：〜周年の記念日】&lt;/b&gt;&lt;/span&gt;
&lt;span class="ml"&gt;ラテン語に由来する語で、以下の4つの要素から成る。
&lt;span class="spacer"&gt;&lt;/span&gt;annus（年）
vertere（回す）の過去分詞versus（回された）
arius（形容詞化）
um（名詞化）
&lt;span class="spacer"&gt;&lt;/span&gt;この語の核は「毎年回ってくる日」。
そこから「周年の記念日」という意味になる。&lt;/span&gt;</v>
      </c>
      <c r="W283" s="13" t="str">
        <f>INDEX($L:$L, MATCH("version", $B:$B, 0))</f>
        <v>&lt;span class="w"&gt;&lt;b&gt;【364.version：〜版】&lt;/b&gt;&lt;/span&gt;
&lt;span class="ml"&gt;ラテン語に由来する語で、以下の2つの要素から成る。
&lt;span class="spacer"&gt;&lt;/span&gt;vertere（回す, 向ける）
io（名詞化）
&lt;span class="spacer"&gt;&lt;/span&gt;このまま日本語にすると「回すこと, 向けること」となる。あるものの向きを別の方へ変えるイメージから、既にあるものを元に別の形へ変えること＝「〜版」という意味になる。&lt;/span&gt;</v>
      </c>
      <c r="X283" s="13" t="str">
        <f>INDEX($L:$L, MATCH("versus", $B:$B, 0))</f>
        <v>&lt;span class="w"&gt;&lt;b&gt;【1100.versus：（A versus B）A対B】&lt;/b&gt;&lt;/span&gt;
&lt;span class="ml"&gt;ラテン語vertere（回す, 向ける）の過去分詞versus（〜の方に向けられた, 〜に対して）に由来する。
&lt;span class="spacer"&gt;&lt;/span&gt;何かの方に向けられていることから「対する, A対B」という意味になる。A versus BはAがBの方に向けられているというイメージ。&lt;/span&gt;</v>
      </c>
      <c r="Y283" s="13" t="str">
        <f>INDEX($L:$L, MATCH("vertical", $B:$B, 0))</f>
        <v>&lt;span class="w"&gt;&lt;b&gt;【1188.vertical：垂直の】&lt;/b&gt;&lt;/span&gt;
&lt;span class="ml"&gt;ラテン語に由来する語で、以下の2つの要素から成る。
&lt;span class="spacer"&gt;&lt;/span&gt;vertere（回す）から派生したvertex（回転, 渦, 頂点）
alis（形容詞化）
&lt;span class="spacer"&gt;&lt;/span&gt;この語の核は「回転」。物体の回転や天体の回転、水の渦、髪の渦（つむじ）など、あらゆる回転には中心を通る上下に伸びる軸がある。たとえば天体の回転も、観察者の真上に中心があり、そこを軸として空全体が回転しているように見える。
&lt;span class="spacer"&gt;&lt;/span&gt;そこから、天頂から地平線に対してまっすぐ下ろした線、つまり真上にある頂点から真下へと直角に交わる線へと繋がって「垂直な」という意味になった。
&lt;div class="sample_image vertical"&gt;&lt;/div&gt;&lt;/span&gt;</v>
      </c>
      <c r="Z283" s="13" t="str">
        <f>INDEX($L:$L, MATCH("convert", $B:$B, 0))</f>
        <v>&lt;span class="w"&gt;&lt;b&gt;【820.convert：～を変える, 改宗させる】&lt;/b&gt;&lt;/span&gt;
&lt;span class="ml"&gt;ラテン語に由来する語で、以下の2つの要素から成る。
&lt;span class="spacer"&gt;&lt;/span&gt;com（共に）
vertere（向ける）
&lt;span class="spacer"&gt;&lt;/span&gt;このまま日本語にすると「共に向ける」となる。これは、みんなを同じ方に向けるイメージ。そこから宗教において、同じ対象を信仰するように「改宗させる」という意味になる。また宗教に限らず、形式や用途などを人為的に「変える」という意味になる。
&lt;div class="sample_image convert"&gt;&lt;/div&gt;&lt;/span&gt;</v>
      </c>
      <c r="AU283" s="15"/>
      <c r="AV283" s="1" t="s">
        <v>1502</v>
      </c>
      <c r="BG283" s="7" t="s">
        <v>1503</v>
      </c>
      <c r="BH283" s="1" t="s">
        <v>2780</v>
      </c>
      <c r="BI283" s="2" t="s">
        <v>2862</v>
      </c>
      <c r="BJ283" s="1" t="s">
        <v>2031</v>
      </c>
      <c r="BK283" s="2" t="s">
        <v>2863</v>
      </c>
      <c r="BL283" s="1" t="s">
        <v>2044</v>
      </c>
      <c r="BM283" s="2" t="s">
        <v>2864</v>
      </c>
    </row>
    <row r="284" spans="1:69" ht="108" x14ac:dyDescent="0.45">
      <c r="A284" s="5">
        <v>283</v>
      </c>
      <c r="B284" s="8" t="s">
        <v>204</v>
      </c>
      <c r="C284" s="6" t="s">
        <v>6851</v>
      </c>
      <c r="D284" s="7" t="s">
        <v>9752</v>
      </c>
      <c r="E284" s="6" t="s">
        <v>204</v>
      </c>
      <c r="F284" s="1"/>
      <c r="G284" s="1"/>
      <c r="J284" s="1" t="s">
        <v>9753</v>
      </c>
      <c r="K284" s="2" t="s">
        <v>7528</v>
      </c>
      <c r="L284" s="9" t="s">
        <v>8193</v>
      </c>
      <c r="P284" s="7" t="s">
        <v>1241</v>
      </c>
      <c r="Q284" s="18" t="str">
        <f>INDEX($L:$L, MATCH("waste", $B:$B, 0))</f>
        <v>&lt;span class="w"&gt;&lt;b&gt;【113.waste：～を浪費する, 無駄にする】&lt;/b&gt;&lt;/span&gt;
&lt;span class="ml"&gt;ラテン語vastus（空の, 荒れ果てた）に由来する。
&lt;span class="spacer"&gt;&lt;/span&gt;荒れ果てた土地というのは、土地として無駄なもの。ここから何かを「無駄にする, 浪費する」という意味になる。&lt;/span&gt;</v>
      </c>
      <c r="AU284" s="15"/>
      <c r="AV284" s="1" t="s">
        <v>1502</v>
      </c>
      <c r="BG284" s="7" t="s">
        <v>1503</v>
      </c>
      <c r="BH284" s="1" t="s">
        <v>2780</v>
      </c>
      <c r="BI284" s="2" t="s">
        <v>7529</v>
      </c>
      <c r="BJ284" s="1" t="s">
        <v>2017</v>
      </c>
      <c r="BK284" s="2" t="s">
        <v>2865</v>
      </c>
      <c r="BL284" s="1" t="s">
        <v>1865</v>
      </c>
      <c r="BM284" s="2" t="s">
        <v>2866</v>
      </c>
    </row>
    <row r="285" spans="1:69" ht="72" x14ac:dyDescent="0.45">
      <c r="A285" s="5">
        <v>284</v>
      </c>
      <c r="B285" s="8" t="s">
        <v>205</v>
      </c>
      <c r="C285" s="6" t="s">
        <v>6851</v>
      </c>
      <c r="D285" s="7" t="s">
        <v>9752</v>
      </c>
      <c r="E285" s="1" t="s">
        <v>1413</v>
      </c>
      <c r="F285" s="1" t="s">
        <v>7530</v>
      </c>
      <c r="G285" s="1"/>
      <c r="J285" s="1" t="s">
        <v>9753</v>
      </c>
      <c r="K285" s="2" t="s">
        <v>7531</v>
      </c>
      <c r="L285" s="4" t="s">
        <v>8194</v>
      </c>
      <c r="M285" s="1" t="s">
        <v>12187</v>
      </c>
      <c r="P285" s="7" t="s">
        <v>1241</v>
      </c>
      <c r="Q285" s="13" t="str">
        <f>INDEX($L:$L, MATCH("extreme", $B:$B, 0))</f>
        <v>&lt;span class="w"&gt;&lt;b&gt;【296.extreme：極端な】&lt;/b&gt;&lt;/span&gt;
&lt;span class="ml"&gt;ラテン語ex（外の）から派生した最上級extremus（最も外側の）に由来する。
&lt;span class="spacer"&gt;&lt;/span&gt;「最も外側の」から度合いの範囲の中で最も外側、つまり「極端な」という意味になる。&lt;/span&gt;</v>
      </c>
      <c r="R285" s="13" t="str">
        <f>INDEX($L:$L, MATCH("external", $B:$B, 0))</f>
        <v>&lt;span class="w"&gt;&lt;b&gt;【989.external：外部の, 外側にある】&lt;/b&gt;&lt;/span&gt;
&lt;span class="ml"&gt;ラテン語ex（外へ）から派生したexternus（外部の, 外側に属する）に由来する。&lt;span class="obsolete"&gt;al（形容詞化）は英語段階で付いた。&lt;/span&gt;
&lt;span class="spacer"&gt;&lt;/span&gt;内と外という構造的な位置関係において、内側ではなく「外部の, 外側にある」という意味になる。&lt;/span&gt;</v>
      </c>
      <c r="S285" s="13" t="str">
        <f>INDEX($L:$L, MATCH("exotic", $B:$B, 0))</f>
        <v>&lt;span class="w"&gt;&lt;b&gt;【1180.exotic：外来の, 異国風の】&lt;/b&gt;&lt;/span&gt;
&lt;span class="ml"&gt;ギリシャ語に由来する語で、以下の2つの要素から成る。
&lt;span class="spacer"&gt;&lt;/span&gt;exo（外に）
ikos（形容詞化）
&lt;span class="spacer"&gt;&lt;/span&gt;この語の核は「外の世界から来た」。そこから「外来の」や「異国風の」という意味になる。&lt;/span&gt;</v>
      </c>
      <c r="AU285" s="15"/>
      <c r="AV285" s="1" t="s">
        <v>1502</v>
      </c>
      <c r="BG285" s="7" t="s">
        <v>1503</v>
      </c>
      <c r="BH285" s="1" t="s">
        <v>2780</v>
      </c>
      <c r="BI285" s="2" t="s">
        <v>7532</v>
      </c>
      <c r="BJ285" s="1" t="s">
        <v>1980</v>
      </c>
      <c r="BK285" s="1" t="s">
        <v>2867</v>
      </c>
      <c r="BL285" s="1" t="s">
        <v>1865</v>
      </c>
      <c r="BM285" s="2" t="s">
        <v>2868</v>
      </c>
    </row>
    <row r="286" spans="1:69" ht="288" x14ac:dyDescent="0.45">
      <c r="A286" s="5">
        <v>285</v>
      </c>
      <c r="B286" s="8" t="s">
        <v>206</v>
      </c>
      <c r="C286" s="6" t="s">
        <v>6851</v>
      </c>
      <c r="D286" s="7" t="s">
        <v>9752</v>
      </c>
      <c r="E286" s="6" t="s">
        <v>1447</v>
      </c>
      <c r="F286" s="1" t="s">
        <v>1448</v>
      </c>
      <c r="G286" s="1"/>
      <c r="J286" s="1" t="s">
        <v>9753</v>
      </c>
      <c r="K286" s="2" t="s">
        <v>7533</v>
      </c>
      <c r="L286" s="4" t="s">
        <v>8195</v>
      </c>
      <c r="M286" s="1" t="s">
        <v>12158</v>
      </c>
      <c r="P286" s="7" t="s">
        <v>1241</v>
      </c>
      <c r="Q286" s="14" t="str">
        <f>INDEX($L:$L, MATCH("contact", $B:$B, 0))</f>
        <v>&lt;span class="w"&gt;&lt;b&gt;【131.contact：〜と連絡を取る, 接触する】&lt;/b&gt;&lt;/span&gt;
&lt;span class="ml"&gt;ラテン語に由来する語で、以下の2つの要素から成る。
&lt;span class="spacer"&gt;&lt;/span&gt;com（共に）
tangere（触れる）
&lt;span class="spacer"&gt;&lt;/span&gt;このまま日本語にすると「共に触れる」となる。誰かと誰かが直接触れるなら「接触する」となり、離れていたら「連絡を取る」となる。&lt;/span&gt;</v>
      </c>
      <c r="R286" s="14" t="str">
        <f>INDEX($L:$L, MATCH("integrate", $B:$B, 0))</f>
        <v>&lt;span class="w"&gt;&lt;b&gt;【1239.integrate：〜を統合する, 〜を融合する】&lt;/b&gt;&lt;/span&gt;
&lt;span class="ml"&gt;ラテン語に由来する語で、以下の2つの要素から成る。
&lt;span class="spacer"&gt;&lt;/span&gt;in（否定）
tangere（触れる）
&lt;span class="spacer"&gt;&lt;/span&gt;このまま日本語にすると「触れられていない」となる。触れられていないということは、欠けている部分が全くなく、汚れてもいない完全な状態を表す。そこから、何かを完全な状態にすることへと発展し、バラバラな要素をひとつにまとめて完全にする＝「統合する, 融合する」という意味になった。
&lt;div class="sample_image integrate"&gt;&lt;/div&gt;
&lt;span class="spacer"&gt;&lt;/span&gt;全く同じ語源からはinteger（整数）も生まれている。小数や分数のように端数や分割のない完全な数字＝整数を意味する。&lt;/span&gt;</v>
      </c>
      <c r="S286" s="13" t="str">
        <f>INDEX($L:$L, MATCH("attain", $B:$B, 0))</f>
        <v>&lt;span class="w"&gt;&lt;b&gt;【1406.attain：〜を達成する, 獲得する】&lt;/b&gt;&lt;/span&gt;
&lt;span class="ml"&gt;ラテン語に由来する語で、以下の2つの要素から成る。
&lt;span class="spacer"&gt;&lt;/span&gt;ad（〜へ）
tangere（触れる）
&lt;span class="spacer"&gt;&lt;/span&gt;このまま日本語にすると「何かへ触れる」となる。目標へ向かって手を伸ばして、ついに触れるというイメージから、何かを「獲得する」や目標を「達成する」という意味になる。
&lt;span class="spacer"&gt;&lt;/span&gt;obtain, contain, maintain, retainは、ラテン語tenere（保つ）に由来する。tainというスペルだが語源が異なる。
&lt;div class="sample_image attain"&gt;&lt;/div&gt;&lt;/span&gt;</v>
      </c>
      <c r="AU286" s="15"/>
      <c r="AV286" s="1" t="s">
        <v>1502</v>
      </c>
      <c r="BG286" s="7" t="s">
        <v>1503</v>
      </c>
      <c r="BH286" s="1" t="s">
        <v>2780</v>
      </c>
      <c r="BI286" s="2" t="s">
        <v>2869</v>
      </c>
      <c r="BJ286" s="1" t="s">
        <v>2031</v>
      </c>
      <c r="BK286" s="2" t="s">
        <v>2870</v>
      </c>
      <c r="BL286" s="1" t="s">
        <v>2044</v>
      </c>
      <c r="BM286" s="2" t="s">
        <v>2871</v>
      </c>
    </row>
    <row r="287" spans="1:69" ht="216" x14ac:dyDescent="0.45">
      <c r="A287" s="5">
        <v>286</v>
      </c>
      <c r="B287" s="8" t="s">
        <v>1587</v>
      </c>
      <c r="C287" s="6" t="s">
        <v>6851</v>
      </c>
      <c r="D287" s="7" t="s">
        <v>9752</v>
      </c>
      <c r="E287" s="6" t="s">
        <v>1942</v>
      </c>
      <c r="F287" s="1" t="s">
        <v>1542</v>
      </c>
      <c r="G287" s="1"/>
      <c r="J287" s="1" t="s">
        <v>9753</v>
      </c>
      <c r="K287" s="2" t="s">
        <v>7534</v>
      </c>
      <c r="L287" s="9" t="s">
        <v>8587</v>
      </c>
      <c r="P287" s="7" t="s">
        <v>1241</v>
      </c>
      <c r="Q287" s="13" t="str">
        <f>INDEX($L:$L, MATCH("unfamiliar", $B:$B, 0))</f>
        <v>&lt;span class="w"&gt;&lt;b&gt;【787.unfamiliar：よく知らない（with）, よく知られていない（to）】&lt;/b&gt;&lt;/span&gt;
&lt;span class="ml"&gt;近代英語にさかのぼり、以下の2つの要素から成る。
&lt;span class="spacer"&gt;&lt;/span&gt;un（否定）
familiar（よく知っている, よく知られている）
&lt;span class="spacer"&gt;&lt;/span&gt;このまま日本語にすると「よく知らない, よく知られていない」という意味になる。
familiarの語源は関連語で確認。&lt;/span&gt;</v>
      </c>
      <c r="AU287" s="15"/>
      <c r="AV287" s="1" t="s">
        <v>1502</v>
      </c>
      <c r="BG287" s="7" t="s">
        <v>1503</v>
      </c>
      <c r="BH287" s="1" t="s">
        <v>2780</v>
      </c>
      <c r="BI287" s="2" t="s">
        <v>2872</v>
      </c>
      <c r="BJ287" s="1" t="s">
        <v>2031</v>
      </c>
      <c r="BK287" s="2" t="s">
        <v>2873</v>
      </c>
      <c r="BL287" s="1" t="s">
        <v>2044</v>
      </c>
      <c r="BM287" s="2" t="s">
        <v>2874</v>
      </c>
      <c r="BN287" s="1" t="s">
        <v>1865</v>
      </c>
      <c r="BO287" s="2" t="s">
        <v>2875</v>
      </c>
    </row>
    <row r="288" spans="1:69" ht="198" x14ac:dyDescent="0.45">
      <c r="A288" s="5">
        <v>287</v>
      </c>
      <c r="B288" s="8" t="s">
        <v>207</v>
      </c>
      <c r="C288" s="6" t="s">
        <v>6851</v>
      </c>
      <c r="D288" s="7" t="s">
        <v>9752</v>
      </c>
      <c r="E288" s="1" t="s">
        <v>1397</v>
      </c>
      <c r="F288" s="1" t="s">
        <v>7543</v>
      </c>
      <c r="G288" s="1" t="s">
        <v>1858</v>
      </c>
      <c r="J288" s="1" t="s">
        <v>9753</v>
      </c>
      <c r="K288" s="2" t="s">
        <v>7535</v>
      </c>
      <c r="L288" s="3" t="s">
        <v>8196</v>
      </c>
      <c r="M288" s="1" t="s">
        <v>12188</v>
      </c>
      <c r="P288" s="7" t="s">
        <v>1241</v>
      </c>
      <c r="Q288" s="14" t="str">
        <f>INDEX($L:$L, MATCH("previous", $B:$B, 0))</f>
        <v>&lt;span class="w"&gt;&lt;b&gt;【291.previous：以前の, 前の】&lt;/b&gt;&lt;/span&gt;
&lt;span class="ml"&gt;ラテン語に由来する語で、以下の3つの要素から成る。
&lt;span class="spacer"&gt;&lt;/span&gt;prae（前に, 以前に）
via（道）
us（形容詞化）
&lt;span class="spacer"&gt;&lt;/span&gt;このまま日本語にすると「道の前」となる。これは道の先を行くイメージ。時間を道にたとえると、未来が現在を通過して過去になる。道の先を行くということは、先に現在を通過しているということなので、時系列において既に起こっている。ここから「以前の, 前の」という意味になる。
&lt;div class="sample_image previous"&gt;&lt;/div&gt;&lt;/span&gt;</v>
      </c>
      <c r="R288" s="14" t="str">
        <f>INDEX($L:$L, MATCH("via", $B:$B, 0))</f>
        <v>&lt;span class="w"&gt;&lt;b&gt;【800.via：〜経由で】&lt;/b&gt;&lt;/span&gt;
&lt;span class="ml"&gt;ラテン語via（道, 〜経由で）に由来する。
&lt;span class="spacer"&gt;&lt;/span&gt;ラテン語から意味の変化はほとんどなく「〜経由で」という意味になる。&lt;/span&gt;</v>
      </c>
      <c r="S288" s="14" t="str">
        <f>INDEX($L:$L, MATCH("convey", $B:$B, 0))</f>
        <v>&lt;span class="w"&gt;&lt;b&gt;【621.convey：〜を伝える, 〜を運ぶ】&lt;/b&gt;&lt;/span&gt;
&lt;span class="ml"&gt;ラテン語に由来する語で、以下の2つの要素から成る。
&lt;span class="spacer"&gt;&lt;/span&gt;com（共に）
via（道）
&lt;span class="spacer"&gt;&lt;/span&gt;このまま日本語にすると「道を共に」となる。もともとは、誰かに付き添って同行することを表したが、そこから人や物を伴って移動する、つまり「運ぶ」という意味になった。さらに抽象化して、具体的な物ではなく、情報や感情を「伝える」という意味になった。&lt;/span&gt;</v>
      </c>
      <c r="T288" s="13" t="str">
        <f>INDEX($L:$L, MATCH("trivial", $B:$B, 0))</f>
        <v>&lt;span class="w"&gt;&lt;b&gt;【1297.trivial：ささいな, 取るに足りない】&lt;/b&gt;&lt;/span&gt;
&lt;span class="ml"&gt;ラテン語に由来する語で、以下の2つの要素から成る。
&lt;span class="spacer"&gt;&lt;/span&gt;tri（3）
via（道）
alis（形容詞化）
&lt;span class="spacer"&gt;&lt;/span&gt;もともとは、3つの道が交わる場所（三叉路）を表した。古代ローマにおいて、三叉路は人々が行き交う非常に公共性の高い場所で、自然と立ち話や情報交換の場になった。そこで話される内容は、たいして重要ではない日常の噂話やありふれた世間話ばかりだったことから「ささいな, 取るに足りない」という意味になった。&lt;/span&gt;</v>
      </c>
      <c r="AU288" s="15"/>
      <c r="AV288" s="1" t="s">
        <v>1502</v>
      </c>
      <c r="BG288" s="7" t="s">
        <v>1503</v>
      </c>
      <c r="BH288" s="1" t="s">
        <v>2780</v>
      </c>
      <c r="BI288" s="2" t="s">
        <v>2876</v>
      </c>
      <c r="BJ288" s="1" t="s">
        <v>1865</v>
      </c>
      <c r="BK288" s="2" t="s">
        <v>2877</v>
      </c>
    </row>
    <row r="289" spans="1:67" ht="162" x14ac:dyDescent="0.45">
      <c r="A289" s="5">
        <v>288</v>
      </c>
      <c r="B289" s="8" t="s">
        <v>1588</v>
      </c>
      <c r="C289" s="6" t="s">
        <v>6851</v>
      </c>
      <c r="D289" s="7" t="s">
        <v>9752</v>
      </c>
      <c r="E289" s="1" t="s">
        <v>7536</v>
      </c>
      <c r="F289" s="1" t="s">
        <v>49</v>
      </c>
      <c r="G289" s="1"/>
      <c r="J289" s="1" t="s">
        <v>9753</v>
      </c>
      <c r="K289" s="2" t="s">
        <v>7537</v>
      </c>
      <c r="L289" s="9" t="s">
        <v>9421</v>
      </c>
      <c r="P289" s="7" t="s">
        <v>1241</v>
      </c>
      <c r="AU289" s="15"/>
      <c r="AV289" s="1" t="s">
        <v>1502</v>
      </c>
      <c r="BG289" s="7" t="s">
        <v>1503</v>
      </c>
      <c r="BH289" s="1" t="s">
        <v>2780</v>
      </c>
      <c r="BI289" s="2" t="s">
        <v>9422</v>
      </c>
      <c r="BJ289" s="1" t="s">
        <v>2031</v>
      </c>
      <c r="BK289" s="2" t="s">
        <v>2878</v>
      </c>
      <c r="BL289" s="1" t="s">
        <v>2044</v>
      </c>
      <c r="BM289" s="2" t="s">
        <v>7538</v>
      </c>
      <c r="BN289" s="1" t="s">
        <v>1865</v>
      </c>
      <c r="BO289" s="2" t="s">
        <v>7539</v>
      </c>
    </row>
    <row r="290" spans="1:67" ht="126" x14ac:dyDescent="0.45">
      <c r="A290" s="5">
        <v>289</v>
      </c>
      <c r="B290" s="8" t="s">
        <v>1589</v>
      </c>
      <c r="C290" s="6" t="s">
        <v>6851</v>
      </c>
      <c r="D290" s="7" t="s">
        <v>9752</v>
      </c>
      <c r="E290" s="6" t="s">
        <v>1918</v>
      </c>
      <c r="F290" s="1" t="s">
        <v>1541</v>
      </c>
      <c r="G290" s="1"/>
      <c r="J290" s="1" t="s">
        <v>9753</v>
      </c>
      <c r="K290" s="2" t="s">
        <v>7540</v>
      </c>
      <c r="L290" s="4" t="s">
        <v>8197</v>
      </c>
      <c r="M290" s="1" t="s">
        <v>12189</v>
      </c>
      <c r="P290" s="7" t="s">
        <v>1241</v>
      </c>
      <c r="Q290" s="14" t="str">
        <f>INDEX($L:$L, MATCH("extraordinary", $B:$B, 0))</f>
        <v>&lt;span class="w"&gt;&lt;b&gt;【588.extraordinary：並外れた, 驚くべき】&lt;/b&gt;&lt;/span&gt;
&lt;span class="ml"&gt;ラテン語に由来する語で、以下の2つの要素から成る。
&lt;span class="spacer"&gt;&lt;/span&gt;extra（外に, 外側へ）
ordo（列, 順序, 秩序）
&lt;span class="spacer"&gt;&lt;/span&gt;このまま日本語にすると「秩序の外」となる。つまり通常の秩序から外れていることから、「並外れた, 驚くべき」という意味になる。&lt;/span&gt;</v>
      </c>
      <c r="R290" s="13" t="str">
        <f>INDEX($L:$L, MATCH("disorder", $B:$B, 0))</f>
        <v>&lt;span class="w"&gt;&lt;b&gt;【558.disorder：障害, 心身の不調, 混乱】&lt;/b&gt;&lt;/span&gt;
&lt;span class="ml"&gt;ラテン語に由来する語で、以下の2つの要素から成る。
&lt;span class="spacer"&gt;&lt;/span&gt;dis（否定）
ordo（列, 順序, 配置）
&lt;span class="spacer"&gt;&lt;/span&gt;この語の核は「秩序だった状態の否定」。つまり秩序が乱れて混乱した状態やバランスが崩れた状態を表す。ここから「障害, 心身の不調, 混乱」といった意味になる。&lt;/span&gt;</v>
      </c>
      <c r="S290" s="13" t="str">
        <f>INDEX($L:$L, MATCH("coordinate", $B:$B, 0))</f>
        <v>&lt;span class="w"&gt;&lt;b&gt;【1440.coordinate：〜を調整する, 〜を指揮する, 〜をコーディネートする】&lt;/b&gt;&lt;/span&gt;
&lt;span class="ml"&gt;ラテン語に由来する語で、以下の2つの要素から成る。
&lt;span class="spacer"&gt;&lt;/span&gt;com（共に）
ordo（列, 階級, 配置）から派生したordinatio（配置, 秩序だて）
&lt;span class="spacer"&gt;&lt;/span&gt;coordinateのord部分は、英語oreder（秩序, 順序, オーダー）と同じと考えてよい。この語の核は「複数のものを一緒に順序だてて並べて、うまくまとめる」。
&lt;span class="spacer"&gt;&lt;/span&gt;そこから、予定や計画などを「調整する」や、プロジェクトや作戦などを「指揮する」、服や家具などを「コーディネートする」という意味になる。&lt;/span&gt;</v>
      </c>
      <c r="AU290" s="15"/>
      <c r="AV290" s="1" t="s">
        <v>1502</v>
      </c>
      <c r="BG290" s="7" t="s">
        <v>1503</v>
      </c>
      <c r="BH290" s="1" t="s">
        <v>2780</v>
      </c>
      <c r="BI290" s="2" t="s">
        <v>7541</v>
      </c>
      <c r="BJ290" s="1" t="s">
        <v>2031</v>
      </c>
      <c r="BK290" s="2" t="s">
        <v>2879</v>
      </c>
      <c r="BL290" s="1" t="s">
        <v>2044</v>
      </c>
      <c r="BM290" s="2" t="s">
        <v>2880</v>
      </c>
      <c r="BN290" s="1" t="s">
        <v>1865</v>
      </c>
      <c r="BO290" s="2" t="s">
        <v>2881</v>
      </c>
    </row>
    <row r="291" spans="1:67" ht="144" x14ac:dyDescent="0.45">
      <c r="A291" s="5">
        <v>290</v>
      </c>
      <c r="B291" s="8" t="s">
        <v>1590</v>
      </c>
      <c r="C291" s="6" t="s">
        <v>6851</v>
      </c>
      <c r="D291" s="7" t="s">
        <v>9752</v>
      </c>
      <c r="E291" s="6" t="s">
        <v>8920</v>
      </c>
      <c r="F291" s="1" t="s">
        <v>49</v>
      </c>
      <c r="G291" s="1"/>
      <c r="J291" s="1" t="s">
        <v>9753</v>
      </c>
      <c r="K291" s="2" t="s">
        <v>7542</v>
      </c>
      <c r="L291" s="4" t="s">
        <v>8198</v>
      </c>
      <c r="M291" s="1" t="s">
        <v>12190</v>
      </c>
      <c r="P291" s="7" t="s">
        <v>1241</v>
      </c>
      <c r="Q291" s="14" t="str">
        <f>INDEX($L:$L, MATCH("inequality", $B:$B, 0))</f>
        <v>&lt;span class="w"&gt;&lt;b&gt;【767.inequality：不平等】&lt;/b&gt;&lt;/span&gt;
&lt;span class="ml"&gt;ラテン語に由来する語で、以下の4つの要素から成る。
&lt;span class="spacer"&gt;&lt;/span&gt;in（否定）
aequus（平らな, 均一な）
alis（形容詞化）
itas（名詞化）
&lt;span class="spacer"&gt;&lt;/span&gt;このまま日本語にすると「平らではないこと, 均一ではないこと」となる。そこから「不平等」という意味になる｡&lt;/span&gt;</v>
      </c>
      <c r="R291" s="13" t="str">
        <f>INDEX($L:$L, MATCH("adequate", $B:$B, 0))</f>
        <v>&lt;span class="w"&gt;&lt;b&gt;【799.adequate：十分な, 適切な】&lt;/b&gt;&lt;/span&gt;
&lt;span class="ml"&gt;ラテン語に由来する語で、以下の2つの要素から成る。
&lt;span class="spacer"&gt;&lt;/span&gt;ad（〜へ）
aequare（等しくする）
&lt;span class="spacer"&gt;&lt;/span&gt;このまま日本語にすると「〜へ等しくする」となる。これは、必要とされるものや望まれるものに等しくすることから、必要最低限に対して「十分な」という意味になる。
&lt;span class="spacer"&gt;&lt;/span&gt;adequateは、十分ではあるがクオリティが平凡であるというネガティブなニュアンスを含むことがある。
&lt;span class="spacer"&gt;&lt;/span&gt;［sufficientとadequate］
&lt;span class="spacer"&gt;&lt;/span&gt;sufficient：足りているかどうかという点で「十分な」。否定のinsufficientは「不足している」という意味になる。
&lt;span class="spacer"&gt;&lt;/span&gt;adequate：最低限の基準に対して適しているという意味で「十分な」。否定のinadequateは「不適切な」という意味になる。
またadequateは、質はまぁまぁという少しネガティブな印象を含むことがある。&lt;/span&gt;</v>
      </c>
      <c r="AU291" s="15"/>
      <c r="AV291" s="1" t="s">
        <v>1502</v>
      </c>
      <c r="BG291" s="7" t="s">
        <v>1503</v>
      </c>
      <c r="BH291" s="1" t="s">
        <v>2780</v>
      </c>
      <c r="BI291" s="2" t="s">
        <v>2882</v>
      </c>
      <c r="BJ291" s="1" t="s">
        <v>2044</v>
      </c>
      <c r="BK291" s="2" t="s">
        <v>2883</v>
      </c>
    </row>
    <row r="292" spans="1:67" ht="198" x14ac:dyDescent="0.45">
      <c r="A292" s="5">
        <v>291</v>
      </c>
      <c r="B292" s="8" t="s">
        <v>208</v>
      </c>
      <c r="C292" s="6" t="s">
        <v>6851</v>
      </c>
      <c r="D292" s="7" t="s">
        <v>9752</v>
      </c>
      <c r="E292" s="1" t="s">
        <v>1338</v>
      </c>
      <c r="F292" s="1" t="s">
        <v>7543</v>
      </c>
      <c r="G292" s="1" t="s">
        <v>1858</v>
      </c>
      <c r="J292" s="1" t="s">
        <v>9753</v>
      </c>
      <c r="K292" s="2" t="s">
        <v>7535</v>
      </c>
      <c r="L292" s="3" t="s">
        <v>8199</v>
      </c>
      <c r="M292" s="1" t="s">
        <v>12188</v>
      </c>
      <c r="P292" s="7" t="s">
        <v>1241</v>
      </c>
      <c r="Q292" s="14" t="str">
        <f>INDEX($L:$L, MATCH("obvious", $B:$B, 0))</f>
        <v>&lt;span class="w"&gt;&lt;b&gt;【287.obvious：明らかな】&lt;/b&gt;&lt;/span&gt;
&lt;span class="ml"&gt;ラテン語に由来する語で、以下の3つの要素から成る。
&lt;span class="spacer"&gt;&lt;/span&gt;ob（前に, ～に対して）
via（道）
us（形容詞化）
&lt;span class="spacer"&gt;&lt;/span&gt;このまま日本語にすると「道に, 行く手に」となる。道の上に何かが置かれているイメージから、一目見てわかる＝「明らかな, はっきり見える」という意味になる。
&lt;div class="sample_image obvious"&gt;&lt;/div&gt;&lt;/span&gt;</v>
      </c>
      <c r="R292" s="14" t="str">
        <f>INDEX($L:$L, MATCH("via", $B:$B, 0))</f>
        <v>&lt;span class="w"&gt;&lt;b&gt;【800.via：〜経由で】&lt;/b&gt;&lt;/span&gt;
&lt;span class="ml"&gt;ラテン語via（道, 〜経由で）に由来する。
&lt;span class="spacer"&gt;&lt;/span&gt;ラテン語から意味の変化はほとんどなく「〜経由で」という意味になる。&lt;/span&gt;</v>
      </c>
      <c r="S292" s="14" t="str">
        <f>INDEX($L:$L, MATCH("convey", $B:$B, 0))</f>
        <v>&lt;span class="w"&gt;&lt;b&gt;【621.convey：〜を伝える, 〜を運ぶ】&lt;/b&gt;&lt;/span&gt;
&lt;span class="ml"&gt;ラテン語に由来する語で、以下の2つの要素から成る。
&lt;span class="spacer"&gt;&lt;/span&gt;com（共に）
via（道）
&lt;span class="spacer"&gt;&lt;/span&gt;このまま日本語にすると「道を共に」となる。もともとは、誰かに付き添って同行することを表したが、そこから人や物を伴って移動する、つまり「運ぶ」という意味になった。さらに抽象化して、具体的な物ではなく、情報や感情を「伝える」という意味になった。&lt;/span&gt;</v>
      </c>
      <c r="T292" s="13" t="str">
        <f>INDEX($L:$L, MATCH("trivial", $B:$B, 0))</f>
        <v>&lt;span class="w"&gt;&lt;b&gt;【1297.trivial：ささいな, 取るに足りない】&lt;/b&gt;&lt;/span&gt;
&lt;span class="ml"&gt;ラテン語に由来する語で、以下の2つの要素から成る。
&lt;span class="spacer"&gt;&lt;/span&gt;tri（3）
via（道）
alis（形容詞化）
&lt;span class="spacer"&gt;&lt;/span&gt;もともとは、3つの道が交わる場所（三叉路）を表した。古代ローマにおいて、三叉路は人々が行き交う非常に公共性の高い場所で、自然と立ち話や情報交換の場になった。そこで話される内容は、たいして重要ではない日常の噂話やありふれた世間話ばかりだったことから「ささいな, 取るに足りない」という意味になった。&lt;/span&gt;</v>
      </c>
      <c r="AU292" s="15"/>
      <c r="AV292" s="1" t="s">
        <v>1502</v>
      </c>
      <c r="BG292" s="7" t="s">
        <v>1503</v>
      </c>
      <c r="BH292" s="1" t="s">
        <v>2780</v>
      </c>
      <c r="BI292" s="2" t="s">
        <v>2884</v>
      </c>
      <c r="BJ292" s="1" t="s">
        <v>1865</v>
      </c>
      <c r="BK292" s="2" t="s">
        <v>2885</v>
      </c>
    </row>
    <row r="293" spans="1:67" ht="90" x14ac:dyDescent="0.45">
      <c r="A293" s="5">
        <v>292</v>
      </c>
      <c r="B293" s="8" t="s">
        <v>1591</v>
      </c>
      <c r="C293" s="6" t="s">
        <v>6851</v>
      </c>
      <c r="D293" s="7" t="s">
        <v>9752</v>
      </c>
      <c r="E293" s="6" t="s">
        <v>1449</v>
      </c>
      <c r="F293" s="1"/>
      <c r="G293" s="1"/>
      <c r="J293" s="1" t="s">
        <v>9753</v>
      </c>
      <c r="K293" s="2" t="s">
        <v>7544</v>
      </c>
      <c r="L293" s="9" t="s">
        <v>8200</v>
      </c>
      <c r="P293" s="7" t="s">
        <v>1241</v>
      </c>
      <c r="Q293" s="13" t="str">
        <f>INDEX($L:$L, MATCH("fault", $B:$B, 0))</f>
        <v>&lt;span class="w"&gt;&lt;b&gt;【671.fault：責任, 欠陥, 誤り】&lt;/b&gt;&lt;/span&gt;
&lt;span class="ml"&gt;ラテン語fallere（欺く, 失望させる：failの語源）に由来する。
&lt;span class="spacer"&gt;&lt;/span&gt;相手を欺く、相手を失望させるということから生まれた語。失望という言葉が表すように、この語の核は「望ましい状態から外れていること」。そこから「欠陥, 誤り」そしてその「責任」という意味になった。
&lt;span class="spacer"&gt;&lt;/span&gt;It's my fault.
（私の責任だ）&lt;/span&gt;</v>
      </c>
      <c r="AU293" s="15"/>
      <c r="AV293" s="1" t="s">
        <v>1502</v>
      </c>
      <c r="BG293" s="7" t="s">
        <v>1503</v>
      </c>
      <c r="BH293" s="1" t="s">
        <v>2780</v>
      </c>
      <c r="BI293" s="2" t="s">
        <v>7545</v>
      </c>
      <c r="BJ293" s="1" t="s">
        <v>2031</v>
      </c>
      <c r="BK293" s="2" t="s">
        <v>2886</v>
      </c>
      <c r="BL293" s="1" t="s">
        <v>2887</v>
      </c>
      <c r="BM293" s="1" t="s">
        <v>2888</v>
      </c>
      <c r="BN293" s="1" t="s">
        <v>2044</v>
      </c>
      <c r="BO293" s="2" t="s">
        <v>2889</v>
      </c>
    </row>
    <row r="294" spans="1:67" ht="126" x14ac:dyDescent="0.45">
      <c r="A294" s="5">
        <v>293</v>
      </c>
      <c r="B294" s="8" t="s">
        <v>209</v>
      </c>
      <c r="C294" s="6" t="s">
        <v>6851</v>
      </c>
      <c r="D294" s="7" t="s">
        <v>9752</v>
      </c>
      <c r="E294" s="1" t="s">
        <v>209</v>
      </c>
      <c r="F294" s="1"/>
      <c r="G294" s="1"/>
      <c r="J294" s="1" t="s">
        <v>9753</v>
      </c>
      <c r="K294" s="2" t="s">
        <v>7546</v>
      </c>
      <c r="L294" s="9" t="s">
        <v>8201</v>
      </c>
      <c r="P294" s="7" t="s">
        <v>1241</v>
      </c>
      <c r="AU294" s="15"/>
      <c r="AV294" s="1" t="s">
        <v>1502</v>
      </c>
      <c r="BG294" s="7" t="s">
        <v>1503</v>
      </c>
      <c r="BH294" s="1" t="s">
        <v>2780</v>
      </c>
      <c r="BI294" s="2" t="s">
        <v>2890</v>
      </c>
      <c r="BJ294" s="1" t="s">
        <v>2031</v>
      </c>
      <c r="BK294" s="2" t="s">
        <v>2891</v>
      </c>
      <c r="BL294" s="1" t="s">
        <v>2044</v>
      </c>
      <c r="BM294" s="2" t="s">
        <v>2892</v>
      </c>
    </row>
    <row r="295" spans="1:67" ht="198" x14ac:dyDescent="0.45">
      <c r="A295" s="5">
        <v>294</v>
      </c>
      <c r="B295" s="8" t="s">
        <v>1253</v>
      </c>
      <c r="C295" s="6" t="s">
        <v>6851</v>
      </c>
      <c r="D295" s="7" t="s">
        <v>9752</v>
      </c>
      <c r="E295" s="1" t="s">
        <v>8921</v>
      </c>
      <c r="F295" s="1" t="s">
        <v>49</v>
      </c>
      <c r="G295" s="1"/>
      <c r="J295" s="1" t="s">
        <v>9753</v>
      </c>
      <c r="K295" s="2" t="s">
        <v>7547</v>
      </c>
      <c r="L295" s="9" t="s">
        <v>8202</v>
      </c>
      <c r="P295" s="7" t="s">
        <v>1241</v>
      </c>
      <c r="Q295" s="14" t="str">
        <f>INDEX($L:$L, MATCH("privilege", $B:$B, 0))</f>
        <v>&lt;span class="w"&gt;&lt;b&gt;【941.privilege：特権】&lt;/b&gt;&lt;/span&gt;
&lt;span class="ml"&gt;ラテン語に由来する語で、以下の2つの要素から成る。
&lt;span class="spacer"&gt;&lt;/span&gt;privus（個人の：privateの語源）
lex（法律）
&lt;span class="spacer"&gt;&lt;/span&gt;この語の核は「特定の個人に適用される法律」。みんなに適用される法・ルールではなく、特定の個人に有利なルールを表して「特権」という意味になった。&lt;/span&gt;</v>
      </c>
      <c r="R295" s="14" t="str">
        <f>INDEX($L:$L, MATCH("loyal", $B:$B, 0))</f>
        <v>&lt;span class="w"&gt;&lt;b&gt;【1500.loyal：忠実な】&lt;/b&gt;&lt;/span&gt;
&lt;span class="ml"&gt;ラテン語に由来する語で、以下の2つの要素から成る。
&lt;span class="spacer"&gt;&lt;/span&gt;lex（法）
alis（形容詞化）
&lt;span class="spacer"&gt;&lt;/span&gt;もともとは、法に従う・法を守ることを表す語だったが、そこから、君主や政府などに対して誓いや義務を守り、忠誠を尽くすことを表すようになった。そしてさらに一般的に、相手を裏切らず支え続ける「忠実な」という意味になった。&lt;/span&gt;</v>
      </c>
      <c r="S295" s="15"/>
      <c r="AU295" s="15"/>
      <c r="AV295" s="1" t="s">
        <v>1502</v>
      </c>
      <c r="BG295" s="7" t="s">
        <v>1503</v>
      </c>
      <c r="BH295" s="1" t="s">
        <v>2780</v>
      </c>
      <c r="BI295" s="2" t="s">
        <v>2893</v>
      </c>
      <c r="BJ295" s="1" t="s">
        <v>2031</v>
      </c>
      <c r="BK295" s="2" t="s">
        <v>2894</v>
      </c>
      <c r="BL295" s="1" t="s">
        <v>2044</v>
      </c>
      <c r="BM295" s="2" t="s">
        <v>2895</v>
      </c>
      <c r="BN295" s="1" t="s">
        <v>1865</v>
      </c>
      <c r="BO295" s="2" t="s">
        <v>2896</v>
      </c>
    </row>
    <row r="296" spans="1:67" ht="409.6" x14ac:dyDescent="0.45">
      <c r="A296" s="5">
        <v>295</v>
      </c>
      <c r="B296" s="8" t="s">
        <v>1450</v>
      </c>
      <c r="C296" s="6" t="s">
        <v>6851</v>
      </c>
      <c r="D296" s="7" t="s">
        <v>9752</v>
      </c>
      <c r="E296" s="1" t="s">
        <v>27</v>
      </c>
      <c r="F296" s="1" t="s">
        <v>8922</v>
      </c>
      <c r="G296" s="1"/>
      <c r="J296" s="1" t="s">
        <v>9753</v>
      </c>
      <c r="K296" s="2" t="s">
        <v>7548</v>
      </c>
      <c r="L296" s="4" t="s">
        <v>8203</v>
      </c>
      <c r="M296" s="1" t="s">
        <v>12127</v>
      </c>
      <c r="P296" s="7" t="s">
        <v>1241</v>
      </c>
      <c r="Q296" s="14" t="str">
        <f>INDEX($L:$L, MATCH("depend", $B:$B, 0))</f>
        <v>&lt;span class="w"&gt;&lt;b&gt;【36.depend：頼る, ～次第である】&lt;/b&gt;&lt;/span&gt;
&lt;span class="ml"&gt;ラテン語に由来する語で、以下の2つの要素から成る。
&lt;span class="spacer"&gt;&lt;/span&gt;de（下に）
pendere（ぶら下がる）
&lt;span class="spacer"&gt;&lt;/span&gt;このまま日本語にすると「下にぶら下がる」となる。ある対象をつかんでぶら下がる
というイメージから、対象に「頼る」という意味になる。
&lt;span class="spacer"&gt;&lt;/span&gt;対象頼みということは、ぶら下がっている対象によってその後どうなるかが決まる。そのため「～次第である」という意味になる。
&lt;div class="sample_image depend"&gt;&lt;/div&gt;&lt;/span&gt;</v>
      </c>
      <c r="R296" s="14" t="str">
        <f>INDEX($L:$L, MATCH("suspend", $B:$B, 0))</f>
        <v>&lt;span class="w"&gt;&lt;b&gt;【1228.suspend：〜を一時的に停止する】&lt;/b&gt;&lt;/span&gt;
&lt;span class="ml"&gt;ラテン語に由来する語で、以下の2つの要素から成る。
&lt;span class="spacer"&gt;&lt;/span&gt;sub（下から）
pendere（吊るす）
&lt;span class="spacer"&gt;&lt;/span&gt;このまま日本語にすると「下から吊るす」となる。下から何かを吊ってぶら下げることから「一時的に停止する」という意味になる。
&lt;div class="sample_image suspend"&gt;&lt;/div&gt;&lt;/span&gt;</v>
      </c>
      <c r="S296" s="14" t="str">
        <f>INDEX($L:$L, MATCH("expense", $B:$B, 0))</f>
        <v>&lt;span class="w"&gt;&lt;b&gt;【545.expense：経費, 費用, 犠牲】&lt;/b&gt;&lt;/span&gt;
&lt;span class="ml"&gt;ラテン語に由来する語で、以下の2つの要素から成る。
&lt;span class="spacer"&gt;&lt;/span&gt;ex（外に）
pendere（吊るす）
&lt;span class="spacer"&gt;&lt;/span&gt;このまま日本語にすると「外に吊るすもの」となる。当時はお金を天秤に吊るし、重さを量ることで支払いが行われたことから、外に吊るすものは支払われるものを表す。ここから「費用, 経費」という意味になった。
&lt;span class="spacer"&gt;&lt;/span&gt;また、お金を支払うことから意味が広がり、時間や労力、健康などの目に見えない価値あるものを支払うことから「犠牲」という意味にもなった。
&lt;span class="spacer"&gt;&lt;/span&gt;expenseから生まれた形容詞がexpensive（高価な）なので、関連させて覚えるとよい。&lt;/span&gt;</v>
      </c>
      <c r="T296" s="14" t="str">
        <f>INDEX($L:$L, MATCH("pension", $B:$B, 0))</f>
        <v>&lt;span class="w"&gt;&lt;b&gt;【1246.pension：年金】&lt;/b&gt;&lt;/span&gt;
&lt;span class="ml"&gt;ラテン語に由来する語で、以下の2つの要素から成る。
&lt;span class="spacer"&gt;&lt;/span&gt;pendere（吊るす, 量る, 支払う）
io（名詞化）
&lt;span class="spacer"&gt;&lt;/span&gt;このまま日本語にすると「吊るすこと」となる。古代ローマでは、現代のようにお金に書かれた金額を信じるのではなく、金貨や銀貨などを天秤に吊るし、その重さで価値を決めて支払っていた。そこから吊るすという行為が、支払うという行為につながった。
&lt;span class="spacer"&gt;&lt;/span&gt;当初は報酬や手当といった定期的な支払いを表したが、時代が下り、過去の勤務や奉仕に対する定期的な支払い、すなわち「年金」という意味になった。
&lt;div class="sample_image pension"&gt;&lt;/div&gt;&lt;/span&gt;</v>
      </c>
      <c r="U296" s="14" t="str">
        <f>INDEX($L:$L, MATCH("compensate", $B:$B, 0))</f>
        <v>&lt;span class="w"&gt;&lt;b&gt;【1338.compensate：補償する, 埋め合わせる】&lt;/b&gt;&lt;/span&gt;
&lt;span class="ml"&gt;ラテン語に由来する語で、以下の2つの要素から成る。
&lt;span class="spacer"&gt;&lt;/span&gt;com（共に）
pendere（吊るす, 重さを量る, 支払う）
&lt;span class="spacer"&gt;&lt;/span&gt;このまま日本語にすると「共に吊るす」となる。これは、天秤の両側に物を載せて釣り合わせ、重さを量るイメージ。そこから、誰かが被った損失や被害（マイナス）を天秤の片方に載せ、もう片方に、それと釣り合うだけの金銭や代替物（プラス）を載せてバランスをとる、すなわち何かに対して「補償する, 埋め合わせる」という意味になった。
&lt;div class="sample_image compensate"&gt;&lt;/div&gt;&lt;/span&gt;</v>
      </c>
      <c r="V296" s="14" t="str">
        <f>INDEX($L:$L, MATCH("indispensable", $B:$B, 0))</f>
        <v>&lt;span class="w"&gt;&lt;b&gt;【1383.indispensable：不可欠な】&lt;/b&gt;&lt;/span&gt;
&lt;span class="ml"&gt;ラテン語に由来する語で、以下の3つの要素から成る。
&lt;span class="spacer"&gt;&lt;/span&gt;in（否定）
dispensare（免除を与える）
bilis（～できる）
&lt;span class="spacer"&gt;&lt;/span&gt;indispensableの意味を理解するには、まず動詞dispense（配る, なしで済ませる）から覚える必要がある。
&lt;span class="spacer"&gt;&lt;/span&gt;&lt;strong&gt;［dispenseの語源］&lt;/strong&gt;
英語dispense（配る, なしで済ませる）の語源であるラテン語dispensare（免除の許可を与える）は、dis（離れて）＋pendere（吊るす）に由来する。
&lt;span class="spacer"&gt;&lt;/span&gt;昔はお金を支払う際、天秤にお金を吊るして重さを量り、必要な分を分けて与えていたため、ラテン語dispensareは、お金を支払うこと・何かを管理して分け与えることを表した。それが英語dispenseには「配る」という意味で残っている。
&lt;span class="spacer"&gt;&lt;/span&gt;また、管理して何かを分け与えるという意味が、当時の教会や法律の文脈において、対象に義務や罰からの免除を与えるという意味で使われるようになった。そのため、英語dispenseは「なしで済ませる」という意味を持っている。
&lt;span class="spacer"&gt;&lt;/span&gt;&lt;strong&gt;［dispensableとindispensableへ］&lt;/strong&gt;
ラテン語dispensare （免除を与える）にbills（〜できる）が付くことで、免除を与えることができる、つまり「何かをなしで済ませることができる」となる（英語dispensable）。
&lt;span class="spacer"&gt;&lt;/span&gt;さらにそこにin（否定）が付くことで、免除できない、すなわち「それなしでは済ませられない」＝「不可欠な」という意味になる（英語indispensable）。&lt;/span&gt;</v>
      </c>
      <c r="W296" s="15"/>
      <c r="AU296" s="15"/>
      <c r="AV296" s="1" t="s">
        <v>1502</v>
      </c>
      <c r="BG296" s="7" t="s">
        <v>1503</v>
      </c>
      <c r="BH296" s="1" t="s">
        <v>1947</v>
      </c>
      <c r="BI296" s="2" t="s">
        <v>7549</v>
      </c>
      <c r="BJ296" s="1" t="s">
        <v>1959</v>
      </c>
      <c r="BK296" s="2" t="s">
        <v>7550</v>
      </c>
      <c r="BL296" s="1" t="s">
        <v>1875</v>
      </c>
      <c r="BM296" s="2" t="s">
        <v>7551</v>
      </c>
      <c r="BN296" s="1" t="s">
        <v>1865</v>
      </c>
      <c r="BO296" s="2" t="s">
        <v>2897</v>
      </c>
    </row>
    <row r="297" spans="1:67" ht="90" x14ac:dyDescent="0.45">
      <c r="A297" s="5">
        <v>296</v>
      </c>
      <c r="B297" s="8" t="s">
        <v>210</v>
      </c>
      <c r="C297" s="6" t="s">
        <v>6851</v>
      </c>
      <c r="D297" s="7" t="s">
        <v>9752</v>
      </c>
      <c r="E297" s="6" t="s">
        <v>210</v>
      </c>
      <c r="F297" s="1"/>
      <c r="G297" s="1"/>
      <c r="J297" s="1" t="s">
        <v>9753</v>
      </c>
      <c r="K297" s="2" t="s">
        <v>7552</v>
      </c>
      <c r="L297" s="9" t="s">
        <v>8204</v>
      </c>
      <c r="M297" s="1" t="s">
        <v>12187</v>
      </c>
      <c r="P297" s="7" t="s">
        <v>1241</v>
      </c>
      <c r="Q297" s="14" t="str">
        <f>INDEX($L:$L, MATCH("extra", $B:$B, 0))</f>
        <v>&lt;span class="w"&gt;&lt;b&gt;【284.extra：追加の, 余分の】&lt;/b&gt;&lt;/span&gt;
&lt;span class="ml"&gt;ラテン語ex（外の）から派生したexterus（外側の）に由来する。
&lt;span class="spacer"&gt;&lt;/span&gt;「外側の」から、ある範囲を超えている＝「追加の, 余分の」という意味になる。&lt;/span&gt;</v>
      </c>
      <c r="R297" s="13" t="str">
        <f>INDEX($L:$L, MATCH("external", $B:$B, 0))</f>
        <v>&lt;span class="w"&gt;&lt;b&gt;【989.external：外部の, 外側にある】&lt;/b&gt;&lt;/span&gt;
&lt;span class="ml"&gt;ラテン語ex（外へ）から派生したexternus（外部の, 外側に属する）に由来する。&lt;span class="obsolete"&gt;al（形容詞化）は英語段階で付いた。&lt;/span&gt;
&lt;span class="spacer"&gt;&lt;/span&gt;内と外という構造的な位置関係において、内側ではなく「外部の, 外側にある」という意味になる。&lt;/span&gt;</v>
      </c>
      <c r="S297" s="13" t="str">
        <f>INDEX($L:$L, MATCH("exotic", $B:$B, 0))</f>
        <v>&lt;span class="w"&gt;&lt;b&gt;【1180.exotic：外来の, 異国風の】&lt;/b&gt;&lt;/span&gt;
&lt;span class="ml"&gt;ギリシャ語に由来する語で、以下の2つの要素から成る。
&lt;span class="spacer"&gt;&lt;/span&gt;exo（外に）
ikos（形容詞化）
&lt;span class="spacer"&gt;&lt;/span&gt;この語の核は「外の世界から来た」。そこから「外来の」や「異国風の」という意味になる。&lt;/span&gt;</v>
      </c>
      <c r="AU297" s="15"/>
      <c r="AV297" s="1" t="s">
        <v>1502</v>
      </c>
      <c r="BG297" s="7" t="s">
        <v>1503</v>
      </c>
      <c r="BH297" s="1" t="s">
        <v>2780</v>
      </c>
      <c r="BI297" s="2" t="s">
        <v>2898</v>
      </c>
      <c r="BJ297" s="1" t="s">
        <v>2031</v>
      </c>
      <c r="BK297" s="2" t="s">
        <v>2899</v>
      </c>
      <c r="BL297" s="1" t="s">
        <v>2044</v>
      </c>
      <c r="BM297" s="2" t="s">
        <v>2900</v>
      </c>
    </row>
    <row r="298" spans="1:67" ht="378" x14ac:dyDescent="0.45">
      <c r="A298" s="5">
        <v>297</v>
      </c>
      <c r="B298" s="8" t="s">
        <v>1451</v>
      </c>
      <c r="C298" s="6" t="s">
        <v>6851</v>
      </c>
      <c r="D298" s="7" t="s">
        <v>9752</v>
      </c>
      <c r="E298" s="1" t="s">
        <v>8923</v>
      </c>
      <c r="F298" s="1" t="s">
        <v>49</v>
      </c>
      <c r="G298" s="1"/>
      <c r="J298" s="1" t="s">
        <v>9753</v>
      </c>
      <c r="K298" s="2" t="s">
        <v>7553</v>
      </c>
      <c r="L298" s="4" t="s">
        <v>8205</v>
      </c>
      <c r="M298" s="1" t="s">
        <v>12174</v>
      </c>
      <c r="P298" s="7" t="s">
        <v>1241</v>
      </c>
      <c r="Q298" s="14" t="str">
        <f>INDEX($L:$L, MATCH("active", $B:$B, 0))</f>
        <v>&lt;span class="w"&gt;&lt;b&gt;【193.active：積極的な, 活動的な】&lt;/b&gt;&lt;/span&gt;
&lt;span class="ml"&gt;ラテン語に由来する語で、以下の2つの要素から成る。
&lt;span class="spacer"&gt;&lt;/span&gt;agere（行う）の過去分詞actus（行為）
ivus（形容詞化）
&lt;span class="spacer"&gt;&lt;/span&gt;この形容詞は何かの行為をしている状態を表し、そこから「活動的な」という意味になる。また自分で進んで活動することから「積極的な」という意味にもなる。&lt;/span&gt;</v>
      </c>
      <c r="R298" s="14" t="str">
        <f>INDEX($L:$L, MATCH("transaction", $B:$B, 0))</f>
        <v>&lt;span class="w"&gt;&lt;b&gt;【1447.transaction：（商）取引, 決済, 処理】&lt;/b&gt;&lt;/span&gt;
&lt;span class="ml"&gt;ラテン語に由来する語で、以下の3つの要素から成る。
&lt;span class="spacer"&gt;&lt;/span&gt;trans（越えて, 通して）
agere（動かす, 行う）
io（名詞化）
&lt;span class="spacer"&gt;&lt;/span&gt;このまま日本語にすると「（物事を最後まで）通して行うこと」となる。もともとは、何かを最後までやり遂げることを表した。そこから、業務や契約などの正式な「処理」、さらに商業における「取引」や「決済」も意味するようになった。
&lt;div class="sample_image transaction"&gt;&lt;/div&gt;&lt;/span&gt;</v>
      </c>
      <c r="S298" s="14" t="str">
        <f>INDEX($L:$L, MATCH("interact", $B:$B, 0))</f>
        <v>&lt;span class="w"&gt;&lt;b&gt;【537.interact：影響し合う, 相互に作用する】&lt;/b&gt;&lt;/span&gt;
&lt;span class="ml"&gt;近代英語にさかのぼり、以下の2つの要素から成る。
&lt;span class="spacer"&gt;&lt;/span&gt;inter（〜の間に）
act（行う, 作用する）
&lt;span class="spacer"&gt;&lt;/span&gt;このまま日本語にすると「何かと何かの間で作用する」となる。ここから「お互いが影響し合う」や「相互に作用する」という意味になる。&lt;/span&gt;</v>
      </c>
      <c r="T298" s="14" t="str">
        <f>INDEX($L:$L, MATCH("exact", $B:$B, 0))</f>
        <v>&lt;span class="w"&gt;&lt;b&gt;【598.exact：正確な, まさにその】&lt;/b&gt;&lt;/span&gt;
&lt;span class="ml"&gt;ラテン語に由来する語で、以下の2つの要素から成る。
&lt;span class="spacer"&gt;&lt;/span&gt;ex（外へ）
agere（動かす, 駆り立てる）
&lt;span class="spacer"&gt;&lt;/span&gt;このまま日本語にすると「外へ駆り立てる」となる。これは、物事を最後まで徹底的にやり切らせることを表した。そこから、抜けや不足がなく徹底的に行われて完了したことを表すようになり、「正確な, まさにその」という意味へとつながった。&lt;/span&gt;</v>
      </c>
      <c r="U298" s="14" t="str">
        <f>INDEX($L:$L, MATCH("react", $B:$B, 0))</f>
        <v>&lt;span class="w"&gt;&lt;b&gt;【605.react：反応する】&lt;/b&gt;&lt;/span&gt;
&lt;span class="ml"&gt;近代英語にさかのぼり、以下の2つの要素から成る。
&lt;span class="spacer"&gt;&lt;/span&gt;re（後ろへ, 返して）
act（行う）
&lt;span class="spacer"&gt;&lt;/span&gt;このまま日本語にすると「何かに返して行う」となる。出来事や行為に対して何かを行うことから「反応する」という意味になる。&lt;/span&gt;</v>
      </c>
      <c r="V298" s="14" t="str">
        <f>INDEX($L:$L, MATCH("agent", $B:$B, 0))</f>
        <v>&lt;span class="w"&gt;&lt;b&gt;【752.agent：仲介者, 代理人】&lt;/b&gt;&lt;/span&gt;
&lt;span class="ml"&gt;ラテン語に由来する語で、以下の2つの要素から成る。
&lt;span class="spacer"&gt;&lt;/span&gt;agere（行う）
ens（現在分詞を作る：〜しているもの）
&lt;span class="spacer"&gt;&lt;/span&gt;このまま日本語にすると「何かを行なっているもの」となる。もともとは行為者を表していたが、そこから誰かに代わって行動する者、すなわち「代理人, 仲介者」という意味になった。また「特定の作用を引き起こす原因となる物質や力」という意味もある。&lt;/span&gt;</v>
      </c>
      <c r="W298" s="14" t="str">
        <f>INDEX($L:$L, MATCH("agenda", $B:$B, 0))</f>
        <v>&lt;span class="w"&gt;&lt;b&gt;【1347.agenda：協議事項, 会議の議題, 予定, 計画, 隠れた意図】&lt;/b&gt;&lt;/span&gt;
&lt;span class="ml"&gt;ラテン語agere（行う, 駆り立てる）から派生したagendus（行われるべき）に由来する。
&lt;span class="spacer"&gt;&lt;/span&gt;この語の核は「行われるべき事柄」。会議で行われるべきことなら「協議事項, 会議の議題」という意味に、個人や組織の行われるべきことなら「予定・計画」という意味に、表に出ていない行われるべきことなら「隠れた意図」という意味になる。
&lt;span class="spacer"&gt;&lt;/span&gt;イメージとしてはto-do list（やるべきことリスト）やplan（計画）に近い。
&lt;div class="sample_image agenda"&gt;&lt;/div&gt;
&lt;span class="spacer"&gt;&lt;/span&gt;ラテン語agereからは、act（行動する）やagent（代理人, 行為者）なども生まれている。actは行うという行為、agentは行う人、agendaは行うべきことの協議リストを指す。&lt;/span&gt;</v>
      </c>
      <c r="X298" s="14" t="str">
        <f>INDEX($L:$L, MATCH("ambiguous", $B:$B, 0))</f>
        <v>&lt;span class="w"&gt;&lt;b&gt;【1386.ambiguous：あいまいな, 多義的な】&lt;/b&gt;&lt;/span&gt;
&lt;span class="ml"&gt;ラテン語に由来する語で、以下の3つの要素から成る。
&lt;span class="spacer"&gt;&lt;/span&gt;ambi（～の周りに）
agere（駆り立てる, 行う）
us（形容詞化）
&lt;span class="spacer"&gt;&lt;/span&gt;もともとは、あちこち行き来するというような動きや、どちらにも決められず心が揺れ動く状態を表した。このような、どちらの方向にも動けて方向が定まらない、心がふらふらして一つの場所に定まらないという本来のイメージから転じて、言葉や態度がはっきりひとつの意味に定まらず「あいまいな, 多義的な」という意味になった。
&lt;div class="sample_image ambiguous"&gt;&lt;/div&gt;&lt;/span&gt;</v>
      </c>
      <c r="AU298" s="15"/>
      <c r="AV298" s="1" t="s">
        <v>1502</v>
      </c>
      <c r="BG298" s="7" t="s">
        <v>1503</v>
      </c>
      <c r="BH298" s="1" t="s">
        <v>2780</v>
      </c>
      <c r="BI298" s="2" t="s">
        <v>2901</v>
      </c>
      <c r="BJ298" s="1" t="s">
        <v>2031</v>
      </c>
      <c r="BK298" s="2" t="s">
        <v>2902</v>
      </c>
      <c r="BL298" s="1" t="s">
        <v>2044</v>
      </c>
      <c r="BM298" s="2" t="s">
        <v>2903</v>
      </c>
    </row>
    <row r="299" spans="1:67" ht="126" x14ac:dyDescent="0.45">
      <c r="A299" s="5">
        <v>298</v>
      </c>
      <c r="B299" s="8" t="s">
        <v>1592</v>
      </c>
      <c r="C299" s="6" t="s">
        <v>6851</v>
      </c>
      <c r="D299" s="7" t="s">
        <v>9752</v>
      </c>
      <c r="E299" s="6" t="s">
        <v>8924</v>
      </c>
      <c r="F299" s="1" t="s">
        <v>1593</v>
      </c>
      <c r="G299" s="1"/>
      <c r="J299" s="1" t="s">
        <v>9753</v>
      </c>
      <c r="K299" s="2" t="s">
        <v>7554</v>
      </c>
      <c r="L299" s="9" t="s">
        <v>8206</v>
      </c>
      <c r="P299" s="7" t="s">
        <v>1241</v>
      </c>
      <c r="AV299" s="1" t="s">
        <v>1502</v>
      </c>
      <c r="BG299" s="7" t="s">
        <v>1503</v>
      </c>
      <c r="BH299" s="1" t="s">
        <v>2648</v>
      </c>
      <c r="BI299" s="1" t="s">
        <v>2904</v>
      </c>
      <c r="BJ299" s="1" t="s">
        <v>2044</v>
      </c>
      <c r="BK299" s="2" t="s">
        <v>2905</v>
      </c>
    </row>
    <row r="300" spans="1:67" ht="180" x14ac:dyDescent="0.45">
      <c r="A300" s="5">
        <v>299</v>
      </c>
      <c r="B300" s="8" t="s">
        <v>1594</v>
      </c>
      <c r="C300" s="6" t="s">
        <v>6851</v>
      </c>
      <c r="D300" s="7" t="s">
        <v>9752</v>
      </c>
      <c r="E300" s="1" t="s">
        <v>8925</v>
      </c>
      <c r="F300" s="1" t="s">
        <v>1595</v>
      </c>
      <c r="G300" s="1"/>
      <c r="J300" s="1" t="s">
        <v>9753</v>
      </c>
      <c r="K300" s="2" t="s">
        <v>7555</v>
      </c>
      <c r="L300" s="4" t="s">
        <v>8207</v>
      </c>
      <c r="M300" s="1" t="s">
        <v>12191</v>
      </c>
      <c r="P300" s="7" t="s">
        <v>1241</v>
      </c>
      <c r="Q300" s="14" t="str">
        <f>INDEX($L:$L, MATCH("rural", $B:$B, 0))</f>
        <v>&lt;span class="w"&gt;&lt;b&gt;【387.rural：田舎の】&lt;/b&gt;&lt;/span&gt;
&lt;span class="ml"&gt;ラテン語に由来する語で、以下の2つの要素から成る。
&lt;span class="spacer"&gt;&lt;/span&gt;rus（開けた土地）
alis（形容詞化）
&lt;span class="spacer"&gt;&lt;/span&gt;開けた土地＝広い土地がたくさんあることから「田舎の」という意味になる。
&lt;span class="spacer"&gt;&lt;/span&gt;ラテン語rusは印欧祖語*reue-（開く, 空間）に由来する可能性がある。この印欧祖語からは英語のroom（空間）も生まれていると考えられており、ruralとroomを関連づけて覚えることができる。広い空間（roomが）たくさんあるrural（田舎）というイメージで覚える。&lt;/span&gt;</v>
      </c>
      <c r="AU300" s="15"/>
      <c r="AV300" s="1" t="s">
        <v>1502</v>
      </c>
      <c r="BG300" s="7" t="s">
        <v>1503</v>
      </c>
      <c r="BH300" s="1" t="s">
        <v>2780</v>
      </c>
      <c r="BI300" s="2" t="s">
        <v>2906</v>
      </c>
      <c r="BJ300" s="1" t="s">
        <v>1865</v>
      </c>
      <c r="BK300" s="2" t="s">
        <v>2907</v>
      </c>
    </row>
    <row r="301" spans="1:67" ht="162" x14ac:dyDescent="0.45">
      <c r="A301" s="5">
        <v>300</v>
      </c>
      <c r="B301" s="8" t="s">
        <v>211</v>
      </c>
      <c r="C301" s="6" t="s">
        <v>6854</v>
      </c>
      <c r="D301" s="7" t="s">
        <v>9752</v>
      </c>
      <c r="E301" s="6" t="s">
        <v>1452</v>
      </c>
      <c r="F301" s="1" t="s">
        <v>1392</v>
      </c>
      <c r="G301" s="1"/>
      <c r="J301" s="1" t="s">
        <v>9753</v>
      </c>
      <c r="K301" s="2" t="s">
        <v>7556</v>
      </c>
      <c r="L301" s="9" t="s">
        <v>8208</v>
      </c>
      <c r="P301" s="7" t="s">
        <v>1241</v>
      </c>
      <c r="AU301" s="15"/>
      <c r="AV301" s="1" t="s">
        <v>1502</v>
      </c>
      <c r="BG301" s="7" t="s">
        <v>1503</v>
      </c>
      <c r="BH301" s="1" t="s">
        <v>2044</v>
      </c>
      <c r="BI301" s="2" t="s">
        <v>2908</v>
      </c>
    </row>
    <row r="302" spans="1:67" ht="288" x14ac:dyDescent="0.45">
      <c r="A302" s="5">
        <v>301</v>
      </c>
      <c r="B302" s="8" t="s">
        <v>1453</v>
      </c>
      <c r="C302" s="6" t="s">
        <v>1816</v>
      </c>
      <c r="D302" s="7" t="s">
        <v>9752</v>
      </c>
      <c r="E302" s="1" t="s">
        <v>1338</v>
      </c>
      <c r="F302" s="1" t="s">
        <v>6822</v>
      </c>
      <c r="G302" s="1"/>
      <c r="J302" s="1" t="s">
        <v>9753</v>
      </c>
      <c r="K302" s="2" t="s">
        <v>7561</v>
      </c>
      <c r="L302" s="3" t="s">
        <v>8209</v>
      </c>
      <c r="M302" s="1" t="s">
        <v>12175</v>
      </c>
      <c r="P302" s="7" t="s">
        <v>1241</v>
      </c>
      <c r="Q302" s="14" t="str">
        <f>INDEX($L:$L, MATCH("indicate", $B:$B, 0))</f>
        <v>&lt;span class="w"&gt;&lt;b&gt;【203.indicate：～を指し示す, ～を述べる】&lt;/b&gt;&lt;/span&gt;
&lt;span class="ml"&gt;ラテン語に由来する語で、以下の2つの要素から成る。
&lt;span class="spacer"&gt;&lt;/span&gt;in（中に）
dicare（宣言する, 示す）
&lt;span class="spacer"&gt;&lt;/span&gt;このまま日本語にすると「何かの中に向かって示す・宣言する」となる。この「中に向かって」は方向性を、「示す・宣言する」は情報の提示を表す。つまりindicateは対象（目的語）＝情報へ向け、その情報を示す役割をする。
&lt;span class="spacer"&gt;&lt;/span&gt;S indicate Oは、SがOの方向に相手を向けてその情報を示す。
&lt;div class="sample_image indicate"&gt;&lt;/div&gt;&lt;/span&gt;</v>
      </c>
      <c r="R302" s="14" t="str">
        <f>INDEX($L:$L, MATCH("dedicate", $B:$B, 0))</f>
        <v>&lt;span class="w"&gt;&lt;b&gt;【1039.dedicate：〜を捧げる, 〜を献呈する】&lt;/b&gt;&lt;/span&gt;
&lt;span class="ml"&gt;ラテン語に由来する語で、以下の2つの要素から成る。
&lt;span class="spacer"&gt;&lt;/span&gt;de（離れて）
dicare（宣言する）
&lt;span class="spacer"&gt;&lt;/span&gt;もともとは、世間から切り離して神に属するものだと宣言する、宗教的な奉献を表した。そこから宗教に関わらず、一般的な意味として、時間やエネルギーなどを「捧げる」、作品や碑などを「献呈する」という意味になった。
&lt;div class="sample_image dedicate"&gt;&lt;/div&gt;&lt;/span&gt;</v>
      </c>
      <c r="S302" s="14" t="str">
        <f>INDEX($L:$L, MATCH("contradict", $B:$B, 0))</f>
        <v>&lt;span class="w"&gt;&lt;b&gt;【1412.contradict：〜と矛盾する, 〜と反対の意見を言う】&lt;/b&gt;&lt;/span&gt;
&lt;span class="ml"&gt;ラテン語に由来する語で、以下の2つの要素から成る。
&lt;span class="spacer"&gt;&lt;/span&gt;contra（〜に対して）
dicere（言う, 話す）
&lt;span class="spacer"&gt;&lt;/span&gt;相手に反対して話すことから「反対の意見を言う」という意味に、発言や事実と反対のことを言うことから「矛盾する」という意味になる。
&lt;div class="sample_image contradict"&gt;&lt;/div&gt;&lt;/span&gt;</v>
      </c>
      <c r="T302" s="14" t="str">
        <f>INDEX($L:$L, MATCH("index", $B:$B, 0))</f>
        <v>&lt;span class="w"&gt;&lt;b&gt;【1272.index：指し示すもの, 指数, 指標, 索引】&lt;/b&gt;&lt;/span&gt;
&lt;span class="ml"&gt;ラテン語に由来する語で、以下の2つの要素から成る。
&lt;span class="spacer"&gt;&lt;/span&gt;in（中に）
dicare（宣言する, 指し示す）
&lt;span class="spacer"&gt;&lt;/span&gt;この語の核は「ある方向に指をさして示し、何かを宣言すること」。この指をさすということから、ラテン語indexは人差し指という意味をもち、英語でも人差し指をindex fingerと呼ぶ。
&lt;span class="spacer"&gt;&lt;/span&gt;この何かを指し示すものという意味から、英語では当初、本の中で特定の情報が何ページに書かれているかを示す「索引」という意味で使われた。さらにそこから、経済やデータなどで、状態や傾向を客観的な数値で指し示す「指数, 指標」という意味にもなった。
例：BMI（Body Mass Index）＝肥満度を示す体格指数&lt;/span&gt;</v>
      </c>
      <c r="U302" s="14" t="str">
        <f>INDEX($L:$L, MATCH("judge", $B:$B, 0))</f>
        <v>&lt;span class="w"&gt;&lt;b&gt;【310.judge：～を判断する, 判決を下す】&lt;/b&gt;&lt;/span&gt;
&lt;span class="ml"&gt;ラテン語に由来する語で、以下の2つの要素から成る。
&lt;span class="spacer"&gt;&lt;/span&gt;ius（法）
dicere（宣言する, 示す）
&lt;span class="spacer"&gt;&lt;/span&gt;このまま日本語にすると「法を宣言する」となる。ここから法を宣言する人＝裁判官という意味を経て「判決を下す」という意味になる。また法とは関係なく、自分で考えて「判断する」となる。&lt;/span&gt;</v>
      </c>
      <c r="V302" s="14" t="str">
        <f>INDEX($L:$L, MATCH("prejudice", $B:$B, 0))</f>
        <v>&lt;span class="w"&gt;&lt;b&gt;【768.prejudice：偏見】&lt;/b&gt;&lt;/span&gt;
&lt;span class="ml"&gt;ラテン語に由来する語で、以下の2つの要素から成る。
&lt;span class="spacer"&gt;&lt;/span&gt;prae（前もって）
iudexから派生したiudicium（判断）
&lt;span class="spacer"&gt;&lt;/span&gt;このまま日本語にすると「前もって行われる判断」となる。そこから先入観となり、特に否定的な意味での「偏見」という意味になった。
&lt;span class="spacer"&gt;&lt;/span&gt;ラテン語iudexはjudgeの語源でもある。そのためprejudiceは、前もって（pre）行われるジャッジ（判断）というイメージで覚えればよい。&lt;/span&gt;</v>
      </c>
      <c r="AU302" s="15"/>
      <c r="AV302" s="1" t="s">
        <v>1502</v>
      </c>
      <c r="BG302" s="7" t="s">
        <v>1503</v>
      </c>
      <c r="BH302" s="1" t="s">
        <v>2780</v>
      </c>
      <c r="BI302" s="2" t="s">
        <v>2909</v>
      </c>
      <c r="BJ302" s="1" t="s">
        <v>1865</v>
      </c>
      <c r="BK302" s="2" t="s">
        <v>2910</v>
      </c>
    </row>
    <row r="303" spans="1:67" ht="180" x14ac:dyDescent="0.45">
      <c r="A303" s="5">
        <v>302</v>
      </c>
      <c r="B303" s="8" t="s">
        <v>7904</v>
      </c>
      <c r="C303" s="6" t="s">
        <v>1816</v>
      </c>
      <c r="D303" s="7" t="s">
        <v>9752</v>
      </c>
      <c r="E303" s="1" t="s">
        <v>7904</v>
      </c>
      <c r="F303" s="1"/>
      <c r="G303" s="1"/>
      <c r="J303" s="1" t="s">
        <v>9753</v>
      </c>
      <c r="K303" s="2" t="s">
        <v>7905</v>
      </c>
      <c r="L303" s="2" t="s">
        <v>8210</v>
      </c>
      <c r="P303" s="7" t="s">
        <v>1241</v>
      </c>
      <c r="Q303" s="15"/>
      <c r="R303" s="15"/>
      <c r="S303" s="15"/>
      <c r="T303" s="15"/>
      <c r="U303" s="15"/>
      <c r="V303" s="15"/>
      <c r="W303" s="15"/>
      <c r="X303" s="15"/>
      <c r="Y303" s="15"/>
      <c r="AU303" s="15"/>
      <c r="BG303" s="7" t="s">
        <v>1503</v>
      </c>
      <c r="BH303" s="1" t="s">
        <v>2780</v>
      </c>
      <c r="BI303" s="2" t="s">
        <v>7906</v>
      </c>
      <c r="BJ303" s="1" t="s">
        <v>2031</v>
      </c>
      <c r="BK303" s="2" t="s">
        <v>2911</v>
      </c>
      <c r="BL303" s="1" t="s">
        <v>2044</v>
      </c>
      <c r="BM303" s="2" t="s">
        <v>7562</v>
      </c>
    </row>
    <row r="304" spans="1:67" ht="108" x14ac:dyDescent="0.45">
      <c r="A304" s="5">
        <v>303</v>
      </c>
      <c r="B304" s="8" t="s">
        <v>212</v>
      </c>
      <c r="C304" s="6" t="s">
        <v>1816</v>
      </c>
      <c r="D304" s="7" t="s">
        <v>9752</v>
      </c>
      <c r="E304" s="6" t="s">
        <v>212</v>
      </c>
      <c r="F304" s="1"/>
      <c r="G304" s="1"/>
      <c r="J304" s="1" t="s">
        <v>9753</v>
      </c>
      <c r="K304" s="2"/>
      <c r="L304" s="9" t="s">
        <v>8211</v>
      </c>
      <c r="P304" s="7" t="s">
        <v>1241</v>
      </c>
      <c r="AV304" s="1" t="s">
        <v>1502</v>
      </c>
      <c r="BG304" s="7" t="s">
        <v>1503</v>
      </c>
      <c r="BH304" s="1" t="s">
        <v>2912</v>
      </c>
      <c r="BI304" s="1" t="s">
        <v>2913</v>
      </c>
      <c r="BJ304" s="1" t="s">
        <v>2044</v>
      </c>
      <c r="BK304" s="2" t="s">
        <v>2914</v>
      </c>
    </row>
    <row r="305" spans="1:69" ht="162" x14ac:dyDescent="0.45">
      <c r="A305" s="5">
        <v>304</v>
      </c>
      <c r="B305" s="8" t="s">
        <v>213</v>
      </c>
      <c r="C305" s="6" t="s">
        <v>1816</v>
      </c>
      <c r="D305" s="7" t="s">
        <v>9752</v>
      </c>
      <c r="E305" s="6" t="s">
        <v>213</v>
      </c>
      <c r="F305" s="1"/>
      <c r="G305" s="1"/>
      <c r="J305" s="1" t="s">
        <v>9753</v>
      </c>
      <c r="K305" s="2" t="s">
        <v>7563</v>
      </c>
      <c r="L305" s="4" t="s">
        <v>8212</v>
      </c>
      <c r="M305" s="1" t="s">
        <v>12192</v>
      </c>
      <c r="P305" s="7" t="s">
        <v>1241</v>
      </c>
      <c r="Q305" s="13" t="str">
        <f>INDEX($L:$L, MATCH("distinguish", $B:$B, 0))</f>
        <v>&lt;span class="w"&gt;&lt;b&gt;【422.distinguish：〜を区別する】&lt;/b&gt;&lt;/span&gt;
&lt;span class="ml"&gt;ラテン語に由来する語で、以下の2つの要素から成る。
&lt;span class="spacer"&gt;&lt;/span&gt;dis（離れて）
stinguere（突く, 刺激する）
&lt;span class="spacer"&gt;&lt;/span&gt;このまま日本語にすると「突き刺して離す」となる。ここから何かを分ける＝「区別する」という意味になる。&lt;/span&gt;</v>
      </c>
      <c r="R305" s="13" t="str">
        <f>INDEX($L:$L, MATCH("distinct", $B:$B, 0))</f>
        <v>&lt;span class="w"&gt;&lt;b&gt;【582.distinct：明らかに異なる, 明瞭な】&lt;/b&gt;&lt;/span&gt;
&lt;span class="ml"&gt;ラテン語に由来する語で、以下の2つの要素から成る。
&lt;span class="spacer"&gt;&lt;/span&gt;［distinguishの語源］
dis（離れて）
stinguere（突く, 刺激する）
&lt;span class="spacer"&gt;&lt;/span&gt;このまま日本語にすると「突き刺して離す」となる。ここから何かを分ける＝「区別する」という意味になる。
&lt;span class="spacer"&gt;&lt;/span&gt;［disitinctの語源］
動詞distinguishには、中英語期にdistinctenという異なる形があり、この過去分詞からdisitinctという形容詞が生まれた。
&lt;span class="spacer"&gt;&lt;/span&gt;「区別する」の過去分詞「区別された」から、他から切り離されているので他のものとは「明らかに異なる」、違いが「明瞭な」という意味になった。
&lt;div class="sample_image distinct"&gt;&lt;/div&gt;&lt;/span&gt;</v>
      </c>
      <c r="S305" s="13" t="str">
        <f>INDEX($L:$L, MATCH("extinct", $B:$B, 0))</f>
        <v>&lt;span class="w"&gt;&lt;b&gt;【694.extinct：絶滅した, 廃止された】&lt;/b&gt;&lt;/span&gt;
&lt;span class="ml"&gt;ラテン語に由来する語で、以下の2つの要素から成る。
&lt;span class="spacer"&gt;&lt;/span&gt;ex（外に）
stinguere（消す, 突き刺す）
&lt;span class="spacer"&gt;&lt;/span&gt;ロウソクの火を指でつまんで消す時の突き刺すような痛みや、棒で突いて火を消すという動作のイメージから「突き刺す」が「火を消す」になる。
&lt;span class="spacer"&gt;&lt;/span&gt;そして実際に火が消えることから、比喩的に命の火が消えて絶えることを表すようになり、「絶滅した」という意味になった。&lt;/span&gt;</v>
      </c>
      <c r="T305" s="13" t="str">
        <f>INDEX($L:$L, MATCH("instinct", $B:$B, 0))</f>
        <v>&lt;span class="w"&gt;&lt;b&gt;【856.instinct：本能, 直感, 自然に起こる衝動】&lt;/b&gt;&lt;/span&gt;
&lt;span class="ml"&gt;ラテン語に由来する語で、以下の2つの要素から成る。
&lt;span class="spacer"&gt;&lt;/span&gt;in（中に）
stinguere（刺す, 駆り立てる）
&lt;span class="spacer"&gt;&lt;/span&gt;このまま日本語にすると「中に刺す」となる。刺激されて内部から突き動かされるように、自分の意識や思考とは関係なく動くことから「本能, 直感, 自然に起こる衝動」といった意味になる。&lt;span&gt;</v>
      </c>
      <c r="U305" s="13" t="str">
        <f>INDEX($L:$L, MATCH("stimulate", $B:$B, 0))</f>
        <v>&lt;span class="w"&gt;&lt;b&gt;【602.stimulate：〜を刺激する】&lt;/b&gt;&lt;/span&gt;
&lt;span class="ml"&gt;ラテン語stimulus（突き棒）に由来する。
&lt;span class="spacer"&gt;&lt;/span&gt;突き棒で突くことから「刺激する」という意味になる。
&lt;span class="spacer"&gt;&lt;/span&gt;stimulateのsti部分は、おそらくstick（棒）と関わっているため、stimulateとstickを関連させて覚える。&lt;/span&gt;</v>
      </c>
      <c r="AV305" s="1" t="s">
        <v>1502</v>
      </c>
      <c r="BG305" s="7" t="s">
        <v>1503</v>
      </c>
      <c r="BH305" s="1" t="s">
        <v>2569</v>
      </c>
      <c r="BI305" s="1" t="s">
        <v>2915</v>
      </c>
      <c r="BJ305" s="1" t="s">
        <v>2648</v>
      </c>
      <c r="BK305" s="1" t="s">
        <v>2916</v>
      </c>
      <c r="BL305" s="1" t="s">
        <v>2044</v>
      </c>
      <c r="BM305" s="2" t="s">
        <v>2917</v>
      </c>
    </row>
    <row r="306" spans="1:69" ht="144" x14ac:dyDescent="0.45">
      <c r="A306" s="5">
        <v>305</v>
      </c>
      <c r="B306" s="8" t="s">
        <v>214</v>
      </c>
      <c r="C306" s="6" t="s">
        <v>1816</v>
      </c>
      <c r="D306" s="7" t="s">
        <v>9752</v>
      </c>
      <c r="E306" s="1" t="s">
        <v>1454</v>
      </c>
      <c r="F306" s="1" t="s">
        <v>1455</v>
      </c>
      <c r="G306" s="1"/>
      <c r="J306" s="1" t="s">
        <v>9753</v>
      </c>
      <c r="K306" s="2" t="s">
        <v>7564</v>
      </c>
      <c r="L306" s="3" t="s">
        <v>8213</v>
      </c>
      <c r="P306" s="7" t="s">
        <v>1241</v>
      </c>
      <c r="Q306" s="13" t="str">
        <f>INDEX($L:$L, MATCH("emergency", $B:$B, 0))</f>
        <v>&lt;span class="w"&gt;&lt;b&gt;【550.emergency：緊急（事態）】&lt;/b&gt;&lt;/span&gt;
&lt;span class="ml"&gt;ラテン語に由来する語で、以下の2つの要素から成る。
&lt;span class="spacer"&gt;&lt;/span&gt;ex（外に）
mergere（浸す, 沈める）
&lt;span class="spacer"&gt;&lt;/span&gt;このまま日本語にすると「沈んだところから外へ」となる。見えないところから突然外へ出てくることから、緊急で対処する必要がある予期せぬ出来事、つまり「緊急（事態）」という意味になった。&lt;/span&gt;</v>
      </c>
      <c r="AU306" s="15"/>
      <c r="AV306" s="1" t="s">
        <v>1502</v>
      </c>
      <c r="BG306" s="7" t="s">
        <v>1503</v>
      </c>
      <c r="BH306" s="1" t="s">
        <v>2780</v>
      </c>
      <c r="BI306" s="2" t="s">
        <v>2918</v>
      </c>
      <c r="BJ306" s="1" t="s">
        <v>2031</v>
      </c>
      <c r="BK306" s="2" t="s">
        <v>2919</v>
      </c>
      <c r="BL306" s="1" t="s">
        <v>1865</v>
      </c>
      <c r="BM306" s="2" t="s">
        <v>2920</v>
      </c>
    </row>
    <row r="307" spans="1:69" ht="72" x14ac:dyDescent="0.45">
      <c r="A307" s="5">
        <v>306</v>
      </c>
      <c r="B307" s="8" t="s">
        <v>1478</v>
      </c>
      <c r="C307" s="6" t="s">
        <v>1816</v>
      </c>
      <c r="D307" s="7" t="s">
        <v>9752</v>
      </c>
      <c r="E307" s="1" t="s">
        <v>215</v>
      </c>
      <c r="F307" s="1"/>
      <c r="G307" s="1"/>
      <c r="J307" s="1" t="s">
        <v>9753</v>
      </c>
      <c r="K307" s="2" t="s">
        <v>7565</v>
      </c>
      <c r="L307" s="4" t="s">
        <v>8214</v>
      </c>
      <c r="P307" s="7" t="s">
        <v>1241</v>
      </c>
      <c r="Q307" s="16" t="str">
        <f>INDEX($L:$L, MATCH("various", $B:$B, 0))</f>
        <v>&lt;span class="w"&gt;&lt;b&gt;【92.various：様々な】&lt;/b&gt;&lt;/span&gt;
&lt;span class="ml"&gt;ラテン語varius（様々な）に由来する。
&lt;span class="spacer"&gt;&lt;/span&gt;ラテン語から意味の変化はほとんどない。
&lt;span class="spacer"&gt;&lt;/span&gt;variousは動詞vary（様々である, 変わる）や名詞variety（多様性）と関連させて覚える。&lt;/span&gt;</v>
      </c>
      <c r="AU307" s="15"/>
      <c r="AV307" s="1" t="s">
        <v>1502</v>
      </c>
      <c r="BG307" s="7" t="s">
        <v>1503</v>
      </c>
      <c r="BH307" s="1" t="s">
        <v>2780</v>
      </c>
      <c r="BI307" s="2" t="s">
        <v>2921</v>
      </c>
      <c r="BJ307" s="1" t="s">
        <v>2031</v>
      </c>
      <c r="BK307" s="2" t="s">
        <v>2922</v>
      </c>
      <c r="BL307" s="1" t="s">
        <v>2044</v>
      </c>
      <c r="BM307" s="2" t="s">
        <v>2923</v>
      </c>
    </row>
    <row r="308" spans="1:69" ht="144" x14ac:dyDescent="0.45">
      <c r="A308" s="5">
        <v>307</v>
      </c>
      <c r="B308" s="8" t="s">
        <v>1479</v>
      </c>
      <c r="C308" s="6" t="s">
        <v>1816</v>
      </c>
      <c r="D308" s="7" t="s">
        <v>9752</v>
      </c>
      <c r="E308" s="1" t="s">
        <v>1251</v>
      </c>
      <c r="F308" s="1" t="s">
        <v>8926</v>
      </c>
      <c r="G308" s="1"/>
      <c r="J308" s="1" t="s">
        <v>9753</v>
      </c>
      <c r="K308" s="2" t="s">
        <v>7566</v>
      </c>
      <c r="L308" s="4" t="s">
        <v>8215</v>
      </c>
      <c r="P308" s="7" t="s">
        <v>1241</v>
      </c>
      <c r="Q308" s="13" t="str">
        <f>INDEX($L:$L, MATCH("relax", $B:$B, 0))</f>
        <v>&lt;span class="w"&gt;&lt;b&gt;【237.relax：くつろぐ, 緩む, 〜を緩める】&lt;/b&gt;&lt;/span&gt;
&lt;span class="ml"&gt;ラテン語に由来する語で、以下の2つの要素から成る。
&lt;span class="spacer"&gt;&lt;/span&gt;re（再び）
laxare（緩める）
&lt;span class="spacer"&gt;&lt;/span&gt;このまま日本語にすると「再び緩める」となる。緊張している状態から力を抜いてだらっとするイメージで「緩める, 緩む, くつろぐ」という意味になる。&lt;/span&gt;</v>
      </c>
      <c r="AU308" s="15"/>
      <c r="AV308" s="1" t="s">
        <v>1502</v>
      </c>
      <c r="BG308" s="7" t="s">
        <v>1503</v>
      </c>
      <c r="BH308" s="1" t="s">
        <v>2780</v>
      </c>
      <c r="BI308" s="2" t="s">
        <v>7567</v>
      </c>
      <c r="BJ308" s="1" t="s">
        <v>2031</v>
      </c>
      <c r="BK308" s="2" t="s">
        <v>2924</v>
      </c>
      <c r="BL308" s="1" t="s">
        <v>2044</v>
      </c>
      <c r="BM308" s="2" t="s">
        <v>2925</v>
      </c>
      <c r="BN308" s="1" t="s">
        <v>1860</v>
      </c>
      <c r="BO308" s="2" t="s">
        <v>2926</v>
      </c>
    </row>
    <row r="309" spans="1:69" ht="216" x14ac:dyDescent="0.45">
      <c r="A309" s="5">
        <v>308</v>
      </c>
      <c r="B309" s="8" t="s">
        <v>1480</v>
      </c>
      <c r="C309" s="6" t="s">
        <v>1816</v>
      </c>
      <c r="D309" s="7" t="s">
        <v>9752</v>
      </c>
      <c r="E309" s="1" t="s">
        <v>1327</v>
      </c>
      <c r="F309" s="1" t="s">
        <v>8927</v>
      </c>
      <c r="G309" s="1"/>
      <c r="J309" s="1" t="s">
        <v>9753</v>
      </c>
      <c r="K309" s="2" t="s">
        <v>7568</v>
      </c>
      <c r="L309" s="4" t="s">
        <v>8216</v>
      </c>
      <c r="P309" s="7" t="s">
        <v>1241</v>
      </c>
      <c r="Q309" s="14" t="str">
        <f>INDEX($L:$L, MATCH("individual", $B:$B, 0))</f>
        <v>&lt;span class="w"&gt;&lt;b&gt;【82.individual：個々の, 個人の】&lt;/b&gt;&lt;/span&gt;
&lt;span class="ml"&gt;ラテン語に由来する語で、以下の4つの要素から成る。
&lt;span class="spacer"&gt;&lt;/span&gt;in（否定）
dis（離れて）
videre（分ける）
alis（形容詞化）
&lt;span class="spacer"&gt;&lt;/span&gt;このまま日本語にすると「（それ以上）分けて離すことができない」となる。つまりもう分けられない最小単位となった物や人＝「個々の, 個人の」という意味になる。
&lt;span class="spacer"&gt;&lt;/span&gt;ラテン語dis（離れて）とvidere（分ける）からは英語の動詞divide（分ける）が生まれている。individualは、divideをinで否定している形容詞と覚えれば、individualとdiveideをセットで覚えられる。&lt;/span&gt;</v>
      </c>
      <c r="R309" s="13" t="str">
        <f>INDEX($L:$L, MATCH("device", $B:$B, 0))</f>
        <v>&lt;span class="w"&gt;&lt;b&gt;【243.device：装置, 機器, デバイス】&lt;/b&gt;&lt;/span&gt;
&lt;span class="ml"&gt;ラテン語に由来する語で、以下の2つの要素から成る。
&lt;span class="spacer"&gt;&lt;/span&gt;dis（離れて）
videre（分ける）
&lt;span class="spacer"&gt;&lt;/span&gt;この語の核は「分けて離す」ということ。目的に合うようにそれぞれ作られた「装置, 機器」という意味になる。&lt;/span&gt;</v>
      </c>
      <c r="AU309" s="15"/>
      <c r="AV309" s="1" t="s">
        <v>1502</v>
      </c>
      <c r="BG309" s="7" t="s">
        <v>1503</v>
      </c>
      <c r="BH309" s="1" t="s">
        <v>2780</v>
      </c>
      <c r="BI309" s="2" t="s">
        <v>2927</v>
      </c>
      <c r="BJ309" s="1" t="s">
        <v>2044</v>
      </c>
      <c r="BK309" s="2" t="s">
        <v>2928</v>
      </c>
      <c r="BL309" s="1" t="s">
        <v>1865</v>
      </c>
      <c r="BM309" s="2" t="s">
        <v>2929</v>
      </c>
    </row>
    <row r="310" spans="1:69" ht="126" x14ac:dyDescent="0.45">
      <c r="A310" s="5">
        <v>309</v>
      </c>
      <c r="B310" s="8" t="s">
        <v>216</v>
      </c>
      <c r="C310" s="6" t="s">
        <v>1816</v>
      </c>
      <c r="D310" s="7" t="s">
        <v>9752</v>
      </c>
      <c r="E310" s="1" t="s">
        <v>1447</v>
      </c>
      <c r="F310" s="1" t="s">
        <v>1456</v>
      </c>
      <c r="G310" s="1"/>
      <c r="J310" s="1" t="s">
        <v>9753</v>
      </c>
      <c r="K310" s="2" t="s">
        <v>7569</v>
      </c>
      <c r="L310" s="9" t="s">
        <v>8217</v>
      </c>
      <c r="M310" s="1" t="s">
        <v>12193</v>
      </c>
      <c r="P310" s="7" t="s">
        <v>1241</v>
      </c>
      <c r="Q310" s="14" t="str">
        <f>INDEX($L:$L, MATCH("inability", $B:$B, 0))</f>
        <v>&lt;span class="w"&gt;&lt;b&gt;【1266.inability：無能, 無力】&lt;/b&gt;&lt;/span&gt;
&lt;span class="ml"&gt;中英語にさかのぼり、以下の2つの要素から成る。
&lt;span class="spacer"&gt;&lt;/span&gt;in（否定）
habilite（可能, 能力）
&lt;span class="spacer"&gt;&lt;/span&gt;これは、可能・能力の否定なので「無能, 無力」という意味になる。able（できる）の名詞ability（能力）を否定して、能力がない＝「無能, 無力」と覚えればよい。&lt;/span&gt;</v>
      </c>
      <c r="R310" s="13" t="str">
        <f>INDEX($L:$L, MATCH("disabled", $B:$B, 0))</f>
        <v>&lt;span class="w"&gt;&lt;b&gt;【1487.disabled：障害のある】&lt;/b&gt;&lt;/span&gt;
&lt;span class="ml"&gt;近代英語に由来する語で、以下の2つの要素から成る。
&lt;span class="spacer"&gt;&lt;/span&gt;dis（否定）
ablen（可能にする）
ed（過去分詞化）
&lt;span class="spacer"&gt;&lt;/span&gt;この語の核は「能力や機能が失われた状態」。そこから身体的・精神的・感覚的な「障害のある」という意味になった。&lt;/span&gt;</v>
      </c>
      <c r="S310" s="15"/>
      <c r="T310" s="15"/>
      <c r="U310" s="15"/>
      <c r="V310" s="15"/>
      <c r="W310" s="15"/>
      <c r="X310" s="15"/>
      <c r="Y310" s="15"/>
      <c r="Z310" s="15"/>
      <c r="AU310" s="15"/>
      <c r="AV310" s="1" t="s">
        <v>1502</v>
      </c>
      <c r="BG310" s="7" t="s">
        <v>1503</v>
      </c>
      <c r="BH310" s="1" t="s">
        <v>2044</v>
      </c>
      <c r="BI310" s="2" t="s">
        <v>2930</v>
      </c>
    </row>
    <row r="311" spans="1:69" ht="360" x14ac:dyDescent="0.45">
      <c r="A311" s="5">
        <v>310</v>
      </c>
      <c r="B311" s="8" t="s">
        <v>1481</v>
      </c>
      <c r="C311" s="6" t="s">
        <v>1816</v>
      </c>
      <c r="D311" s="7" t="s">
        <v>9752</v>
      </c>
      <c r="E311" s="1" t="s">
        <v>8928</v>
      </c>
      <c r="F311" s="1" t="s">
        <v>1596</v>
      </c>
      <c r="G311" s="1"/>
      <c r="J311" s="1" t="s">
        <v>9753</v>
      </c>
      <c r="K311" s="2" t="s">
        <v>7570</v>
      </c>
      <c r="L311" s="4" t="s">
        <v>8218</v>
      </c>
      <c r="M311" s="1" t="s">
        <v>12175</v>
      </c>
      <c r="P311" s="7" t="s">
        <v>1241</v>
      </c>
      <c r="Q311" s="14" t="str">
        <f>INDEX($L:$L, MATCH("indicate", $B:$B, 0))</f>
        <v>&lt;span class="w"&gt;&lt;b&gt;【203.indicate：～を指し示す, ～を述べる】&lt;/b&gt;&lt;/span&gt;
&lt;span class="ml"&gt;ラテン語に由来する語で、以下の2つの要素から成る。
&lt;span class="spacer"&gt;&lt;/span&gt;in（中に）
dicare（宣言する, 示す）
&lt;span class="spacer"&gt;&lt;/span&gt;このまま日本語にすると「何かの中に向かって示す・宣言する」となる。この「中に向かって」は方向性を、「示す・宣言する」は情報の提示を表す。つまりindicateは対象（目的語）＝情報へ向け、その情報を示す役割をする。
&lt;span class="spacer"&gt;&lt;/span&gt;S indicate Oは、SがOの方向に相手を向けてその情報を示す。
&lt;div class="sample_image indicate"&gt;&lt;/div&gt;&lt;/span&gt;</v>
      </c>
      <c r="R311" s="14" t="str">
        <f>INDEX($L:$L, MATCH("dedicate", $B:$B, 0))</f>
        <v>&lt;span class="w"&gt;&lt;b&gt;【1039.dedicate：〜を捧げる, 〜を献呈する】&lt;/b&gt;&lt;/span&gt;
&lt;span class="ml"&gt;ラテン語に由来する語で、以下の2つの要素から成る。
&lt;span class="spacer"&gt;&lt;/span&gt;de（離れて）
dicare（宣言する）
&lt;span class="spacer"&gt;&lt;/span&gt;もともとは、世間から切り離して神に属するものだと宣言する、宗教的な奉献を表した。そこから宗教に関わらず、一般的な意味として、時間やエネルギーなどを「捧げる」、作品や碑などを「献呈する」という意味になった。
&lt;div class="sample_image dedicate"&gt;&lt;/div&gt;&lt;/span&gt;</v>
      </c>
      <c r="S311" s="14" t="str">
        <f>INDEX($L:$L, MATCH("predict", $B:$B, 0))</f>
        <v>&lt;span class="w"&gt;&lt;b&gt;【301.predict：～を予言する, ～を予測する】&lt;/b&gt;&lt;/span&gt;
&lt;span class="ml"&gt;ラテン語に由来する語で、以下の2つの要素から成る。
&lt;span class="spacer"&gt;&lt;/span&gt;prae（前に, 以前に）
dicere（言う）
&lt;span class="spacer"&gt;&lt;/span&gt;このまま日本語にすると「前に言う」となる。何かが起こる前に言うことから「予言する, 予測する」という意味になる。
&lt;div class="sample_image predict"&gt;&lt;/div&gt;&lt;/span&gt;</v>
      </c>
      <c r="T311" s="14" t="str">
        <f>INDEX($L:$L, MATCH("contradict", $B:$B, 0))</f>
        <v>&lt;span class="w"&gt;&lt;b&gt;【1412.contradict：〜と矛盾する, 〜と反対の意見を言う】&lt;/b&gt;&lt;/span&gt;
&lt;span class="ml"&gt;ラテン語に由来する語で、以下の2つの要素から成る。
&lt;span class="spacer"&gt;&lt;/span&gt;contra（〜に対して）
dicere（言う, 話す）
&lt;span class="spacer"&gt;&lt;/span&gt;相手に反対して話すことから「反対の意見を言う」という意味に、発言や事実と反対のことを言うことから「矛盾する」という意味になる。
&lt;div class="sample_image contradict"&gt;&lt;/div&gt;&lt;/span&gt;</v>
      </c>
      <c r="U311" s="14" t="str">
        <f>INDEX($L:$L, MATCH("index", $B:$B, 0))</f>
        <v>&lt;span class="w"&gt;&lt;b&gt;【1272.index：指し示すもの, 指数, 指標, 索引】&lt;/b&gt;&lt;/span&gt;
&lt;span class="ml"&gt;ラテン語に由来する語で、以下の2つの要素から成る。
&lt;span class="spacer"&gt;&lt;/span&gt;in（中に）
dicare（宣言する, 指し示す）
&lt;span class="spacer"&gt;&lt;/span&gt;この語の核は「ある方向に指をさして示し、何かを宣言すること」。この指をさすということから、ラテン語indexは人差し指という意味をもち、英語でも人差し指をindex fingerと呼ぶ。
&lt;span class="spacer"&gt;&lt;/span&gt;この何かを指し示すものという意味から、英語では当初、本の中で特定の情報が何ページに書かれているかを示す「索引」という意味で使われた。さらにそこから、経済やデータなどで、状態や傾向を客観的な数値で指し示す「指数, 指標」という意味にもなった。
例：BMI（Body Mass Index）＝肥満度を示す体格指数&lt;/span&gt;</v>
      </c>
      <c r="V311" s="14" t="str">
        <f>INDEX($L:$L, MATCH("prejudice", $B:$B, 0))</f>
        <v>&lt;span class="w"&gt;&lt;b&gt;【768.prejudice：偏見】&lt;/b&gt;&lt;/span&gt;
&lt;span class="ml"&gt;ラテン語に由来する語で、以下の2つの要素から成る。
&lt;span class="spacer"&gt;&lt;/span&gt;prae（前もって）
iudexから派生したiudicium（判断）
&lt;span class="spacer"&gt;&lt;/span&gt;このまま日本語にすると「前もって行われる判断」となる。そこから先入観となり、特に否定的な意味での「偏見」という意味になった。
&lt;span class="spacer"&gt;&lt;/span&gt;ラテン語iudexはjudgeの語源でもある。そのためprejudiceは、前もって（pre）行われるジャッジ（判断）というイメージで覚えればよい。&lt;/span&gt;</v>
      </c>
      <c r="W311" s="13" t="str">
        <f>INDEX($L:$L, MATCH("justice", $B:$B, 0))</f>
        <v>&lt;span class="w"&gt;&lt;b&gt;【769.justice：公正, 正義, 司法】&lt;/b&gt;&lt;/span&gt;
&lt;span class="ml"&gt;ラテン語ius（法）に由来する。
&lt;span class="spacer"&gt;&lt;/span&gt;この語の核は「法」。法を司る「司法」や、法や道徳に基づく「正義」や「公正」という意味になる。&lt;/span&gt;</v>
      </c>
      <c r="X311" s="13" t="str">
        <f>INDEX($L:$L, MATCH("jury", $B:$B, 0))</f>
        <v>&lt;span class="w"&gt;&lt;b&gt;【1053.jury：陪審（員団）, 審査員団】&lt;/b&gt;&lt;/span&gt;
&lt;span class="ml"&gt;ラテン語ius（法, 法的誓約）から派生したiurare（宣誓する）に由来する。
&lt;span class="spacer"&gt;&lt;/span&gt;この語の核は「法のもとで宣誓する」。そこから、法律に従って選ばれ、事件や告発に対して公正な判断を下すことを宣誓した人たち、つまり「陪審員団」を意味するようになった。さらに法的な文脈を離れ、何かを判断する集団＝「審査員団」という意味にもなった。&lt;/span&gt;</v>
      </c>
      <c r="AU311" s="15"/>
      <c r="AV311" s="1" t="s">
        <v>1502</v>
      </c>
      <c r="BG311" s="7" t="s">
        <v>1503</v>
      </c>
      <c r="BH311" s="1" t="s">
        <v>2780</v>
      </c>
      <c r="BI311" s="2" t="s">
        <v>2931</v>
      </c>
      <c r="BJ311" s="1" t="s">
        <v>2031</v>
      </c>
      <c r="BK311" s="2" t="s">
        <v>2932</v>
      </c>
      <c r="BL311" s="1" t="s">
        <v>2754</v>
      </c>
      <c r="BM311" s="1" t="s">
        <v>2933</v>
      </c>
      <c r="BN311" s="1" t="s">
        <v>2044</v>
      </c>
      <c r="BO311" s="2" t="s">
        <v>2934</v>
      </c>
    </row>
    <row r="312" spans="1:69" ht="234" x14ac:dyDescent="0.45">
      <c r="A312" s="5">
        <v>311</v>
      </c>
      <c r="B312" s="8" t="s">
        <v>217</v>
      </c>
      <c r="C312" s="6" t="s">
        <v>1816</v>
      </c>
      <c r="D312" s="7" t="s">
        <v>9752</v>
      </c>
      <c r="E312" s="1" t="s">
        <v>1251</v>
      </c>
      <c r="F312" s="1" t="s">
        <v>1457</v>
      </c>
      <c r="G312" s="1"/>
      <c r="J312" s="1" t="s">
        <v>9753</v>
      </c>
      <c r="K312" s="2" t="s">
        <v>7571</v>
      </c>
      <c r="L312" s="3" t="s">
        <v>8219</v>
      </c>
      <c r="P312" s="7" t="s">
        <v>1241</v>
      </c>
      <c r="Q312" s="14" t="str">
        <f>INDEX($L:$L, MATCH("religion", $B:$B, 0))</f>
        <v>&lt;span class="w"&gt;&lt;b&gt;【443.religion：宗教, 信仰】&lt;/b&gt;&lt;/span&gt;
&lt;span class="ml"&gt;ラテン語に由来する語で、一説には以下の3つの要素から成るとされる。
&lt;span class="spacer"&gt;&lt;/span&gt;re（強意）
ligare（結ぶ）
io（名詞化）
&lt;span class="spacer"&gt;&lt;/span&gt;このまま日本語にすると「しっかりと結びつく」となる。人と神が結びつくイメージから「宗教, 信仰」という意味になる。
&lt;div class="sample_image religion"&gt;&lt;/div&gt;&lt;/span&gt;</v>
      </c>
      <c r="R312" s="14" t="str">
        <f>INDEX($L:$L, MATCH("league", $B:$B, 0))</f>
        <v>&lt;span class="w"&gt;&lt;b&gt;【759.league：（競技）連盟, 同盟】&lt;/b&gt;&lt;/span&gt;
&lt;span class="ml"&gt;ラテン語ligare（縛る）に由来する。
&lt;span class="spacer"&gt;&lt;/span&gt;この語の核は「結びついているもの」。そこから複数の団体や国が結びついている「連盟, 同盟」という意味になる。&lt;/span&gt;</v>
      </c>
      <c r="S312" s="14" t="str">
        <f>INDEX($L:$L, MATCH("oblige", $B:$B, 0))</f>
        <v>&lt;span class="w"&gt;&lt;b&gt;【1421.oblige：〜に義務付ける, 〜に恩恵を施す】&lt;/b&gt;&lt;/span&gt;
&lt;span class="ml"&gt;ラテン語に由来する語で、以下の2つの要素から成る。
&lt;span class="spacer"&gt;&lt;/span&gt;ob（〜に対して）
ligare（縛る, 結ぶ）
&lt;span class="spacer"&gt;&lt;/span&gt;このまま日本語にすると「何かに対して縛り付ける」となる。約束に縛り付けて、その約束を守る義務を課すことから、何かを「義務付ける」という意味になる。
&lt;span class="spacer"&gt;&lt;/span&gt;また相手の望むことに応じて、相手を恩義と結びつけることから、相手の望むことをして「恩恵を施す」という意味にもなる。
&lt;div class="sample_image oblige"&gt;&lt;/div&gt;&lt;/span&gt;</v>
      </c>
      <c r="T312" s="13" t="str">
        <f>INDEX($L:$L, MATCH("ally", $B:$B, 0))</f>
        <v>&lt;span class="w"&gt;&lt;b&gt;【1464.ally：同盟国, 援助者】&lt;/b&gt;&lt;/span&gt;
&lt;span class="ml"&gt;ラテン語に由来する語で、以下の2つの要素から成る。
&lt;span class="spacer"&gt;&lt;/span&gt;に由来する語で、以下の2つの要素から成る。
&lt;span class="spacer"&gt;&lt;/span&gt;ad（〜へ）
ligare（結ぶ, 縛る）
&lt;span class="spacer"&gt;&lt;/span&gt;この語の核は「何かへ結びつける」。中世では、結婚によってお互いの家を結びつけて政治的・経済的に強固にすることを表した。そこから婚姻関係による家同士の結びつきに限らず、国家間の同盟へと発展して「同盟国」という意味になった。
&lt;span class="spacer"&gt;&lt;/span&gt;また相手と結びついて助けるということから「援助者」という意味にもなった。
&lt;div class="sample_image ally"&gt;&lt;/div&gt;&lt;/span&gt;</v>
      </c>
      <c r="AU312" s="15"/>
      <c r="AV312" s="1" t="s">
        <v>1502</v>
      </c>
      <c r="BG312" s="7" t="s">
        <v>1503</v>
      </c>
      <c r="BH312" s="1" t="s">
        <v>2780</v>
      </c>
      <c r="BI312" s="2" t="s">
        <v>2935</v>
      </c>
      <c r="BJ312" s="1" t="s">
        <v>2031</v>
      </c>
      <c r="BK312" s="2" t="s">
        <v>2936</v>
      </c>
      <c r="BL312" s="1" t="s">
        <v>2044</v>
      </c>
      <c r="BM312" s="2" t="s">
        <v>2937</v>
      </c>
      <c r="BN312" s="1" t="s">
        <v>1865</v>
      </c>
      <c r="BO312" s="2" t="s">
        <v>2938</v>
      </c>
    </row>
    <row r="313" spans="1:69" ht="108" x14ac:dyDescent="0.45">
      <c r="A313" s="5">
        <v>312</v>
      </c>
      <c r="B313" s="8" t="s">
        <v>218</v>
      </c>
      <c r="C313" s="6" t="s">
        <v>1816</v>
      </c>
      <c r="D313" s="7" t="s">
        <v>9752</v>
      </c>
      <c r="E313" s="1" t="s">
        <v>1447</v>
      </c>
      <c r="F313" s="1" t="s">
        <v>1458</v>
      </c>
      <c r="G313" s="1"/>
      <c r="J313" s="1" t="s">
        <v>9753</v>
      </c>
      <c r="K313" s="2" t="s">
        <v>7572</v>
      </c>
      <c r="L313" s="2" t="s">
        <v>10033</v>
      </c>
      <c r="P313" s="7" t="s">
        <v>1241</v>
      </c>
      <c r="AU313" s="15"/>
      <c r="AV313" s="1" t="s">
        <v>1502</v>
      </c>
      <c r="BG313" s="7" t="s">
        <v>1503</v>
      </c>
      <c r="BH313" s="1" t="s">
        <v>2031</v>
      </c>
      <c r="BI313" s="2" t="s">
        <v>2939</v>
      </c>
      <c r="BJ313" s="1" t="s">
        <v>2044</v>
      </c>
      <c r="BK313" s="2" t="s">
        <v>2940</v>
      </c>
      <c r="BL313" s="1" t="s">
        <v>1865</v>
      </c>
      <c r="BM313" s="2" t="s">
        <v>2941</v>
      </c>
    </row>
    <row r="314" spans="1:69" ht="144" x14ac:dyDescent="0.45">
      <c r="A314" s="5">
        <v>313</v>
      </c>
      <c r="B314" s="8" t="s">
        <v>219</v>
      </c>
      <c r="C314" s="6" t="s">
        <v>1816</v>
      </c>
      <c r="D314" s="7" t="s">
        <v>9752</v>
      </c>
      <c r="E314" s="1" t="s">
        <v>219</v>
      </c>
      <c r="F314" s="1"/>
      <c r="G314" s="1"/>
      <c r="J314" s="1" t="s">
        <v>9753</v>
      </c>
      <c r="K314" s="2" t="s">
        <v>7573</v>
      </c>
      <c r="L314" s="9" t="s">
        <v>8220</v>
      </c>
      <c r="P314" s="7" t="s">
        <v>1241</v>
      </c>
      <c r="AU314" s="15"/>
      <c r="AV314" s="1" t="s">
        <v>1502</v>
      </c>
      <c r="BG314" s="7" t="s">
        <v>1503</v>
      </c>
      <c r="BH314" s="1" t="s">
        <v>2648</v>
      </c>
      <c r="BI314" s="2" t="s">
        <v>2942</v>
      </c>
      <c r="BJ314" s="1" t="s">
        <v>2044</v>
      </c>
      <c r="BK314" s="2" t="s">
        <v>2943</v>
      </c>
    </row>
    <row r="315" spans="1:69" ht="126" x14ac:dyDescent="0.45">
      <c r="A315" s="5">
        <v>314</v>
      </c>
      <c r="B315" s="8" t="s">
        <v>220</v>
      </c>
      <c r="C315" s="6" t="s">
        <v>1816</v>
      </c>
      <c r="D315" s="7" t="s">
        <v>9752</v>
      </c>
      <c r="E315" s="1" t="s">
        <v>1459</v>
      </c>
      <c r="F315" s="1" t="s">
        <v>1460</v>
      </c>
      <c r="G315" s="1"/>
      <c r="J315" s="1" t="s">
        <v>9753</v>
      </c>
      <c r="K315" s="2" t="s">
        <v>7574</v>
      </c>
      <c r="L315" s="2" t="s">
        <v>8221</v>
      </c>
      <c r="P315" s="7" t="s">
        <v>1241</v>
      </c>
      <c r="Q315" s="13" t="str">
        <f>INDEX($L:$L, MATCH("option", $B:$B, 0))</f>
        <v>&lt;span class="w"&gt;&lt;b&gt;【257.option：選択, 選択肢】&lt;/b&gt;&lt;/span&gt;
&lt;span class="ml"&gt;ラテン語に由来する語で、以下の2つの要素から成る。
&lt;span class="spacer"&gt;&lt;/span&gt;optare（選ぶ, 望む）
io（名詞化）
&lt;span class="spacer"&gt;&lt;/span&gt;このまま日本語にすると「選ぶこと, 選ぶもの」＝「選択, 選択肢」という意味になる。&lt;/span&gt;</v>
      </c>
      <c r="AU315" s="15"/>
      <c r="AV315" s="1" t="s">
        <v>1502</v>
      </c>
      <c r="BG315" s="7" t="s">
        <v>1503</v>
      </c>
      <c r="BH315" s="1" t="s">
        <v>2780</v>
      </c>
      <c r="BI315" s="2" t="s">
        <v>2944</v>
      </c>
      <c r="BJ315" s="1" t="s">
        <v>2031</v>
      </c>
      <c r="BK315" s="2" t="s">
        <v>2945</v>
      </c>
      <c r="BL315" s="1" t="s">
        <v>1865</v>
      </c>
      <c r="BM315" s="2" t="s">
        <v>2946</v>
      </c>
    </row>
    <row r="316" spans="1:69" ht="144" x14ac:dyDescent="0.45">
      <c r="A316" s="5">
        <v>315</v>
      </c>
      <c r="B316" s="8" t="s">
        <v>1482</v>
      </c>
      <c r="C316" s="6" t="s">
        <v>1816</v>
      </c>
      <c r="D316" s="7" t="s">
        <v>9752</v>
      </c>
      <c r="E316" s="1" t="s">
        <v>1346</v>
      </c>
      <c r="F316" s="1" t="s">
        <v>1252</v>
      </c>
      <c r="G316" s="1"/>
      <c r="J316" s="1" t="s">
        <v>9753</v>
      </c>
      <c r="K316" s="2" t="s">
        <v>7575</v>
      </c>
      <c r="L316" s="3" t="s">
        <v>8222</v>
      </c>
      <c r="M316" s="1" t="s">
        <v>12116</v>
      </c>
      <c r="P316" s="7" t="s">
        <v>1241</v>
      </c>
      <c r="Q316" s="13" t="str">
        <f>INDEX($L:$L, MATCH("require", $B:$B, 0))</f>
        <v>&lt;span class="w"&gt;&lt;b&gt;【13.require：～を要求する】&lt;/b&gt;&lt;/span&gt;
&lt;span class="ml"&gt;ラテン語に由来する語で、以下の2つの要素から成る。
&lt;span class="spacer"&gt;&lt;/span&gt;re（繰り返し）
quaerere（尋ねる, 求める, 探す）
&lt;span class="spacer"&gt;&lt;/span&gt;このまま日本語にすると「繰り返し求める」となり、ここから「要求する」という意味になる。
&lt;span class="spacer"&gt;&lt;/span&gt;requireはrequest（リクエスト）と同じ語源に遡るため、一緒に覚えておく。
request：依頼
require：規則や条件に基づく要求&lt;/span&gt;</v>
      </c>
      <c r="R316" s="13" t="str">
        <f>INDEX($L:$L, MATCH("conquer", $B:$B, 0))</f>
        <v>&lt;span class="w"&gt;&lt;b&gt;【1404.conquer：〜を征服する, 〜を克服する】&lt;/b&gt;&lt;/span&gt;
&lt;span class="ml"&gt;ラテン語に由来する語で、以下の2つの要素から成る。
&lt;span class="spacer"&gt;&lt;/span&gt;com（強意）
quaerere（求める）
&lt;span class="spacer"&gt;&lt;/span&gt;このまま日本語にすると「徹底的に探し求める」となる。そこから、苦労して探し求めて自分のものにする、多大な努力をして獲得するという意味合いに変化し、やがて武力で「征服する」や困難を乗り越えて「克服する」という意味になった。
&lt;div class="sample_image conquer"&gt;&lt;/div&gt;&lt;/span&gt;</v>
      </c>
      <c r="S316" s="13" t="str">
        <f>INDEX($L:$L, MATCH("quest", $B:$B, 0))</f>
        <v>&lt;span class="w"&gt;&lt;b&gt;【1341.quest：探求】&lt;/b&gt;&lt;/span&gt;
&lt;span class="ml"&gt;ラテン語quaerere（探求する, 尋ねる）に由来する。
&lt;span class="spacer"&gt;&lt;/span&gt;このラテン語からはquest. question, requestといった名詞が生まれている。これら3つの核は「求めること」。questは、何かを探し求めて進むことから「探求（探し求める旅）」という意味になった。
&lt;span class="spacer"&gt;&lt;/span&gt;questionは答えを求めることから「疑問」に、requestは繰り返し（re）求めることから「要求」という意味になった。&lt;/span&gt;</v>
      </c>
      <c r="T316" s="13" t="str">
        <f>INDEX($L:$L, MATCH("request", $B:$B, 0))</f>
        <v>&lt;span class="w"&gt;&lt;b&gt;【504.request：〜に（…するように）頼む, 〜を要請する】&lt;/b&gt;&lt;/span&gt;
&lt;span class="ml"&gt;ラテン語に由来する語で、以下の2つの要素から成る。
&lt;span class="spacer"&gt;&lt;/span&gt;re（再び）
quaerere（求める）
&lt;span class="spacer"&gt;&lt;/span&gt;このまま日本語にすると「再び求める」となる。相手に繰り返し求めることから、相手への依頼＝「〜に頼む, 要請する」という意味になる。
&lt;span class="spacer"&gt;&lt;/span&gt;requestとrequireは同じ語源に遡る。
&lt;span class="spacer"&gt;&lt;/span&gt;request：依頼
require：規則や条件に基づく要求&lt;/span&gt;</v>
      </c>
      <c r="AU316" s="15"/>
      <c r="AV316" s="1" t="s">
        <v>1502</v>
      </c>
      <c r="BG316" s="7" t="s">
        <v>1503</v>
      </c>
      <c r="BH316" s="1" t="s">
        <v>2780</v>
      </c>
      <c r="BI316" s="2" t="s">
        <v>2947</v>
      </c>
      <c r="BJ316" s="1" t="s">
        <v>2048</v>
      </c>
      <c r="BK316" s="2" t="s">
        <v>2948</v>
      </c>
      <c r="BL316" s="1" t="s">
        <v>2031</v>
      </c>
      <c r="BM316" s="2" t="s">
        <v>2949</v>
      </c>
      <c r="BN316" s="1" t="s">
        <v>2044</v>
      </c>
      <c r="BO316" s="2" t="s">
        <v>2950</v>
      </c>
      <c r="BP316" s="1" t="s">
        <v>1865</v>
      </c>
      <c r="BQ316" s="2" t="s">
        <v>2951</v>
      </c>
    </row>
    <row r="317" spans="1:69" ht="126" x14ac:dyDescent="0.45">
      <c r="A317" s="5">
        <v>316</v>
      </c>
      <c r="B317" s="8" t="s">
        <v>221</v>
      </c>
      <c r="C317" s="6" t="s">
        <v>1816</v>
      </c>
      <c r="D317" s="7" t="s">
        <v>9752</v>
      </c>
      <c r="E317" s="1" t="s">
        <v>1413</v>
      </c>
      <c r="F317" s="1" t="s">
        <v>1461</v>
      </c>
      <c r="G317" s="1"/>
      <c r="J317" s="1" t="s">
        <v>9753</v>
      </c>
      <c r="K317" s="2" t="s">
        <v>7576</v>
      </c>
      <c r="L317" s="3" t="s">
        <v>8223</v>
      </c>
      <c r="P317" s="7" t="s">
        <v>1241</v>
      </c>
      <c r="AU317" s="15"/>
      <c r="AV317" s="1" t="s">
        <v>1502</v>
      </c>
      <c r="BG317" s="7" t="s">
        <v>1503</v>
      </c>
      <c r="BH317" s="1" t="s">
        <v>2780</v>
      </c>
      <c r="BI317" s="2" t="s">
        <v>2952</v>
      </c>
      <c r="BJ317" s="1" t="s">
        <v>2031</v>
      </c>
      <c r="BK317" s="2" t="s">
        <v>2953</v>
      </c>
      <c r="BL317" s="1" t="s">
        <v>2754</v>
      </c>
      <c r="BM317" s="1" t="s">
        <v>2954</v>
      </c>
      <c r="BN317" s="1" t="s">
        <v>2044</v>
      </c>
      <c r="BO317" s="2" t="s">
        <v>2955</v>
      </c>
    </row>
    <row r="318" spans="1:69" ht="162" x14ac:dyDescent="0.45">
      <c r="A318" s="5">
        <v>317</v>
      </c>
      <c r="B318" s="8" t="s">
        <v>222</v>
      </c>
      <c r="C318" s="6" t="s">
        <v>1816</v>
      </c>
      <c r="D318" s="7" t="s">
        <v>9752</v>
      </c>
      <c r="E318" s="1" t="s">
        <v>1251</v>
      </c>
      <c r="F318" s="1" t="s">
        <v>1462</v>
      </c>
      <c r="G318" s="1"/>
      <c r="J318" s="1" t="s">
        <v>9753</v>
      </c>
      <c r="K318" s="2" t="s">
        <v>7577</v>
      </c>
      <c r="L318" s="3" t="s">
        <v>8224</v>
      </c>
      <c r="P318" s="7" t="s">
        <v>1241</v>
      </c>
      <c r="Q318" s="22" t="str">
        <f>INDEX($L:$L, MATCH("confuse", $B:$B, 0))</f>
        <v>&lt;span class="w"&gt;&lt;b&gt;【321.confuse：〜を混同する, 〜を困惑させる】&lt;/b&gt;&lt;/span&gt;
&lt;span class="ml"&gt;ラテン語に由来する語で、以下の2つの要素から成る。
&lt;span class="spacer"&gt;&lt;/span&gt;com（共に）
fundere（注ぐ）
&lt;span class="spacer"&gt;&lt;/span&gt;このまま日本語にすると「共に注ぐ」となる。複数のものを一緒に注いで混ぜるイメージから「混同する」という意味になる。また心や感覚をぐちゃぐちゃに混ぜる感じで「困惑させる」という意味にもなる。
&lt;div class="sample_image confuse"&gt;&lt;/div&gt;&lt;/span&gt;</v>
      </c>
      <c r="R318" s="15"/>
      <c r="S318" s="15"/>
      <c r="T318" s="15"/>
      <c r="U318" s="15"/>
      <c r="V318" s="15"/>
      <c r="AU318" s="15"/>
      <c r="AV318" s="1" t="s">
        <v>1502</v>
      </c>
      <c r="BG318" s="7" t="s">
        <v>1503</v>
      </c>
      <c r="BH318" s="1" t="s">
        <v>2780</v>
      </c>
      <c r="BI318" s="2" t="s">
        <v>7578</v>
      </c>
      <c r="BJ318" s="1" t="s">
        <v>2048</v>
      </c>
      <c r="BK318" s="2" t="s">
        <v>2956</v>
      </c>
      <c r="BL318" s="1" t="s">
        <v>2031</v>
      </c>
      <c r="BM318" s="2" t="s">
        <v>2957</v>
      </c>
      <c r="BN318" s="1" t="s">
        <v>2044</v>
      </c>
      <c r="BO318" s="2" t="s">
        <v>2958</v>
      </c>
    </row>
    <row r="319" spans="1:69" ht="90" x14ac:dyDescent="0.45">
      <c r="A319" s="5">
        <v>318</v>
      </c>
      <c r="B319" s="8" t="s">
        <v>223</v>
      </c>
      <c r="C319" s="6" t="s">
        <v>1816</v>
      </c>
      <c r="D319" s="7" t="s">
        <v>9752</v>
      </c>
      <c r="E319" s="6" t="s">
        <v>223</v>
      </c>
      <c r="F319" s="1"/>
      <c r="G319" s="1"/>
      <c r="J319" s="1" t="s">
        <v>9753</v>
      </c>
      <c r="K319" s="2" t="s">
        <v>7579</v>
      </c>
      <c r="L319" s="9" t="s">
        <v>8225</v>
      </c>
      <c r="P319" s="7" t="s">
        <v>1241</v>
      </c>
      <c r="Q319" s="13" t="str">
        <f>INDEX($L:$L, MATCH("stroke", $B:$B, 0))</f>
        <v>&lt;span class="w"&gt;&lt;b&gt;【970.stroke：脳卒中, （雷などの）一撃, （ボールなどを）打つこと】&lt;/b&gt;&lt;/span&gt;
&lt;span class="ml"&gt;中英語にさかのぼる。
&lt;span class="spacer"&gt;&lt;/span&gt;この語の核は「瞬間的な打撃」。
そこから
①雷などの瞬間的な「一撃」
②ゴルフやテニスなど、一瞬のタイミングでボールを「打つこと」
③瞬間的に頭を殴られたような痛みに襲われる「脳卒中」という意味になる。&lt;/span&gt;</v>
      </c>
      <c r="AU319" s="15"/>
      <c r="AV319" s="1" t="s">
        <v>1502</v>
      </c>
      <c r="BG319" s="7" t="s">
        <v>1503</v>
      </c>
      <c r="BH319" s="1" t="s">
        <v>2648</v>
      </c>
      <c r="BI319" s="2" t="s">
        <v>7580</v>
      </c>
      <c r="BJ319" s="1" t="s">
        <v>2044</v>
      </c>
      <c r="BK319" s="2" t="s">
        <v>2959</v>
      </c>
      <c r="BL319" s="1" t="s">
        <v>1865</v>
      </c>
      <c r="BM319" s="2" t="s">
        <v>2960</v>
      </c>
    </row>
    <row r="320" spans="1:69" ht="198" x14ac:dyDescent="0.45">
      <c r="A320" s="5">
        <v>319</v>
      </c>
      <c r="B320" s="8" t="s">
        <v>224</v>
      </c>
      <c r="C320" s="6" t="s">
        <v>1816</v>
      </c>
      <c r="D320" s="7" t="s">
        <v>9752</v>
      </c>
      <c r="E320" s="6" t="s">
        <v>1251</v>
      </c>
      <c r="F320" s="6" t="s">
        <v>1463</v>
      </c>
      <c r="G320" s="1"/>
      <c r="J320" s="1" t="s">
        <v>9753</v>
      </c>
      <c r="K320" s="2" t="s">
        <v>7581</v>
      </c>
      <c r="L320" s="4" t="s">
        <v>8226</v>
      </c>
      <c r="P320" s="7" t="s">
        <v>1241</v>
      </c>
      <c r="Q320" s="14" t="str">
        <f>INDEX($L:$L, MATCH("compete", $B:$B, 0))</f>
        <v>&lt;span class="w"&gt;&lt;b&gt;【428.compete：競う, 匹敵する】&lt;/b&gt;&lt;/span&gt;
&lt;span class="ml"&gt;ラテン語に由来する語で、以下の2つの要素から成る。
&lt;span class="spacer"&gt;&lt;/span&gt;com（共に）
petere（求める, 目指す）
&lt;span class="spacer"&gt;&lt;/span&gt;このまま日本語にすると「共に求める」となる。同じ目標を持つ人同士が争うことから「競う」という意味になる。また競い合えるということは、両者は同じレベルなので「匹敵する」という意味にもなる。&lt;/span&gt;</v>
      </c>
      <c r="R320" s="14" t="str">
        <f>INDEX($L:$L, MATCH("appetite", $B:$B, 0))</f>
        <v>&lt;span class="w"&gt;&lt;b&gt;【1242.appetite：食欲, 欲求】&lt;/b&gt;&lt;/span&gt;
&lt;span class="ml"&gt;ラテン語に由来する語で、以下の2つの要素から成る。
&lt;span class="spacer"&gt;&lt;/span&gt;ad（〜へ）
petere（求める）
&lt;span class="spacer"&gt;&lt;/span&gt;この語の核は「何かへ向かって求める」。この語の根本にあるのは対象に向かう「欲求」。特にその中でも食べ物を求める「食欲」という意味で使われるようになった。
&lt;div class="sample_image appetite"&gt;&lt;/div&gt;&lt;/span&gt;</v>
      </c>
      <c r="S320" s="13" t="str">
        <f>INDEX($L:$L, MATCH("competent", $B:$B, 0))</f>
        <v>&lt;span class="w"&gt;&lt;b&gt;【1280.competent：有能な, 適任の】&lt;/b&gt;&lt;/span&gt;
&lt;span class="ml"&gt;ラテン語に由来する語で、以下の2つの要素から成る。
&lt;span class="spacer"&gt;&lt;/span&gt;com（共に）
petere（求める, 向かう）
&lt;span class="spacer"&gt;&lt;/span&gt;このまま日本語にすると「共に求める」となる。これは、仕事などで求められている基準と、その人の持つ能力がピタリと一致するイメージ。そこから要件を十分に満たしている状態を表して「適任の, 有能な」という意味になる。
&lt;div class="sample_image competent"&gt;&lt;/div&gt;&lt;/span&gt;</v>
      </c>
      <c r="AU320" s="15"/>
      <c r="AV320" s="1" t="s">
        <v>1502</v>
      </c>
      <c r="BG320" s="7" t="s">
        <v>1503</v>
      </c>
      <c r="BH320" s="1" t="s">
        <v>2780</v>
      </c>
      <c r="BI320" s="2" t="s">
        <v>2961</v>
      </c>
      <c r="BJ320" s="1" t="s">
        <v>2031</v>
      </c>
      <c r="BK320" s="2" t="s">
        <v>2962</v>
      </c>
      <c r="BL320" s="1" t="s">
        <v>2044</v>
      </c>
      <c r="BM320" s="2" t="s">
        <v>2963</v>
      </c>
      <c r="BN320" s="1" t="s">
        <v>1865</v>
      </c>
      <c r="BO320" s="2" t="s">
        <v>2964</v>
      </c>
    </row>
    <row r="321" spans="1:71" ht="234" x14ac:dyDescent="0.45">
      <c r="A321" s="5">
        <v>320</v>
      </c>
      <c r="B321" s="8" t="s">
        <v>1483</v>
      </c>
      <c r="C321" s="6" t="s">
        <v>1816</v>
      </c>
      <c r="D321" s="7" t="s">
        <v>9752</v>
      </c>
      <c r="E321" s="1" t="s">
        <v>46</v>
      </c>
      <c r="F321" s="1" t="s">
        <v>8929</v>
      </c>
      <c r="G321" s="1" t="s">
        <v>5123</v>
      </c>
      <c r="J321" s="1" t="s">
        <v>9753</v>
      </c>
      <c r="K321" s="2" t="s">
        <v>7582</v>
      </c>
      <c r="L321" s="3" t="s">
        <v>9699</v>
      </c>
      <c r="M321" s="1" t="s">
        <v>12180</v>
      </c>
      <c r="P321" s="7" t="s">
        <v>1241</v>
      </c>
      <c r="Q321" s="14" t="str">
        <f>INDEX($L:$L, MATCH("assume", $B:$B, 0))</f>
        <v>&lt;span class="w"&gt;&lt;b&gt;【236.assume：〜を当然のことと思う, 仮定する, （権利を）自分のものとする, を引き受ける】&lt;/b&gt;&lt;/span&gt;
&lt;span class="ml"&gt;ラテン語に由来する語で、以下の3つの要素から成る。
&lt;span class="spacer"&gt;&lt;/span&gt;ad（～へ）
sub（下に）
emere（取る）
&lt;span class="spacer"&gt;&lt;/span&gt;このまま日本語にすると「〜へ手を伸ばして取って下におく」となる。手を伸ばして取って自分のものにするイメージから、「（権利を）自分のものとする, 何かを引き受ける」となる。
&lt;span class="spacer"&gt;&lt;/span&gt;さらに議論においてある事柄を取って下に置くイメージから、「当然の前提とする」＝「仮定する, 当然のことと思う」という意味になる。
&lt;div class="sample_image assume"&gt;&lt;/div&gt;&lt;/span&gt;</v>
      </c>
      <c r="R321" s="13" t="str">
        <f>INDEX($L:$L, MATCH("prompt", $B:$B, 0))</f>
        <v>&lt;span class="w"&gt;&lt;b&gt;【981.prompt：迅速な】&lt;/b&gt;&lt;/span&gt;
&lt;span class="ml"&gt;ラテン語に由来する語で、以下の2つの要素から成る。
&lt;span class="spacer"&gt;&lt;/span&gt;pro（前に）
emere（取る）
&lt;span class="spacer"&gt;&lt;/span&gt;このまま日本語にすると「前に取り出す」となる。目の前に取り出してあってすぐに使える状態というところから、すぐ対応できる＝「迅速な」という意味になった。
&lt;div class="sample_image prompt"&gt;&lt;/div&gt;&lt;/span&gt;</v>
      </c>
      <c r="AU321" s="15"/>
      <c r="AV321" s="1" t="s">
        <v>1502</v>
      </c>
      <c r="BG321" s="7" t="s">
        <v>1503</v>
      </c>
      <c r="BH321" s="1" t="s">
        <v>2780</v>
      </c>
      <c r="BI321" s="2" t="s">
        <v>7583</v>
      </c>
      <c r="BJ321" s="1" t="s">
        <v>2031</v>
      </c>
      <c r="BK321" s="2" t="s">
        <v>2965</v>
      </c>
      <c r="BL321" s="1" t="s">
        <v>2044</v>
      </c>
      <c r="BM321" s="2" t="s">
        <v>2966</v>
      </c>
    </row>
    <row r="322" spans="1:71" ht="144" x14ac:dyDescent="0.45">
      <c r="A322" s="5">
        <v>321</v>
      </c>
      <c r="B322" s="8" t="s">
        <v>1484</v>
      </c>
      <c r="C322" s="6" t="s">
        <v>1816</v>
      </c>
      <c r="D322" s="7" t="s">
        <v>9752</v>
      </c>
      <c r="E322" s="1" t="s">
        <v>46</v>
      </c>
      <c r="F322" s="1" t="s">
        <v>1462</v>
      </c>
      <c r="G322" s="1"/>
      <c r="J322" s="1" t="s">
        <v>9753</v>
      </c>
      <c r="K322" s="2" t="s">
        <v>7700</v>
      </c>
      <c r="L322" s="3" t="s">
        <v>8227</v>
      </c>
      <c r="P322" s="7" t="s">
        <v>1241</v>
      </c>
      <c r="Q322" s="22" t="str">
        <f>INDEX($L:$L, MATCH("refuse", $B:$B, 0))</f>
        <v>&lt;span class="w"&gt;&lt;b&gt;【317.refuse：〜を拒む, 〜を拒絶する】&lt;/b&gt;&lt;/span&gt;
&lt;span class="ml"&gt;ラテン語に由来する語で、以下の2つの要素から成る。
&lt;span class="spacer"&gt;&lt;/span&gt;re（後ろに, 逆に）
fundere（注ぐ）
&lt;span class="spacer"&gt;&lt;/span&gt;このまま日本語にすると「後ろに注ぐ, 逆に注ぐ」となる。こちらに流れてくるものを相手方向に流し返すイメージから、相手から来る要求や依頼などを跳ね返す＝「拒む, 拒絶する」という意味になる。
&lt;div class="sample_image refuse"&gt;&lt;/div&gt;&lt;/span&gt;</v>
      </c>
      <c r="R322" s="15"/>
      <c r="S322" s="15"/>
      <c r="T322" s="15"/>
      <c r="U322" s="15"/>
      <c r="V322" s="15"/>
      <c r="AU322" s="15"/>
      <c r="AV322" s="1" t="s">
        <v>1502</v>
      </c>
      <c r="BG322" s="7" t="s">
        <v>1503</v>
      </c>
      <c r="BH322" s="1" t="s">
        <v>2780</v>
      </c>
      <c r="BI322" s="2" t="s">
        <v>2967</v>
      </c>
      <c r="BJ322" s="1" t="s">
        <v>2031</v>
      </c>
      <c r="BK322" s="2" t="s">
        <v>2968</v>
      </c>
      <c r="BL322" s="1" t="s">
        <v>2044</v>
      </c>
      <c r="BM322" s="2" t="s">
        <v>2969</v>
      </c>
      <c r="BN322" s="1" t="s">
        <v>1865</v>
      </c>
      <c r="BO322" s="2" t="s">
        <v>2970</v>
      </c>
    </row>
    <row r="323" spans="1:71" ht="270" x14ac:dyDescent="0.45">
      <c r="A323" s="5">
        <v>322</v>
      </c>
      <c r="B323" s="8" t="s">
        <v>1485</v>
      </c>
      <c r="C323" s="6" t="s">
        <v>1816</v>
      </c>
      <c r="D323" s="7" t="s">
        <v>9752</v>
      </c>
      <c r="E323" s="1" t="s">
        <v>1833</v>
      </c>
      <c r="F323" s="1" t="s">
        <v>1668</v>
      </c>
      <c r="G323" s="1"/>
      <c r="J323" s="1" t="s">
        <v>9753</v>
      </c>
      <c r="K323" s="2" t="s">
        <v>7584</v>
      </c>
      <c r="L323" s="4" t="s">
        <v>8228</v>
      </c>
      <c r="M323" s="1" t="s">
        <v>12194</v>
      </c>
      <c r="P323" s="7" t="s">
        <v>1241</v>
      </c>
      <c r="Q323" s="14" t="str">
        <f>INDEX($L:$L, MATCH("neglect", $B:$B, 0))</f>
        <v>&lt;span class="w"&gt;&lt;b&gt;【733.neglect：〜を無視する, 〜をおろそかにする】&lt;/b&gt;&lt;/span&gt;
&lt;span class="ml"&gt;ラテン語に由来する語で、以下の2つの要素から成る。
&lt;span class="spacer"&gt;&lt;/span&gt;nec（ない）
legere（拾い上げる, 選ぶ）
&lt;span class="spacer"&gt;&lt;/span&gt;このまま日本語にすると「拾い上げない」となる。これは、拾い上げないでそのまま放置することから、何かを「おろそかにする」という意味になる。また拾わないということが、注意を払わない、軽視するといった心理的な態度を表すようになり、「無視する」という意味にもなった。&lt;/span&gt;</v>
      </c>
      <c r="R323" s="14" t="str">
        <f>INDEX($L:$L, MATCH("elect", $B:$B, 0))</f>
        <v>&lt;span class="w"&gt;&lt;b&gt;【1137.elect：〜を選出する】&lt;/b&gt;&lt;/span&gt;
&lt;span class="ml"&gt;ラテン語に由来する語で、以下の2つの要素から成る。
&lt;span class="spacer"&gt;&lt;/span&gt;ex（外に）
legere（選ぶ）
&lt;span class="spacer"&gt;&lt;/span&gt;このまま日本語にすると「選んで外に」となる。複数の選択肢から選び出すことから、「（ある役職や地位などに）選出する」という意味になる。&lt;/span&gt;</v>
      </c>
      <c r="S323" s="14" t="str">
        <f>INDEX($L:$L, MATCH("collective", $B:$B, 0))</f>
        <v>&lt;span class="w"&gt;&lt;b&gt;【895.collective：集団の, 共同の】&lt;/b&gt;&lt;/span&gt;
&lt;span class="ml"&gt;ラテン語に由来する語で、以下の2つの要素から成る。
&lt;span class="spacer"&gt;&lt;/span&gt;com（共に）
legere（集める）
ivus（形容詞化）
&lt;span class="spacer"&gt;&lt;/span&gt;このまま日本語にすると「共に集まった」、つまり「集合の, 集団な」という意味になる。これはcollect（集める）の形容詞として覚えればよい。&lt;/span&gt;</v>
      </c>
      <c r="T323" s="14" t="str">
        <f>INDEX($L:$L, MATCH("elite", $B:$B, 0))</f>
        <v>&lt;span class="w"&gt;&lt;b&gt;【746.elite：（the eliteで）エリート（集合名詞）】&lt;/b&gt;&lt;/span&gt;
&lt;span class="ml"&gt;ラテン語に由来する語で、以下の2つの要素から成る。
&lt;span class="spacer"&gt;&lt;/span&gt;ex（外に）
legere（選ぶ）
&lt;span class="spacer"&gt;&lt;/span&gt;この語の核は「外に選び出す」。ここから選び出された人たち、つまり「エリート」という意味になった。&lt;/span&gt;</v>
      </c>
      <c r="U323" s="14" t="str">
        <f>INDEX($L:$L, MATCH("lecture", $B:$B, 0))</f>
        <v>&lt;span class="w"&gt;&lt;b&gt;【368.lecture：講義, 講演, 説教】&lt;/b&gt;&lt;/span&gt;
&lt;span class="ml"&gt;ラテン語に由来する語で、以下の2つの要素から成る。
&lt;span class="spacer"&gt;&lt;/span&gt;legere（集める, 選び取る, 言葉を選び取る, 読む）
ura（名詞化）
&lt;span class="spacer"&gt;&lt;/span&gt;もともとは、書物から特定の言葉を選び出して読み上げることを意味した。本が貴重だった時代は、教師がテキストを読み上げるのが授業の基本スタイルだったことから、「講義, 講演」という意味になる。
&lt;span class="spacer"&gt;&lt;/span&gt;また相手に何かを言い聞かせるということから「説教」という意味になる。&lt;/span&gt;</v>
      </c>
      <c r="V323" s="14" t="str">
        <f>INDEX($L:$L, MATCH("intelligent", $B:$B, 0))</f>
        <v>&lt;span class="w"&gt;&lt;b&gt;【379.intelligent：聡明な, 知能が高い】&lt;/b&gt;&lt;/span&gt;
&lt;span class="ml"&gt;ラテン語に由来する語で、以下の2つの要素から成る。
&lt;span class="spacer"&gt;&lt;/span&gt;inter（～の間に）
legere（集める, 選ぶ）
&lt;span class="spacer"&gt;&lt;/span&gt;これは、さまざまな物事や情報「の間に」ある違いを見極めて「選ぶ」能力があるということを表す。ここから「知能の高い, 聡明な」という意味になる。
&lt;span class="spacer"&gt;&lt;/span&gt;AI（人工知能）は、Artificial（人工的な）Inteligence（知能）の略。inteligence（知能）の形容詞がintelligent（知能が高い）。&lt;/span&gt;</v>
      </c>
      <c r="W323" s="13" t="str">
        <f>INDEX($L:$L, MATCH("colleague", $B:$B, 0))</f>
        <v>&lt;span class="w"&gt;&lt;b&gt;【246.colleague：同僚】&lt;/b&gt;&lt;/span&gt;
&lt;span class="ml"&gt;ラテン語に由来する語で、以下の2つの要素から成る。
&lt;span class="spacer"&gt;&lt;/span&gt;com（共に）
legare（任命して派遣する）
&lt;span class="spacer"&gt;&lt;/span&gt;これは「同じ職務に就くために共に派遣された者」から「同僚」という意味になる。&lt;/span&gt;</v>
      </c>
      <c r="X323" s="13" t="str">
        <f>INDEX($L:$L, MATCH("dialect", $B:$B, 0))</f>
        <v>&lt;span class="w"&gt;&lt;b&gt;【463.dialect：方言】&lt;/b&gt;&lt;/span&gt;
&lt;span class="ml"&gt;ギリシャ語に由来する語で、以下の2つの要素から成る。
&lt;span class="spacer"&gt;&lt;/span&gt;dia（間で）
legein（話す）
&lt;span class="spacer"&gt;&lt;/span&gt;このまま日本語にすると「間で話す」となる。もともとは、人々の間で言葉を交わすこと、つまり会話を意味していた。
&lt;span class="spacer"&gt;&lt;/span&gt;古代ギリシャは、一つの国家ではなく、独立した多数の都市国家（ポリス）が基本単位であり、地域ごとに話し方が異なっていた。このような言葉遣いの違いを指してdialektosが使われるようになり、そこから「方言」という意味になった。&lt;/span&gt;</v>
      </c>
      <c r="AU323" s="15"/>
      <c r="AV323" s="1" t="s">
        <v>1502</v>
      </c>
      <c r="BG323" s="7" t="s">
        <v>1503</v>
      </c>
      <c r="BH323" s="1" t="s">
        <v>2780</v>
      </c>
      <c r="BI323" s="2" t="s">
        <v>2971</v>
      </c>
      <c r="BJ323" s="1" t="s">
        <v>1865</v>
      </c>
      <c r="BK323" s="2" t="s">
        <v>2972</v>
      </c>
    </row>
    <row r="324" spans="1:71" ht="162" x14ac:dyDescent="0.45">
      <c r="A324" s="5">
        <v>323</v>
      </c>
      <c r="B324" s="8" t="s">
        <v>1486</v>
      </c>
      <c r="C324" s="6" t="s">
        <v>1816</v>
      </c>
      <c r="D324" s="7" t="s">
        <v>9752</v>
      </c>
      <c r="E324" s="1" t="s">
        <v>1454</v>
      </c>
      <c r="F324" s="1" t="s">
        <v>8847</v>
      </c>
      <c r="G324" s="1"/>
      <c r="J324" s="1" t="s">
        <v>9753</v>
      </c>
      <c r="K324" s="2" t="s">
        <v>7585</v>
      </c>
      <c r="L324" s="3" t="s">
        <v>8229</v>
      </c>
      <c r="M324" s="1" t="s">
        <v>12120</v>
      </c>
      <c r="P324" s="7" t="s">
        <v>1241</v>
      </c>
      <c r="Q324" s="14" t="str">
        <f>INDEX($L:$L, MATCH("involve", $B:$B, 0))</f>
        <v>&lt;span class="w"&gt;&lt;b&gt;【19.involve：～を関与させる】&lt;/b&gt;&lt;/span&gt;
&lt;span class="ml"&gt;ラテン語に由来する語で、以下の2つの要素から成る。
&lt;span class="spacer"&gt;&lt;/span&gt;in（中に）
volvere（巻く, 回す, 転がす）
&lt;span class="spacer"&gt;&lt;/span&gt;このまま日本語にすると「中に巻く」となる。ある事柄に巻き込んでいくイメージから「関与させる」という意味になる。
&lt;span class="spacer"&gt;&lt;/span&gt;involveは関与「させる」という意味なので、受け身のbe involved in ~で関与「している」となる。
&lt;div class="sample_image involve"&gt;&lt;/div&gt;&lt;/span&gt;</v>
      </c>
      <c r="R324" s="13" t="str">
        <f>INDEX($L:$L, MATCH("revolution", $B:$B, 0))</f>
        <v>&lt;span class="w"&gt;&lt;b&gt;【277.revolution：革命, 回転, 公転】&lt;/b&gt;&lt;/span&gt;
&lt;span class="ml"&gt;ラテン語に由来する語で、以下の3つの要素から成る。
&lt;span class="spacer"&gt;&lt;/span&gt;re（再び）
volvere（巻く, 回す, 転がす）
io（名詞化）
&lt;span class="spacer"&gt;&lt;/span&gt;このまま日本語にすると「再び回すこと」となる。繰り返し回転することから、天体の「公転」という意味になる。また天体にかかわらず一般的な「回転」、さらに社会がガラッとひっくり返る「革命」という意味にもなる。
&lt;div class="sample_image revolution"&gt;&lt;/div&gt;&lt;/span&gt;</v>
      </c>
      <c r="AU324" s="15"/>
      <c r="AV324" s="1" t="s">
        <v>1502</v>
      </c>
      <c r="BG324" s="7" t="s">
        <v>1503</v>
      </c>
      <c r="BH324" s="1" t="s">
        <v>2780</v>
      </c>
      <c r="BI324" s="2" t="s">
        <v>7586</v>
      </c>
      <c r="BJ324" s="1" t="s">
        <v>1865</v>
      </c>
      <c r="BK324" s="2" t="s">
        <v>2973</v>
      </c>
    </row>
    <row r="325" spans="1:71" ht="288" x14ac:dyDescent="0.45">
      <c r="A325" s="5">
        <v>324</v>
      </c>
      <c r="B325" s="8" t="s">
        <v>225</v>
      </c>
      <c r="C325" s="6" t="s">
        <v>1816</v>
      </c>
      <c r="D325" s="7" t="s">
        <v>9752</v>
      </c>
      <c r="E325" s="1" t="s">
        <v>46</v>
      </c>
      <c r="F325" s="1" t="s">
        <v>1464</v>
      </c>
      <c r="G325" s="1"/>
      <c r="J325" s="1" t="s">
        <v>9753</v>
      </c>
      <c r="K325" s="2" t="s">
        <v>7587</v>
      </c>
      <c r="L325" s="3" t="s">
        <v>8230</v>
      </c>
      <c r="P325" s="7" t="s">
        <v>1241</v>
      </c>
      <c r="Q325" s="14" t="str">
        <f>INDEX($L:$L, MATCH("province", $B:$B, 0))</f>
        <v>&lt;span class="w"&gt;&lt;b&gt;【1160.province：州, 省, （provinces）地方, 分野】&lt;/b&gt;&lt;/span&gt;
&lt;span class="ml"&gt;ラテン語provincia（ローマ帝国の支配下にあるイタリア国外の領土, 公職, 公務）に由来する。
&lt;span class="spacer"&gt;&lt;/span&gt;vince部分は、victory（勝利）やconvince（納得させる, 確信させる）の語源であるvincere（征服する）に由来すると考えられている。
&lt;span class="spacer"&gt;&lt;/span&gt;もともとは、ローマ帝国の支配下にあるイタリア国外の領土＝征服地を表した。イタリア半島以外の征服された広大な領土はprovinciaと呼ばれ、ローマ本国から派遣された役人によって統治・管轄されていたことから、現在の国の一つの区画である「〜州, 〜省」という意味になった。さらに管轄する区域から比喩的に、担当や専門などの「分野」という意味になった。
&lt;span class="spacer"&gt;&lt;/span&gt;さらに、もともとがイタリア半島というメインとなる場所の外にある征服地だったことから、首都や大都市に対する「地方」という意味になった。
&lt;div class="sample_image province"&gt;&lt;/div&gt;&lt;/span&gt;</v>
      </c>
      <c r="R325" s="15"/>
      <c r="AU325" s="15"/>
      <c r="AV325" s="1" t="s">
        <v>1502</v>
      </c>
      <c r="BG325" s="7" t="s">
        <v>1503</v>
      </c>
      <c r="BH325" s="1" t="s">
        <v>2780</v>
      </c>
      <c r="BI325" s="2" t="s">
        <v>2974</v>
      </c>
      <c r="BJ325" s="1" t="s">
        <v>1865</v>
      </c>
      <c r="BK325" s="2" t="s">
        <v>2975</v>
      </c>
    </row>
    <row r="326" spans="1:71" ht="108" x14ac:dyDescent="0.45">
      <c r="A326" s="5">
        <v>325</v>
      </c>
      <c r="B326" s="8" t="s">
        <v>226</v>
      </c>
      <c r="C326" s="6" t="s">
        <v>1816</v>
      </c>
      <c r="D326" s="7" t="s">
        <v>9752</v>
      </c>
      <c r="E326" s="1" t="s">
        <v>1251</v>
      </c>
      <c r="F326" s="1" t="s">
        <v>1465</v>
      </c>
      <c r="G326" s="1"/>
      <c r="J326" s="1" t="s">
        <v>9753</v>
      </c>
      <c r="K326" s="2" t="s">
        <v>7588</v>
      </c>
      <c r="L326" s="9" t="s">
        <v>8231</v>
      </c>
      <c r="P326" s="7" t="s">
        <v>1241</v>
      </c>
      <c r="AU326" s="15"/>
      <c r="AV326" s="1" t="s">
        <v>1502</v>
      </c>
      <c r="BG326" s="7" t="s">
        <v>1503</v>
      </c>
      <c r="BH326" s="1" t="s">
        <v>1865</v>
      </c>
      <c r="BI326" s="2" t="s">
        <v>2976</v>
      </c>
    </row>
    <row r="327" spans="1:71" ht="180" x14ac:dyDescent="0.45">
      <c r="A327" s="5">
        <v>326</v>
      </c>
      <c r="B327" s="8" t="s">
        <v>1487</v>
      </c>
      <c r="C327" s="6" t="s">
        <v>1816</v>
      </c>
      <c r="D327" s="7" t="s">
        <v>9752</v>
      </c>
      <c r="E327" s="1" t="s">
        <v>1327</v>
      </c>
      <c r="F327" s="1" t="s">
        <v>8930</v>
      </c>
      <c r="G327" s="1"/>
      <c r="J327" s="1" t="s">
        <v>9753</v>
      </c>
      <c r="K327" s="2" t="s">
        <v>7589</v>
      </c>
      <c r="L327" s="4" t="s">
        <v>8232</v>
      </c>
      <c r="M327" s="1" t="s">
        <v>12162</v>
      </c>
      <c r="P327" s="7" t="s">
        <v>1241</v>
      </c>
      <c r="Q327" s="14" t="str">
        <f>INDEX($L:$L, MATCH("structure", $B:$B, 0))</f>
        <v>&lt;span class="w"&gt;&lt;b&gt;【175.structure：構造, 体系, 構造物】&lt;/b&gt;&lt;/span&gt;
&lt;span class="ml"&gt;ラテン語に由来する語で、以下の2つの要素から成る。
&lt;span class="spacer"&gt;&lt;/span&gt;struere（積み上げる）の過去分詞structus
ura（名詞化）
&lt;span class="spacer"&gt;&lt;/span&gt;このまま日本語にすると「積み上げられたもの」となる。ここから「構造物, 構造, 体系」といった意味になる。
&lt;div class="sample_image structure"&gt;&lt;/div&gt;&lt;/span&gt;</v>
      </c>
      <c r="R327" s="14" t="str">
        <f>INDEX($L:$L, MATCH("infrastructure", $B:$B, 0))</f>
        <v>&lt;span class="w"&gt;&lt;b&gt;【1046.infrastructure：インフラ, 基本的施設, 基盤】&lt;/b&gt;&lt;/span&gt;
&lt;span class="ml"&gt;フランス語に由来する語で、以下の2つの要素から成る。
&lt;span class="spacer"&gt;&lt;/span&gt;infra（下の）
structure（構造）
&lt;span class="spacer"&gt;&lt;/span&gt;このまま日本語にすると「下にある構造」となる。そこから物事の支えとなる「基盤」や、社会や経済に必要な「基本的施設」という意味になった。これらを「インフラ」と呼ぶ。&lt;/span&gt;</v>
      </c>
      <c r="S327" s="14" t="str">
        <f>INDEX($L:$L, MATCH("construct", $B:$B, 0))</f>
        <v>&lt;span class="w"&gt;&lt;b&gt;【520.construct：〜を建設する, 〜を構成する】&lt;/b&gt;&lt;/span&gt;
&lt;span class="ml"&gt;ラテン語に由来する語で、以下の2つの要素から成る。
&lt;span class="spacer"&gt;&lt;/span&gt;com（共に）
struere（積み上げる）
&lt;span class="spacer"&gt;&lt;/span&gt;このまま日本語にすると「共に積み上げる」となる。パーツを一緒にして積み上げるイメージから「建設する, 構成する」という意味になる。
&lt;div class="sample_image construct"&gt;&lt;/div&gt;&lt;/span&gt;</v>
      </c>
      <c r="T327" s="14" t="str">
        <f>INDEX($L:$L, MATCH("instruction", $B:$B, 0))</f>
        <v>&lt;span class="w"&gt;&lt;b&gt;【442.instruction：指示, 使用書】&lt;/b&gt;&lt;/span&gt;
&lt;span class="ml"&gt;ラテン語に由来する語で、以下の2つの要素から成る。
&lt;span class="spacer"&gt;&lt;/span&gt;in（中に）
struere（積み上げる）
&lt;span class="spacer"&gt;&lt;/span&gt;このまま日本語にすると「中に積み上げる」となる。これは、相手の中に知識や方法を積み上げていくイメージ。そこから、何かをするための知識や手順を与えることを表し、「指示, 使用書」という意味になる。&lt;/span&gt;</v>
      </c>
      <c r="U327" s="13" t="str">
        <f>INDEX($L:$L, MATCH("instrument", $B:$B, 0))</f>
        <v>&lt;span class="w"&gt;&lt;b&gt;【449.instrument：器具, 道具,  楽器】&lt;/b&gt;&lt;/span&gt;
&lt;span class="ml"&gt;ラテン語に由来する語で、以下の3つの要素から成る。
&lt;span class="spacer"&gt;&lt;/span&gt;in（中に）
struere（積み上げる）
mentum（名詞化）
&lt;span class="spacer"&gt;&lt;/span&gt;このまま日本語にすると「中に積み上げるもの」となる。これは、何かを秩序立てて築き上げるための手段というイメージ。そこから、何かを作り上げる・目的を達成するため手段＝「器具, 道具」という意味になり、音楽を作り上げるためのものなら「楽器」という意味になる。
&lt;div class="sample_image instrument"&gt;&lt;/div&gt;&lt;/span&gt;</v>
      </c>
      <c r="V327" s="13" t="str">
        <f>INDEX($L:$L, MATCH("industry", $B:$B, 0))</f>
        <v>&lt;span class="w"&gt;&lt;b&gt;【143.industry：産業, 勤勉】&lt;/b&gt;&lt;/span&gt;
&lt;span class="ml"&gt;ラテン語に由来する語で、以下の2つの要素から成る。
&lt;span class="spacer"&gt;&lt;/span&gt;indu（中に）
struere（積み上げる, 築く）
&lt;span class="spacer"&gt;&lt;/span&gt;このまま日本語にすると「中に積み上げる」となる。コツコツと努力して積み上げていくイメージから「勤勉」という意味になる。そして「勤勉」から勤勉な労働、仕事、仕事の分野と広がっていき、「産業」という意味になる。&lt;/span&gt;</v>
      </c>
      <c r="AU327" s="15"/>
      <c r="AV327" s="1" t="s">
        <v>1502</v>
      </c>
      <c r="BG327" s="7" t="s">
        <v>1503</v>
      </c>
      <c r="BH327" s="1" t="s">
        <v>2780</v>
      </c>
      <c r="BI327" s="2" t="s">
        <v>2977</v>
      </c>
      <c r="BJ327" s="1" t="s">
        <v>2048</v>
      </c>
      <c r="BK327" s="2" t="s">
        <v>2978</v>
      </c>
      <c r="BL327" s="1" t="s">
        <v>2031</v>
      </c>
      <c r="BM327" s="2" t="s">
        <v>2979</v>
      </c>
      <c r="BN327" s="1" t="s">
        <v>2044</v>
      </c>
      <c r="BO327" s="2" t="s">
        <v>2980</v>
      </c>
    </row>
    <row r="328" spans="1:71" ht="180" x14ac:dyDescent="0.45">
      <c r="A328" s="5">
        <v>327</v>
      </c>
      <c r="B328" s="8" t="s">
        <v>1488</v>
      </c>
      <c r="C328" s="6" t="s">
        <v>1816</v>
      </c>
      <c r="D328" s="7" t="s">
        <v>9752</v>
      </c>
      <c r="E328" s="1" t="s">
        <v>1338</v>
      </c>
      <c r="F328" s="1" t="s">
        <v>1398</v>
      </c>
      <c r="G328" s="1"/>
      <c r="J328" s="1" t="s">
        <v>9753</v>
      </c>
      <c r="K328" s="2" t="s">
        <v>7590</v>
      </c>
      <c r="L328" s="3" t="s">
        <v>8233</v>
      </c>
      <c r="M328" s="1" t="s">
        <v>12176</v>
      </c>
      <c r="P328" s="7" t="s">
        <v>1241</v>
      </c>
      <c r="Q328" s="14" t="str">
        <f>INDEX($L:$L, MATCH("observe", $B:$B, 0))</f>
        <v>&lt;span class="w"&gt;&lt;b&gt;【218.observe：～に気づく, ～を観察する, ～を遵守する】&lt;/b&gt;&lt;/span&gt;
&lt;span class="ml"&gt;ラテン語に由来する語で、以下の2つの要素から成る。
&lt;span class="spacer"&gt;&lt;/span&gt;ob（～に対して）
servare（守る）
&lt;span class="spacer"&gt;&lt;/span&gt;このまま日本語にすると「～に対して守る」となる。守るために警戒し、注意深く見るイメージから「観察する」、そしてその結果「気づく」という意味になる。またルールを注意して守るというイメージから「遵守する, 守る」という意味になる。
&lt;div class="sample_image observe"&gt;&lt;/div&gt;&lt;/span&gt;</v>
      </c>
      <c r="R328" s="14" t="str">
        <f>INDEX($L:$L, MATCH("reserve", $B:$B, 0))</f>
        <v>&lt;span class="w"&gt;&lt;b&gt;【617.reserve：〜を予約する, 〜を取っておく】&lt;/b&gt;&lt;/span&gt;
&lt;span class="ml"&gt;ラテン語に由来する語で、以下の2つの要素から成る。
&lt;span class="spacer"&gt;&lt;/span&gt;re（後ろへ）
servare（保つ, 守る）
&lt;span class="spacer"&gt;&lt;/span&gt;このまま日本語にすると「後ろへ保つ」となる。何かを後ろに置いて保っておくイメージから「取っておく, 予約する」という意味になる。
&lt;div class="sample_image reserve"&gt;&lt;/div&gt;&lt;/span&gt;</v>
      </c>
      <c r="S328" s="13" t="str">
        <f>INDEX($L:$L, MATCH("conservation", $B:$B, 0))</f>
        <v>&lt;span class="w"&gt;&lt;b&gt;【666.conservation：保護, 保存】&lt;/b&gt;&lt;/span&gt;
&lt;span class="ml"&gt;ラテン語に由来する語で、以下の2つの要素から成る。
&lt;span class="spacer"&gt;&lt;/span&gt;com（強意）
servare（見守る, 保つ）
&lt;span class="spacer"&gt;&lt;/span&gt;このまま日本語にすると「しっかり保つ」となる。そこから、資源や自然、動物などの減少・損失を防ぐこと、つまり「保護, 保存」という意味になる。&lt;/span&gt;</v>
      </c>
      <c r="AU328" s="15"/>
      <c r="AV328" s="1" t="s">
        <v>1502</v>
      </c>
      <c r="BG328" s="7" t="s">
        <v>1503</v>
      </c>
      <c r="BH328" s="1" t="s">
        <v>2780</v>
      </c>
      <c r="BI328" s="2" t="s">
        <v>2981</v>
      </c>
      <c r="BJ328" s="1" t="s">
        <v>1980</v>
      </c>
      <c r="BK328" s="1" t="s">
        <v>2982</v>
      </c>
      <c r="BL328" s="1" t="s">
        <v>2031</v>
      </c>
      <c r="BM328" s="2" t="s">
        <v>2983</v>
      </c>
      <c r="BN328" s="1" t="s">
        <v>2321</v>
      </c>
      <c r="BO328" s="1" t="s">
        <v>2984</v>
      </c>
      <c r="BP328" s="1" t="s">
        <v>2044</v>
      </c>
      <c r="BQ328" s="2" t="s">
        <v>2985</v>
      </c>
      <c r="BR328" s="1" t="s">
        <v>1865</v>
      </c>
      <c r="BS328" s="2" t="s">
        <v>2986</v>
      </c>
    </row>
    <row r="329" spans="1:71" ht="180" x14ac:dyDescent="0.45">
      <c r="A329" s="5">
        <v>328</v>
      </c>
      <c r="B329" s="8" t="s">
        <v>1489</v>
      </c>
      <c r="C329" s="6" t="s">
        <v>1816</v>
      </c>
      <c r="D329" s="7" t="s">
        <v>9752</v>
      </c>
      <c r="E329" s="1" t="s">
        <v>314</v>
      </c>
      <c r="F329" s="1" t="s">
        <v>1519</v>
      </c>
      <c r="G329" s="1"/>
      <c r="J329" s="1" t="s">
        <v>9753</v>
      </c>
      <c r="K329" s="2" t="s">
        <v>7591</v>
      </c>
      <c r="L329" s="2" t="s">
        <v>8234</v>
      </c>
      <c r="P329" s="7" t="s">
        <v>1241</v>
      </c>
      <c r="Q329" s="14" t="str">
        <f>INDEX($L:$L, MATCH("organ", $B:$B, 0))</f>
        <v>&lt;span class="w"&gt;&lt;b&gt;【474.organ：器官, 臓器, オルガン】&lt;/b&gt;&lt;/span&gt;
&lt;span class="ml"&gt;ギリシャ語organon（何かを行うためのもの, 道具, 感覚器官, 身体器官, 楽器）に由来する。
&lt;span class="spacer"&gt;&lt;/span&gt;この語の核は「全体を機能させるための道具」。ここから生物の体全体を機能させるための「臓器・器官」を意味するようになった。また音楽に関して、音を奏でるための道具である楽器を意味し、14世紀後期までには特に「オルガン」を指す言葉として定着した。&lt;/span&gt;</v>
      </c>
      <c r="R329" s="15"/>
      <c r="S329" s="15"/>
      <c r="T329" s="15"/>
      <c r="U329" s="15"/>
      <c r="AU329" s="15"/>
      <c r="AV329" s="1" t="s">
        <v>1502</v>
      </c>
      <c r="BG329" s="7" t="s">
        <v>1503</v>
      </c>
      <c r="BH329" s="1" t="s">
        <v>2423</v>
      </c>
      <c r="BI329" s="2" t="s">
        <v>2987</v>
      </c>
      <c r="BJ329" s="1" t="s">
        <v>2780</v>
      </c>
      <c r="BK329" s="2" t="s">
        <v>2988</v>
      </c>
      <c r="BL329" s="1" t="s">
        <v>1980</v>
      </c>
      <c r="BM329" s="2" t="s">
        <v>2989</v>
      </c>
      <c r="BN329" s="1" t="s">
        <v>2031</v>
      </c>
      <c r="BO329" s="2" t="s">
        <v>2990</v>
      </c>
      <c r="BP329" s="1" t="s">
        <v>2044</v>
      </c>
      <c r="BQ329" s="2" t="s">
        <v>2991</v>
      </c>
      <c r="BR329" s="1" t="s">
        <v>1865</v>
      </c>
      <c r="BS329" s="2" t="s">
        <v>7592</v>
      </c>
    </row>
    <row r="330" spans="1:71" ht="108" x14ac:dyDescent="0.45">
      <c r="A330" s="5">
        <v>329</v>
      </c>
      <c r="B330" s="8" t="s">
        <v>227</v>
      </c>
      <c r="C330" s="6" t="s">
        <v>1816</v>
      </c>
      <c r="D330" s="7" t="s">
        <v>9752</v>
      </c>
      <c r="E330" s="6" t="s">
        <v>227</v>
      </c>
      <c r="F330" s="1"/>
      <c r="G330" s="1"/>
      <c r="J330" s="1" t="s">
        <v>9753</v>
      </c>
      <c r="K330" s="2"/>
      <c r="L330" s="9" t="s">
        <v>8663</v>
      </c>
      <c r="P330" s="7" t="s">
        <v>1241</v>
      </c>
      <c r="Q330" s="13" t="str">
        <f>INDEX($L:$L, MATCH("guarantee", $B:$B, 0))</f>
        <v>&lt;span class="w"&gt;&lt;b&gt;【703.guarantee：〜を保証する】&lt;/b&gt;&lt;/span&gt;
&lt;span class="ml"&gt;印欧祖語*wer-（覆う）に由来する。
&lt;span class="spacer"&gt;&lt;/span&gt;この語の核は「何かを覆って守る」。そこから、防御者や保護者、保証人という意味を経て、何かを「保証する」という意味になった。&lt;/span&gt;</v>
      </c>
      <c r="AV330" s="1" t="s">
        <v>1502</v>
      </c>
      <c r="BG330" s="7" t="s">
        <v>1503</v>
      </c>
      <c r="BH330" s="1" t="s">
        <v>2569</v>
      </c>
      <c r="BI330" s="1" t="s">
        <v>2992</v>
      </c>
      <c r="BJ330" s="1" t="s">
        <v>2648</v>
      </c>
      <c r="BK330" s="1" t="s">
        <v>7593</v>
      </c>
      <c r="BL330" s="1" t="s">
        <v>2044</v>
      </c>
      <c r="BM330" s="1" t="s">
        <v>2993</v>
      </c>
    </row>
    <row r="331" spans="1:71" ht="216" x14ac:dyDescent="0.45">
      <c r="A331" s="5">
        <v>330</v>
      </c>
      <c r="B331" s="8" t="s">
        <v>1490</v>
      </c>
      <c r="C331" s="6" t="s">
        <v>1816</v>
      </c>
      <c r="D331" s="7" t="s">
        <v>9752</v>
      </c>
      <c r="E331" s="1" t="s">
        <v>1459</v>
      </c>
      <c r="F331" s="1" t="s">
        <v>1819</v>
      </c>
      <c r="G331" s="1" t="s">
        <v>1491</v>
      </c>
      <c r="J331" s="1" t="s">
        <v>9753</v>
      </c>
      <c r="K331" s="2" t="s">
        <v>7594</v>
      </c>
      <c r="L331" s="3" t="s">
        <v>8235</v>
      </c>
      <c r="M331" s="1" t="s">
        <v>12140</v>
      </c>
      <c r="P331" s="7" t="s">
        <v>1241</v>
      </c>
      <c r="Q331" s="14" t="str">
        <f>INDEX($L:$L, MATCH("source", $B:$B, 0))</f>
        <v>&lt;span class="w"&gt;&lt;b&gt;【75.source：源, 情報源】&lt;/b&gt;&lt;/span&gt;
&lt;span class="ml"&gt;ラテン語に由来する語で、以下の2つの要素から成る。
&lt;span class="spacer"&gt;&lt;/span&gt;sub（下から上に）
regere（まっすぐ導く）
&lt;span class="spacer"&gt;&lt;/span&gt;このまま日本語にすると「下から上にまっすぐ導く」となる。これは地下から水が湧き出てくるイメージ。ここから「源, 情報源」という意味になる。&lt;/span&gt;</v>
      </c>
      <c r="R331" s="14" t="str">
        <f>INDEX($L:$L, MATCH("resource", $B:$B, 0))</f>
        <v>&lt;span class="w"&gt;&lt;b&gt;【163.resource：資源, 資金】&lt;/b&gt;&lt;/span&gt;
&lt;span class="ml"&gt;ラテン語に由来する語で、以下の3つの要素から成る。
&lt;span class="spacer"&gt;&lt;/span&gt;re（再び）
sub（下から）
regere（まっすぐ導く）
&lt;span class="spacer"&gt;&lt;/span&gt;このまま日本語にすると「再び下からまっすぐ導く」となる。崩れたものをを再び立て直すことから、困ったときに立ち直らせる源＝「資源, 資金」という意味になる。&lt;/span&gt;</v>
      </c>
      <c r="S331" s="14" t="str">
        <f>INDEX($L:$L, MATCH("region", $B:$B, 0))</f>
        <v>&lt;span class="w"&gt;&lt;b&gt;【164.region：地域, 領域, 部位】&lt;/b&gt;&lt;/span&gt;
&lt;span class="ml"&gt;ラテン語に由来する語で、以下の2つの要素から成る。
&lt;span class="spacer"&gt;&lt;/span&gt;regere（まっすぐ導く, 支配する）
io（名詞化）
&lt;span class="spacer"&gt;&lt;/span&gt;このまま日本語にすると「まっすぐ導くこと, 支配する者」となる。支配者が領土に線を引いて区分けするイメージから「地域, 領域, 部位」という意味になる。
&lt;div class="sample_image region"&gt;&lt;/div&gt;&lt;/span&gt;</v>
      </c>
      <c r="T331" s="14" t="str">
        <f>INDEX($L:$L, MATCH("correct", $B:$B, 0))</f>
        <v>&lt;span class="w"&gt;&lt;b&gt;【99.correct：正しい】&lt;/b&gt;&lt;/span&gt;
&lt;span class="ml"&gt;ラテン語に由来する語で、以下の2つの要素から成る。
&lt;span class="spacer"&gt;&lt;/span&gt;com（強意）
regere（まっすぐ導く）
&lt;span class="spacer"&gt;&lt;/span&gt;このまま日本語にすると「しっかりとまっすぐ導く」となる。間違いにそれることなくまっすぐに正すことから「正しい」という意味になる。&lt;/span&gt;</v>
      </c>
      <c r="U331" s="13" t="str">
        <f>INDEX($L:$L, MATCH("alert", $B:$B, 0))</f>
        <v>&lt;span class="w"&gt;&lt;b&gt;【985.alert：警戒して】&lt;/b&gt;&lt;/span&gt;
&lt;span class="ml"&gt;［ert部分］
ラテン語に由来する語で、以下の2つの要素から成る。
&lt;span class="spacer"&gt;&lt;/span&gt;ex（外に, 上に）
regere（導く）
&lt;span class="spacer"&gt;&lt;/span&gt;［al+ert］
イタリア語に由来する語で、以下の3つの要素から成る。
&lt;span class="spacer"&gt;&lt;/span&gt;a（〜へ）
la（＝the）
erta（高い塔, 見張り台）
&lt;span class="spacer"&gt;&lt;/span&gt;ラテン語の「上に導く（erigere）」から派生した言葉が「高く持ち上げられた場所（erta）」となり、それがイタリア語で「高台」や「見張り台」を表すようになった。そして、兵士に対する「見張り台へ！（all'erta）」という軍事的な呼びかけの言葉が、フランス語を経由して英語に取り入れられ、alert「警戒して」という意味になった。&lt;/span&gt;</v>
      </c>
      <c r="AU331" s="15"/>
      <c r="AV331" s="1" t="s">
        <v>1502</v>
      </c>
      <c r="BG331" s="7" t="s">
        <v>1503</v>
      </c>
      <c r="BH331" s="1" t="s">
        <v>2780</v>
      </c>
      <c r="BI331" s="2" t="s">
        <v>7595</v>
      </c>
      <c r="BJ331" s="1" t="s">
        <v>2048</v>
      </c>
      <c r="BK331" s="2" t="s">
        <v>2994</v>
      </c>
      <c r="BL331" s="1" t="s">
        <v>2031</v>
      </c>
      <c r="BM331" s="2" t="s">
        <v>2995</v>
      </c>
      <c r="BN331" s="1" t="s">
        <v>2044</v>
      </c>
      <c r="BO331" s="2" t="s">
        <v>7596</v>
      </c>
    </row>
    <row r="332" spans="1:71" ht="144" x14ac:dyDescent="0.45">
      <c r="A332" s="5">
        <v>331</v>
      </c>
      <c r="B332" s="8" t="s">
        <v>228</v>
      </c>
      <c r="C332" s="6" t="s">
        <v>1816</v>
      </c>
      <c r="D332" s="7" t="s">
        <v>9752</v>
      </c>
      <c r="E332" s="6" t="s">
        <v>228</v>
      </c>
      <c r="F332" s="1"/>
      <c r="G332" s="1"/>
      <c r="J332" s="1" t="s">
        <v>9753</v>
      </c>
      <c r="K332" s="2" t="s">
        <v>7597</v>
      </c>
      <c r="L332" s="9" t="s">
        <v>8236</v>
      </c>
      <c r="P332" s="7" t="s">
        <v>1241</v>
      </c>
      <c r="Q332" s="14" t="str">
        <f>INDEX($L:$L, MATCH("cooperation", $B:$B, 0))</f>
        <v>&lt;span class="w"&gt;&lt;b&gt;【674.cooperation：協力, 共同】&lt;/b&gt;&lt;/span&gt;
&lt;span class="ml"&gt;ラテン語に由来する語で、以下の3つの要素から成る。
&lt;span class="spacer"&gt;&lt;/span&gt;com（共に）
operari（働く）
io（名詞化）
&lt;span class="spacer"&gt;&lt;/span&gt;このまま日本語にすると「共に働くこと」となる。ひとつの目標に向かって共に働くことから「協力, 共同」という意味になる。&lt;/span&gt;</v>
      </c>
      <c r="R332" s="13" t="str">
        <f>INDEX($L:$L, MATCH("official", $B:$B, 0))</f>
        <v>&lt;span class="w"&gt;&lt;b&gt;【187.official：公用の, 公式の, 役所の】&lt;/b&gt;&lt;/span&gt;
&lt;span class="ml"&gt;ラテン語に由来する語で、以下の3つの要素から成る。
&lt;span class="spacer"&gt;&lt;/span&gt;ops（力, 資源）
facere（作る, 行う）
alis（形容詞化）
&lt;span class="spacer"&gt;&lt;/span&gt;これは「力や資源を使って社会のために行うこと」というイメージ。そこから「社会の中で果たすべき役割・義務」という意味になり、さらに「公的な職務に関わる」という意味を経て「公式の, 公用の, 役所の」という意味になった。
&lt;span class="spacer"&gt;&lt;/span&gt;ops（力, 資源）の使い道が社会的なものだったことから、ops＋facereに由来する語には「社会」や「公的性」との結びつきが見られる。たとえばoffice（職場, 公職, 役所）やofficer（役人, 組織の役員）は、現在では一般的な意味で使われることが多いが、公的な職務に関する意味もある。&lt;/span&gt;</v>
      </c>
      <c r="AU332" s="15"/>
      <c r="AV332" s="1" t="s">
        <v>1502</v>
      </c>
      <c r="BG332" s="7" t="s">
        <v>1503</v>
      </c>
      <c r="BH332" s="1" t="s">
        <v>2780</v>
      </c>
      <c r="BI332" s="2" t="s">
        <v>7598</v>
      </c>
      <c r="BJ332" s="1" t="s">
        <v>2147</v>
      </c>
      <c r="BK332" s="2" t="s">
        <v>2996</v>
      </c>
      <c r="BL332" s="1" t="s">
        <v>1865</v>
      </c>
      <c r="BM332" s="2" t="s">
        <v>2997</v>
      </c>
    </row>
    <row r="333" spans="1:71" ht="270" x14ac:dyDescent="0.45">
      <c r="A333" s="5">
        <v>332</v>
      </c>
      <c r="B333" s="8" t="s">
        <v>1290</v>
      </c>
      <c r="C333" s="6" t="s">
        <v>1816</v>
      </c>
      <c r="D333" s="7" t="s">
        <v>9752</v>
      </c>
      <c r="E333" s="1" t="s">
        <v>5538</v>
      </c>
      <c r="F333" s="1" t="s">
        <v>5007</v>
      </c>
      <c r="G333" s="1"/>
      <c r="J333" s="1" t="s">
        <v>9753</v>
      </c>
      <c r="K333" s="2" t="s">
        <v>7599</v>
      </c>
      <c r="L333" s="2" t="s">
        <v>8237</v>
      </c>
      <c r="M333" s="1" t="s">
        <v>12195</v>
      </c>
      <c r="P333" s="7" t="s">
        <v>1241</v>
      </c>
      <c r="Q333" s="14" t="str">
        <f>INDEX($L:$L, MATCH("anticipate", $B:$B, 0))</f>
        <v>&lt;span class="w"&gt;&lt;b&gt;【923.anticipate：〜を予期する, 期待する】&lt;/b&gt;&lt;/span&gt;
&lt;span class="ml"&gt;ラテン語に由来する語で、以下の2つの要素から成る。
&lt;span class="spacer"&gt;&lt;/span&gt;anti（前に）
capere（取る）
&lt;span class="spacer"&gt;&lt;/span&gt;このまま日本語にすると「前もって取る」となる。何かが起こる前に先取りするイメージから、将来起こることを「予期する」という意味になる。
&lt;div class="sample_image anticipate"&gt;&lt;/div&gt;&lt;/span&gt;</v>
      </c>
      <c r="R333" s="14" t="str">
        <f>INDEX($L:$L, MATCH("principle", $B:$B, 0))</f>
        <v>&lt;span class="w"&gt;&lt;b&gt;【343.principle：原理, 原則, 主義, 信条】&lt;/b&gt;&lt;/span&gt;
&lt;span class="ml"&gt;ラテン語に由来する語で、以下の2つの要素から成る。
&lt;span class="spacer"&gt;&lt;/span&gt;primus（第一の）
capere（取る）
&lt;span class="spacer"&gt;&lt;/span&gt;このまま日本語にすると「第一を取る」となる。1番目のポジションを取ることから、何かが成り立つための土台＝「原理, 原則」や、行動の土台となる「主義, 信条」という意味になる。&lt;/span&gt;</v>
      </c>
      <c r="S333" s="14" t="str">
        <f>INDEX($L:$L, MATCH("principal", $B:$B, 0))</f>
        <v>&lt;span class="w"&gt;&lt;b&gt;【683.principal：主要な】&lt;/b&gt;&lt;/span&gt;
&lt;span class="ml"&gt;ラテン語に由来する語で、以下の3つの要素から成る。
&lt;span class="spacer"&gt;&lt;/span&gt;primus（第一の）
capere（取る）
alis（形容詞化）
&lt;span class="spacer"&gt;&lt;/span&gt;この語の核は「第一の位置を取る」。集団や集合の中における第一の位置とは、最も重要な位置ということ。ここから「主要な」という意味になる。&lt;/span&gt;</v>
      </c>
      <c r="T333" s="14" t="str">
        <f>INDEX($L:$L, MATCH("capacity", $B:$B, 0))</f>
        <v>&lt;span class="w"&gt;&lt;b&gt;【348.capacity：容量, 収容能力】&lt;/b&gt;&lt;/span&gt;
&lt;span class="ml"&gt;ラテン語capere（取る）から派生した名詞capacitas（容量, 多くを収容できる能力）に由来する。
&lt;span class="spacer"&gt;&lt;/span&gt;取ることから、多くを保持できること＝「収容能力, 容量」という意味になる。&lt;/span&gt;</v>
      </c>
      <c r="U333" s="14" t="str">
        <f>INDEX($L:$L, MATCH("capable", $B:$B, 0))</f>
        <v>&lt;span class="w"&gt;&lt;b&gt;【381.capable：能力がある】&lt;/b&gt;&lt;/span&gt;
&lt;span class="ml"&gt;ラテン語に由来する語で、以下の2つの要素から成る。
&lt;span class="spacer"&gt;&lt;/span&gt;capere（つかむ, 取る）
bilis（～できる）
&lt;span class="spacer"&gt;&lt;/span&gt;このまま日本語にすると「つかむことができる」となる。もともとは、物や内容を受け入れることができるという意味で、そこから「受け入れる器がある」というニュアンスが生まれた（→capacity）。さらに受け入れたことを理解して扱えるという意味へと広がり、現在の「能力がある」という意味になった。&lt;/span&gt;</v>
      </c>
      <c r="V333" s="14" t="str">
        <f>INDEX($L:$L, MATCH("capture", $B:$B, 0))</f>
        <v>&lt;span class="w"&gt;&lt;b&gt;【610.capture：〜をとらえる】&lt;/b&gt;&lt;/span&gt;
&lt;span class="ml"&gt;ラテン語capere（取る, つかむ）に由来する。
&lt;span class="spacer"&gt;&lt;/span&gt;この語の核は「対象をつかんで自分のもとに置く」。単に取るだけでなく、逃げられない状態にすることを含む。そこから、人や物を「捕える」という意味になり、さらに比喩的に、注意・感情・映像などをとらえるという意味にも広がった。&lt;/span&gt;</v>
      </c>
      <c r="AU333" s="15"/>
      <c r="AV333" s="1" t="s">
        <v>1502</v>
      </c>
      <c r="BG333" s="7" t="s">
        <v>1503</v>
      </c>
      <c r="BH333" s="1" t="s">
        <v>2780</v>
      </c>
      <c r="BI333" s="2" t="s">
        <v>2998</v>
      </c>
      <c r="BJ333" s="1" t="s">
        <v>1865</v>
      </c>
      <c r="BK333" s="2" t="s">
        <v>2999</v>
      </c>
    </row>
    <row r="334" spans="1:71" ht="108" x14ac:dyDescent="0.45">
      <c r="A334" s="5">
        <v>333</v>
      </c>
      <c r="B334" s="8" t="s">
        <v>229</v>
      </c>
      <c r="C334" s="6" t="s">
        <v>1816</v>
      </c>
      <c r="D334" s="7" t="s">
        <v>9752</v>
      </c>
      <c r="E334" s="1" t="s">
        <v>1341</v>
      </c>
      <c r="F334" s="1" t="s">
        <v>1466</v>
      </c>
      <c r="G334" s="1"/>
      <c r="J334" s="1" t="s">
        <v>9753</v>
      </c>
      <c r="K334" s="2" t="s">
        <v>3000</v>
      </c>
      <c r="L334" s="9" t="s">
        <v>8238</v>
      </c>
      <c r="P334" s="7" t="s">
        <v>1241</v>
      </c>
      <c r="AU334" s="15"/>
      <c r="AV334" s="1" t="s">
        <v>1502</v>
      </c>
      <c r="BG334" s="7" t="s">
        <v>1503</v>
      </c>
      <c r="BH334" s="1" t="s">
        <v>2780</v>
      </c>
      <c r="BI334" s="2" t="s">
        <v>3001</v>
      </c>
      <c r="BJ334" s="1" t="s">
        <v>2031</v>
      </c>
      <c r="BK334" s="1" t="s">
        <v>3002</v>
      </c>
      <c r="BL334" s="1" t="s">
        <v>2754</v>
      </c>
      <c r="BM334" s="1" t="s">
        <v>3003</v>
      </c>
      <c r="BN334" s="1" t="s">
        <v>2044</v>
      </c>
      <c r="BO334" s="2" t="s">
        <v>3004</v>
      </c>
      <c r="BP334" s="1" t="s">
        <v>1865</v>
      </c>
      <c r="BQ334" s="2" t="s">
        <v>3005</v>
      </c>
    </row>
    <row r="335" spans="1:71" ht="54" x14ac:dyDescent="0.45">
      <c r="A335" s="5">
        <v>334</v>
      </c>
      <c r="B335" s="8" t="s">
        <v>230</v>
      </c>
      <c r="C335" s="6" t="s">
        <v>1816</v>
      </c>
      <c r="D335" s="7" t="s">
        <v>9752</v>
      </c>
      <c r="E335" s="6" t="s">
        <v>230</v>
      </c>
      <c r="F335" s="1"/>
      <c r="G335" s="1"/>
      <c r="J335" s="1" t="s">
        <v>9753</v>
      </c>
      <c r="K335" s="2" t="s">
        <v>3006</v>
      </c>
      <c r="L335" s="9" t="s">
        <v>8239</v>
      </c>
      <c r="M335" s="1" t="s">
        <v>12132</v>
      </c>
      <c r="P335" s="7" t="s">
        <v>1241</v>
      </c>
      <c r="Q335" s="13" t="str">
        <f>INDEX($L:$L, MATCH("float", $B:$B, 0))</f>
        <v>&lt;span class="w"&gt;&lt;b&gt;【908.float：漂う, 浮かぶ, 〜を浮かべる】&lt;/b&gt;&lt;/span&gt;
&lt;span class="ml"&gt;古英語flotian（水面に浮かぶ）にさかのぼる。
&lt;span class="spacer"&gt;&lt;/span&gt;fl-で始まる単語は、flow / fly / flee / floodなど、風や水にふわりと乗って動いていくイメージ。ここから「漂う, 浮かぶ, 浮かべる」という意味になる。&lt;/span&gt;</v>
      </c>
      <c r="R335" s="13" t="str">
        <f>INDEX($L:$L, MATCH("flee", $B:$B, 0))</f>
        <v>&lt;span class="w"&gt;&lt;b&gt;【1312.flee：逃げる】&lt;/b&gt;&lt;/span&gt;
&lt;span class="ml"&gt;印欧祖語*pleu-（流れる）にさかのぼる。
&lt;span class="spacer"&gt;&lt;/span&gt;この印欧祖語からはflyやflowも生まれている。この語の核は「流れるような素早い動き」。流れるようにスッと危険や脅威から離れることから「逃げる」という意味になった。&lt;/span&gt;</v>
      </c>
      <c r="S335" s="13" t="str">
        <f>INDEX($L:$L, MATCH("fluent", $B:$B, 0))</f>
        <v>&lt;span class="w"&gt;&lt;b&gt;【988.fluent：流ちょうな】&lt;/b&gt;&lt;/span&gt;
&lt;span class="ml"&gt;ラテン語fluere（流れる, 流れ出る）に由来する。
&lt;span class="spacer"&gt;&lt;/span&gt;もともとは物理的な流れるという意味だったが、そこから水が流れるように言葉が出てくることから「流ちょうな」という意味になった。
&lt;span class="spacer"&gt;&lt;/span&gt;このfl部分の「流れる」というイメージは、fluid（液体）やinfluence（影響）、インフルエンザのfluにも見られる。&lt;/span&gt;</v>
      </c>
      <c r="T335" s="13" t="str">
        <f>INDEX($L:$L, MATCH("influence", $B:$B, 0))</f>
        <v>&lt;span class="w"&gt;&lt;b&gt;【49.influence：影響力】&lt;/b&gt;&lt;/span&gt;
&lt;span class="ml"&gt;ラテン語に由来する語で、以下の2つの要素から成る。
&lt;span class="spacer"&gt;&lt;/span&gt;in（中に）
fluere（流れる）
&lt;span class="spacer"&gt;&lt;/span&gt;このまま日本語にすると「中に流れる」となる。昔は占星術の用語として使われ、星から出る人格や運命に作用する力を意味した。ここから占星術に限定されず、一般的な目に見えない力＝「影響力」という意味になる。&lt;/span&gt;</v>
      </c>
      <c r="U335" s="13" t="str">
        <f>INDEX($L:$L, MATCH("fluid", $B:$B, 0))</f>
        <v>&lt;span class="w"&gt;&lt;b&gt;【1254.fluid：流動体, 液体, 気体】&lt;/b&gt;&lt;/span&gt;
&lt;span class="ml"&gt;ラテン語に由来する語で、以下の2つの要素から成る。
&lt;span class="spacer"&gt;&lt;/span&gt;fluere（流れる）
idus（形容詞化）
&lt;span class="spacer"&gt;&lt;/span&gt;この語の核は「形が定まらず流れるような感じ」。もともとは、流れるような様子を表す形容詞だったが、それが名詞として使われるようになり、流れるもの、すなわち「流動体, 液体, 気体」という意味になった。fluidは現在でも形容詞としても使われる。&lt;/span&gt;</v>
      </c>
      <c r="AV335" s="1" t="s">
        <v>1502</v>
      </c>
      <c r="BG335" s="7" t="s">
        <v>1503</v>
      </c>
      <c r="BH335" s="1" t="s">
        <v>2569</v>
      </c>
      <c r="BI335" s="1" t="s">
        <v>3007</v>
      </c>
      <c r="BJ335" s="1" t="s">
        <v>2648</v>
      </c>
      <c r="BK335" s="1" t="s">
        <v>7600</v>
      </c>
    </row>
    <row r="336" spans="1:71" ht="144" x14ac:dyDescent="0.45">
      <c r="A336" s="5">
        <v>335</v>
      </c>
      <c r="B336" s="8" t="s">
        <v>231</v>
      </c>
      <c r="C336" s="6" t="s">
        <v>1816</v>
      </c>
      <c r="D336" s="7" t="s">
        <v>9752</v>
      </c>
      <c r="E336" s="6" t="s">
        <v>231</v>
      </c>
      <c r="F336" s="1"/>
      <c r="G336" s="1"/>
      <c r="J336" s="1" t="s">
        <v>9753</v>
      </c>
      <c r="K336" s="2" t="s">
        <v>7601</v>
      </c>
      <c r="L336" s="9" t="s">
        <v>8588</v>
      </c>
      <c r="P336" s="7" t="s">
        <v>1241</v>
      </c>
      <c r="AV336" s="1" t="s">
        <v>1502</v>
      </c>
      <c r="BG336" s="7" t="s">
        <v>1503</v>
      </c>
      <c r="BH336" s="1" t="s">
        <v>2648</v>
      </c>
      <c r="BI336" s="1" t="s">
        <v>3008</v>
      </c>
      <c r="BJ336" s="1" t="s">
        <v>1865</v>
      </c>
      <c r="BK336" s="2" t="s">
        <v>3009</v>
      </c>
    </row>
    <row r="337" spans="1:69" ht="216" x14ac:dyDescent="0.45">
      <c r="A337" s="5">
        <v>336</v>
      </c>
      <c r="B337" s="8" t="s">
        <v>232</v>
      </c>
      <c r="C337" s="6" t="s">
        <v>1816</v>
      </c>
      <c r="D337" s="7" t="s">
        <v>9752</v>
      </c>
      <c r="E337" s="6" t="s">
        <v>1467</v>
      </c>
      <c r="F337" s="6" t="s">
        <v>554</v>
      </c>
      <c r="G337" s="1"/>
      <c r="J337" s="1" t="s">
        <v>9753</v>
      </c>
      <c r="K337" s="2" t="s">
        <v>7602</v>
      </c>
      <c r="L337" s="3" t="s">
        <v>10034</v>
      </c>
      <c r="P337" s="7" t="s">
        <v>1241</v>
      </c>
      <c r="AU337" s="15"/>
      <c r="AV337" s="1" t="s">
        <v>1502</v>
      </c>
      <c r="BG337" s="7" t="s">
        <v>1503</v>
      </c>
      <c r="BH337" s="1" t="s">
        <v>2780</v>
      </c>
      <c r="BI337" s="2" t="s">
        <v>3010</v>
      </c>
      <c r="BJ337" s="1" t="s">
        <v>2048</v>
      </c>
      <c r="BK337" s="1" t="s">
        <v>3011</v>
      </c>
      <c r="BL337" s="1" t="s">
        <v>2031</v>
      </c>
      <c r="BM337" s="1" t="s">
        <v>3012</v>
      </c>
      <c r="BN337" s="1" t="s">
        <v>2044</v>
      </c>
      <c r="BO337" s="2" t="s">
        <v>3013</v>
      </c>
    </row>
    <row r="338" spans="1:69" ht="234" x14ac:dyDescent="0.45">
      <c r="A338" s="5">
        <v>337</v>
      </c>
      <c r="B338" s="8" t="s">
        <v>233</v>
      </c>
      <c r="C338" s="6" t="s">
        <v>1816</v>
      </c>
      <c r="D338" s="7" t="s">
        <v>9752</v>
      </c>
      <c r="E338" s="1" t="s">
        <v>233</v>
      </c>
      <c r="F338" s="1"/>
      <c r="G338" s="1"/>
      <c r="J338" s="1" t="s">
        <v>9753</v>
      </c>
      <c r="K338" s="2" t="s">
        <v>7603</v>
      </c>
      <c r="L338" s="9" t="s">
        <v>8240</v>
      </c>
      <c r="P338" s="7" t="s">
        <v>1241</v>
      </c>
      <c r="Q338" s="14" t="str">
        <f>INDEX($L:$L, MATCH("hostile", $B:$B, 0))</f>
        <v>&lt;span class="w"&gt;&lt;b&gt;【1395.hostile：敵意のある】&lt;/b&gt;&lt;/span&gt;
&lt;span class="ml"&gt;hostileは、host, guest, hotel, hospitality, hospitalityと関連させて覚える。いずれも印欧祖語*ghos-ti-（よそ者, 客人, 主人）にさかのぼる。
&lt;span class="spacer"&gt;&lt;/span&gt;印欧祖語段階の核は「よそ者」。外部から来たよそ者は、①脅威となる警戒すべき敵、もしくは②利益をもたらしてくれるもてなすべき客人のどちらかであった。
&lt;span class="spacer"&gt;&lt;/span&gt;①の敵側に関係する言葉として生まれたのが、hostileで「敵意のある」という意味になった。
&lt;span class="spacer"&gt;&lt;/span&gt;一方、②の客側に関係する言葉として生まれたのが、客をもてなすhost, 客であるguest, 客へのおもてなしhospitalityである。hospitalは、もとは客をもてなすための宿を指したが、最終的に病人や怪我人のための施設＝病院となった。客をもてなすための宿という意味は、hotelに残っている。&lt;/span&gt;</v>
      </c>
      <c r="AU338" s="15"/>
      <c r="AV338" s="1" t="s">
        <v>1502</v>
      </c>
      <c r="BG338" s="7" t="s">
        <v>1503</v>
      </c>
      <c r="BH338" s="1" t="s">
        <v>2569</v>
      </c>
      <c r="BI338" s="2" t="s">
        <v>3014</v>
      </c>
      <c r="BJ338" s="1" t="s">
        <v>2780</v>
      </c>
      <c r="BK338" s="2" t="s">
        <v>3015</v>
      </c>
      <c r="BL338" s="1" t="s">
        <v>2031</v>
      </c>
      <c r="BM338" s="1" t="s">
        <v>3016</v>
      </c>
      <c r="BN338" s="1" t="s">
        <v>2044</v>
      </c>
      <c r="BO338" s="2" t="s">
        <v>3017</v>
      </c>
    </row>
    <row r="339" spans="1:69" ht="252" x14ac:dyDescent="0.45">
      <c r="A339" s="5">
        <v>338</v>
      </c>
      <c r="B339" s="8" t="s">
        <v>234</v>
      </c>
      <c r="C339" s="6" t="s">
        <v>1816</v>
      </c>
      <c r="D339" s="7" t="s">
        <v>9752</v>
      </c>
      <c r="E339" s="1" t="s">
        <v>1467</v>
      </c>
      <c r="F339" s="1" t="s">
        <v>1468</v>
      </c>
      <c r="G339" s="1"/>
      <c r="J339" s="1" t="s">
        <v>9753</v>
      </c>
      <c r="K339" s="2" t="s">
        <v>7604</v>
      </c>
      <c r="L339" s="9" t="s">
        <v>8241</v>
      </c>
      <c r="P339" s="7" t="s">
        <v>1241</v>
      </c>
      <c r="Q339" s="19" t="str">
        <f>INDEX($L:$L, MATCH("doubt", $B:$B, 0))</f>
        <v>&lt;span class="w"&gt;&lt;b&gt;【233.doubt：〜を疑う, ではないと思う】&lt;/b&gt;&lt;/span&gt;
&lt;span class="ml"&gt;ラテン語duo（2つ, デュオ）から派生した動詞dubitare（疑う, 意見が揺れる）に由来する。
&lt;span class="spacer"&gt;&lt;/span&gt;これは「2つのものの間で迷う」イメージで、真と偽の間で迷う＝「〜を疑う, ではないと思う」という意味になる。
&lt;span class="spacer"&gt;&lt;/span&gt;duo（2つ, デュオ）はdouble（ダブル, 二重）の語源でもある。&lt;/span&gt;</v>
      </c>
      <c r="R339" s="19" t="str">
        <f>INDEX($L:$L, MATCH("twist", $B:$B, 0))</f>
        <v>&lt;span class="w"&gt;&lt;b&gt;【1233.twist：〜をねじる, ひねる】&lt;/b&gt;&lt;/span&gt;
&lt;span class="ml"&gt;印欧祖語*dwo-（2）にさかのぼる。
&lt;span class="spacer"&gt;&lt;/span&gt;この語の核は「2つのものをより合わせる」。2本の糸をクルクルより合わせて1本のロープにするように、物理的に何かを「ねじる, ひねる」という意味になった。またこれは、言葉をねじ曲げる、話の展開を予想とは違う方向にひねるといった意味でも使われる。
&lt;div class="sample_image twist"&gt;&lt;/div&gt;&lt;/span&gt;</v>
      </c>
      <c r="AU339" s="15"/>
      <c r="AV339" s="1" t="s">
        <v>1502</v>
      </c>
      <c r="BG339" s="7" t="s">
        <v>1503</v>
      </c>
      <c r="BH339" s="1" t="s">
        <v>2780</v>
      </c>
      <c r="BI339" s="2" t="s">
        <v>3018</v>
      </c>
      <c r="BJ339" s="1" t="s">
        <v>2147</v>
      </c>
      <c r="BK339" s="1" t="s">
        <v>3019</v>
      </c>
      <c r="BL339" s="1" t="s">
        <v>2031</v>
      </c>
      <c r="BM339" s="1" t="s">
        <v>3020</v>
      </c>
      <c r="BN339" s="1" t="s">
        <v>2044</v>
      </c>
      <c r="BO339" s="2" t="s">
        <v>3021</v>
      </c>
      <c r="BP339" s="1" t="s">
        <v>1865</v>
      </c>
      <c r="BQ339" s="2" t="s">
        <v>3022</v>
      </c>
    </row>
    <row r="340" spans="1:69" ht="270" x14ac:dyDescent="0.45">
      <c r="A340" s="5">
        <v>339</v>
      </c>
      <c r="B340" s="8" t="s">
        <v>1492</v>
      </c>
      <c r="C340" s="6" t="s">
        <v>1816</v>
      </c>
      <c r="D340" s="7" t="s">
        <v>9752</v>
      </c>
      <c r="E340" s="1" t="s">
        <v>1413</v>
      </c>
      <c r="F340" s="1" t="s">
        <v>54</v>
      </c>
      <c r="G340" s="1"/>
      <c r="J340" s="1" t="s">
        <v>9753</v>
      </c>
      <c r="K340" s="2" t="s">
        <v>7605</v>
      </c>
      <c r="L340" s="2" t="s">
        <v>8242</v>
      </c>
      <c r="M340" s="1" t="s">
        <v>12117</v>
      </c>
      <c r="P340" s="7" t="s">
        <v>1241</v>
      </c>
      <c r="Q340" s="14" t="str">
        <f>INDEX($L:$L, MATCH("tend", $B:$B, 0))</f>
        <v>&lt;span class="w"&gt;&lt;b&gt;【16.tend：傾向がある】&lt;/b&gt;&lt;/span&gt;
&lt;span class="ml"&gt;ラテン語tendere（伸ばす, 引っ張る）に由来する。
&lt;span class="spacer"&gt;&lt;/span&gt;心や注意をある対象に向かって「伸ばす」というイメージから、ある対象の方へ向かいやすい＝「傾向がある」という意味になる。
&lt;span class="spacer"&gt;&lt;/span&gt;tend to do Aは、（他のことではなく）Aする方へ心や注意が伸びる＝「Aしがち, Aする傾向がある」という意味になる。&lt;/span&gt;</v>
      </c>
      <c r="R340" s="14" t="str">
        <f>INDEX($L:$L, MATCH("attend", $B:$B, 0))</f>
        <v>&lt;span class="w"&gt;&lt;b&gt;【205.attend：～を世話をする, ～を対処する, ～を出席する】&lt;/b&gt;&lt;/span&gt;
&lt;span class="ml"&gt;ラテン語に由来する語で、以下の2つの要素から成る。
&lt;span class="spacer"&gt;&lt;/span&gt;ad（～へ）
tendere（伸ばす）
&lt;span class="spacer"&gt;&lt;/span&gt;このまま日本語にすると「何かへ伸ばす」となる。心や労力を相手へ伸ばすことから「世話をする」という意味になる。
&lt;span class="spacer"&gt;&lt;/span&gt;また、世話をするために付き添う＝一緒にどこかへ行くということから発展して、「出席する」という意味になる。
&lt;span class="spacer"&gt;&lt;/span&gt;そして労力を問題へ伸ばすことから「対処する」という意味になる。
&lt;div class="sample_image attend"&gt;&lt;/div&gt;&lt;/span&gt;</v>
      </c>
      <c r="S340" s="14" t="str">
        <f>INDEX($L:$L, MATCH("intend", $B:$B, 0))</f>
        <v>&lt;span class="w"&gt;&lt;b&gt;【432.intend：〜を意図する】&lt;/b&gt;&lt;/span&gt;
&lt;span class="ml"&gt;ラテン語に由来する語で、以下の2つの要素から成る。
&lt;span class="spacer"&gt;&lt;/span&gt;in（中に）
tendere（伸ばす）
&lt;span class="spacer"&gt;&lt;/span&gt;このまま日本語にすると「中に伸ばす」となる。これは、対象の中に心や注意を伸ばすイメージ。そこから、目的に心や注意を向ける＝「意図する」という意味になる。
&lt;div class="sample_image intend"&gt;&lt;/div&gt;&lt;/span&gt;</v>
      </c>
      <c r="T340" s="14" t="str">
        <f>INDEX($L:$L, MATCH("pretend", $B:$B, 0))</f>
        <v>&lt;span class="w"&gt;&lt;b&gt;【724.pretend：ふりをする】&lt;/b&gt;&lt;/span&gt;
&lt;span class="ml"&gt;ラテン語に由来する語で、以下の2つの要素から成る。
&lt;span class="spacer"&gt;&lt;/span&gt;prae（前に）
tendere（伸ばす）
&lt;span class="spacer"&gt;&lt;/span&gt;このまま日本語にすると「前に伸ばす」となる。この動きから、相手の前に何かを差し出す・提示するとなる。さらに自分の中にある真実や本心を隠すために、偽りの理由や態度を前に差し出す、つまり「〜のふりをする」という意味になった。
&lt;span class="spacer"&gt;&lt;/span&gt;pretend to do（〜するふりをする）
これはto do（〜する）を相手の前に出すけど、自分はそれを実際には行わないというイメージ。
&lt;div class="sample_image pretend"&gt;&lt;/div&gt;&lt;/span&gt;</v>
      </c>
      <c r="U340" s="14" t="str">
        <f>INDEX($L:$L, MATCH("tense", $B:$B, 0))</f>
        <v>&lt;span class="w"&gt;&lt;b&gt;【1187.tense：緊張した, 張り詰めた】&lt;/b&gt;&lt;/span&gt;
&lt;span class="ml"&gt;ラテン語tendere（伸ばす, 張る）に由来する。
&lt;span class="spacer"&gt;&lt;/span&gt;この語の核は「糸やロープが両端から引っ張られている状態」。この物理的な緊張から、心理的な緊張状態や状況の緊張状態にも広がって「張り詰めた, 緊張した」という意味になった。&lt;/span&gt;
&lt;div class="animation tense"&gt;&lt;/div&gt;</v>
      </c>
      <c r="V340" s="14" t="str">
        <f>INDEX($L:$L, MATCH("intense", $B:$B, 0))</f>
        <v>&lt;span class="w"&gt;&lt;b&gt;【691.intense：強烈な, 激しい】&lt;/b&gt;&lt;/span&gt;
&lt;span class="ml"&gt;ラテン語に由来する語で、以下の2つの要素から成る。
&lt;span class="spacer"&gt;&lt;/span&gt;in（方向）
tendere（伸ばす）
&lt;span class="spacer"&gt;&lt;/span&gt;このまま日本語にすると「ある方向へ伸ばす」となる。もともとは、物理的に弓や弦などが限界まで伸ばされた状態を表していた。
&lt;span class="spacer"&gt;&lt;/span&gt;ここから比喩的に程度を表す言葉へと変化し、限界まで張り詰めた状態から「強烈な, 激しい」という意味になった。
&lt;div class="sample_image intense"&gt;&lt;/div&gt;&lt;/span&gt;</v>
      </c>
      <c r="AU340" s="15"/>
      <c r="AV340" s="1" t="s">
        <v>1502</v>
      </c>
      <c r="BG340" s="7" t="s">
        <v>1503</v>
      </c>
      <c r="BH340" s="1" t="s">
        <v>2780</v>
      </c>
      <c r="BI340" s="2" t="s">
        <v>3023</v>
      </c>
      <c r="BJ340" s="1" t="s">
        <v>2031</v>
      </c>
      <c r="BK340" s="1" t="s">
        <v>3024</v>
      </c>
      <c r="BL340" s="1" t="s">
        <v>2754</v>
      </c>
      <c r="BM340" s="2" t="s">
        <v>3025</v>
      </c>
      <c r="BN340" s="1" t="s">
        <v>2044</v>
      </c>
      <c r="BO340" s="2" t="s">
        <v>3026</v>
      </c>
      <c r="BP340" s="1" t="s">
        <v>1865</v>
      </c>
      <c r="BQ340" s="2" t="s">
        <v>3027</v>
      </c>
    </row>
    <row r="341" spans="1:69" ht="180" x14ac:dyDescent="0.45">
      <c r="A341" s="5">
        <v>340</v>
      </c>
      <c r="B341" s="8" t="s">
        <v>235</v>
      </c>
      <c r="C341" s="6" t="s">
        <v>1816</v>
      </c>
      <c r="D341" s="7" t="s">
        <v>9752</v>
      </c>
      <c r="E341" s="1" t="s">
        <v>1329</v>
      </c>
      <c r="F341" s="1" t="s">
        <v>1469</v>
      </c>
      <c r="G341" s="1"/>
      <c r="J341" s="1" t="s">
        <v>9753</v>
      </c>
      <c r="K341" s="2" t="s">
        <v>7606</v>
      </c>
      <c r="L341" s="3" t="s">
        <v>8243</v>
      </c>
      <c r="M341" s="1" t="s">
        <v>12196</v>
      </c>
      <c r="P341" s="7" t="s">
        <v>1241</v>
      </c>
      <c r="Q341" s="14" t="str">
        <f>INDEX($L:$L, MATCH("praise", $B:$B, 0))</f>
        <v>&lt;span class="w"&gt;&lt;b&gt;【425.praise：〜を賞賛する】&lt;/b&gt;&lt;/span&gt;
&lt;span class="ml"&gt;ラテン語pretium（価値：priceの語源）から派生した動詞pretiare（値段をつける, 評価する）に由来する。
&lt;span class="spacer"&gt;&lt;/span&gt;この語の核は、何かに価値をつけて評価すること。praiseは、特に高い価値や価格をつけることを表し、「賞賛する」という意味になる。
&lt;div class="sample_image praise"&gt;&lt;/div&gt;&lt;/span&gt;</v>
      </c>
      <c r="R341" s="14" t="str">
        <f>INDEX($L:$L, MATCH("precious", $B:$B, 0))</f>
        <v>&lt;span class="w"&gt;&lt;b&gt;【879.precious：貴重な, 高価な】&lt;/b&gt;&lt;/span&gt;
&lt;span class="ml"&gt;ラテン語に由来する語で、以下の2つの要素から成る。
&lt;span class="spacer"&gt;&lt;/span&gt;pretium（価値, 価格）
osus（形容詞化：〜に満ちている）
&lt;span class="spacer"&gt;&lt;/span&gt;price（価格, 価値）が形容詞となったと考えればよい。価値や価格で満ちているということから 「貴重な, 高価な」という意味になる。&lt;/span&gt;</v>
      </c>
      <c r="AU341" s="15"/>
      <c r="AV341" s="1" t="s">
        <v>1502</v>
      </c>
      <c r="BG341" s="7" t="s">
        <v>1503</v>
      </c>
      <c r="BH341" s="1" t="s">
        <v>2780</v>
      </c>
      <c r="BI341" s="2" t="s">
        <v>3028</v>
      </c>
      <c r="BJ341" s="1" t="s">
        <v>2147</v>
      </c>
      <c r="BK341" s="2" t="s">
        <v>3029</v>
      </c>
      <c r="BL341" s="1" t="s">
        <v>1865</v>
      </c>
      <c r="BM341" s="2" t="s">
        <v>3030</v>
      </c>
    </row>
    <row r="342" spans="1:69" ht="90" x14ac:dyDescent="0.45">
      <c r="A342" s="5">
        <v>341</v>
      </c>
      <c r="B342" s="8" t="s">
        <v>236</v>
      </c>
      <c r="C342" s="6" t="s">
        <v>6850</v>
      </c>
      <c r="D342" s="7" t="s">
        <v>9752</v>
      </c>
      <c r="E342" s="6" t="s">
        <v>236</v>
      </c>
      <c r="F342" s="1"/>
      <c r="G342" s="1"/>
      <c r="J342" s="1" t="s">
        <v>9753</v>
      </c>
      <c r="K342" s="2" t="s">
        <v>7607</v>
      </c>
      <c r="L342" s="3" t="s">
        <v>8244</v>
      </c>
      <c r="P342" s="7" t="s">
        <v>1241</v>
      </c>
      <c r="AV342" s="1" t="s">
        <v>1502</v>
      </c>
      <c r="BG342" s="7" t="s">
        <v>1503</v>
      </c>
      <c r="BH342" s="1" t="s">
        <v>2648</v>
      </c>
      <c r="BI342" s="1" t="s">
        <v>3031</v>
      </c>
      <c r="BJ342" s="1" t="s">
        <v>2031</v>
      </c>
      <c r="BK342" s="1" t="s">
        <v>3032</v>
      </c>
      <c r="BL342" s="1" t="s">
        <v>2044</v>
      </c>
      <c r="BM342" s="2" t="s">
        <v>3033</v>
      </c>
      <c r="BN342" s="1" t="s">
        <v>1865</v>
      </c>
      <c r="BO342" s="2" t="s">
        <v>3034</v>
      </c>
    </row>
    <row r="343" spans="1:69" ht="198" x14ac:dyDescent="0.45">
      <c r="A343" s="5">
        <v>342</v>
      </c>
      <c r="B343" s="8" t="s">
        <v>237</v>
      </c>
      <c r="C343" s="6" t="s">
        <v>6850</v>
      </c>
      <c r="D343" s="7" t="s">
        <v>9752</v>
      </c>
      <c r="E343" s="6" t="s">
        <v>237</v>
      </c>
      <c r="F343" s="1"/>
      <c r="G343" s="1"/>
      <c r="J343" s="1" t="s">
        <v>9753</v>
      </c>
      <c r="K343" s="2" t="s">
        <v>7608</v>
      </c>
      <c r="L343" s="9" t="s">
        <v>8245</v>
      </c>
      <c r="P343" s="7" t="s">
        <v>1241</v>
      </c>
      <c r="AU343" s="15"/>
      <c r="AV343" s="1" t="s">
        <v>1502</v>
      </c>
      <c r="BG343" s="7" t="s">
        <v>1503</v>
      </c>
      <c r="BH343" s="1" t="s">
        <v>2780</v>
      </c>
      <c r="BI343" s="2" t="s">
        <v>3035</v>
      </c>
      <c r="BJ343" s="1" t="s">
        <v>2031</v>
      </c>
      <c r="BK343" s="1" t="s">
        <v>3036</v>
      </c>
      <c r="BL343" s="1" t="s">
        <v>2044</v>
      </c>
      <c r="BM343" s="2" t="s">
        <v>3037</v>
      </c>
      <c r="BO343" s="2"/>
    </row>
    <row r="344" spans="1:69" ht="270" x14ac:dyDescent="0.45">
      <c r="A344" s="5">
        <v>343</v>
      </c>
      <c r="B344" s="8" t="s">
        <v>238</v>
      </c>
      <c r="C344" s="6" t="s">
        <v>6850</v>
      </c>
      <c r="D344" s="7" t="s">
        <v>9752</v>
      </c>
      <c r="E344" s="1" t="s">
        <v>1470</v>
      </c>
      <c r="F344" s="1" t="s">
        <v>1471</v>
      </c>
      <c r="G344" s="1"/>
      <c r="J344" s="1" t="s">
        <v>9753</v>
      </c>
      <c r="K344" s="2" t="s">
        <v>7609</v>
      </c>
      <c r="L344" s="4" t="s">
        <v>8246</v>
      </c>
      <c r="M344" s="1" t="s">
        <v>12197</v>
      </c>
      <c r="P344" s="7" t="s">
        <v>1241</v>
      </c>
      <c r="Q344" s="14" t="str">
        <f>INDEX($L:$L, MATCH("anticipate", $B:$B, 0))</f>
        <v>&lt;span class="w"&gt;&lt;b&gt;【923.anticipate：〜を予期する, 期待する】&lt;/b&gt;&lt;/span&gt;
&lt;span class="ml"&gt;ラテン語に由来する語で、以下の2つの要素から成る。
&lt;span class="spacer"&gt;&lt;/span&gt;anti（前に）
capere（取る）
&lt;span class="spacer"&gt;&lt;/span&gt;このまま日本語にすると「前もって取る」となる。何かが起こる前に先取りするイメージから、将来起こることを「予期する」という意味になる。
&lt;div class="sample_image anticipate"&gt;&lt;/div&gt;&lt;/span&gt;</v>
      </c>
      <c r="R344" s="14" t="str">
        <f>INDEX($L:$L, MATCH("participate", $B:$B, 0))</f>
        <v>&lt;span class="w"&gt;&lt;b&gt;【332.participate：参加する】&lt;/b&gt;&lt;/span&gt;
&lt;span class="ml"&gt;ラテン語に由来する語で、以下の2つの要素から成る。
&lt;span class="spacer"&gt;&lt;/span&gt;pars（部分, パート）
capere（取る）
&lt;span class="spacer"&gt;&lt;/span&gt;このまま日本語にすると「部分を取る」となる。全体の中である役割や取り分を取ることから「参加する」という意味になる。
&lt;span class="spacer"&gt;&lt;/span&gt;英語take part in（〜に参加する）も同じ。&lt;/span&gt;</v>
      </c>
      <c r="S344" s="14" t="str">
        <f>INDEX($L:$L, MATCH("principal", $B:$B, 0))</f>
        <v>&lt;span class="w"&gt;&lt;b&gt;【683.principal：主要な】&lt;/b&gt;&lt;/span&gt;
&lt;span class="ml"&gt;ラテン語に由来する語で、以下の3つの要素から成る。
&lt;span class="spacer"&gt;&lt;/span&gt;primus（第一の）
capere（取る）
alis（形容詞化）
&lt;span class="spacer"&gt;&lt;/span&gt;この語の核は「第一の位置を取る」。集団や集合の中における第一の位置とは、最も重要な位置ということ。ここから「主要な」という意味になる。&lt;/span&gt;</v>
      </c>
      <c r="T344" s="14" t="str">
        <f>INDEX($L:$L, MATCH("capacity", $B:$B, 0))</f>
        <v>&lt;span class="w"&gt;&lt;b&gt;【348.capacity：容量, 収容能力】&lt;/b&gt;&lt;/span&gt;
&lt;span class="ml"&gt;ラテン語capere（取る）から派生した名詞capacitas（容量, 多くを収容できる能力）に由来する。
&lt;span class="spacer"&gt;&lt;/span&gt;取ることから、多くを保持できること＝「収容能力, 容量」という意味になる。&lt;/span&gt;</v>
      </c>
      <c r="U344" s="14" t="str">
        <f>INDEX($L:$L, MATCH("capable", $B:$B, 0))</f>
        <v>&lt;span class="w"&gt;&lt;b&gt;【381.capable：能力がある】&lt;/b&gt;&lt;/span&gt;
&lt;span class="ml"&gt;ラテン語に由来する語で、以下の2つの要素から成る。
&lt;span class="spacer"&gt;&lt;/span&gt;capere（つかむ, 取る）
bilis（～できる）
&lt;span class="spacer"&gt;&lt;/span&gt;このまま日本語にすると「つかむことができる」となる。もともとは、物や内容を受け入れることができるという意味で、そこから「受け入れる器がある」というニュアンスが生まれた（→capacity）。さらに受け入れたことを理解して扱えるという意味へと広がり、現在の「能力がある」という意味になった。&lt;/span&gt;</v>
      </c>
      <c r="V344" s="13" t="str">
        <f>INDEX($L:$L, MATCH("capture", $B:$B, 0))</f>
        <v>&lt;span class="w"&gt;&lt;b&gt;【610.capture：〜をとらえる】&lt;/b&gt;&lt;/span&gt;
&lt;span class="ml"&gt;ラテン語capere（取る, つかむ）に由来する。
&lt;span class="spacer"&gt;&lt;/span&gt;この語の核は「対象をつかんで自分のもとに置く」。単に取るだけでなく、逃げられない状態にすることを含む。そこから、人や物を「捕える」という意味になり、さらに比喩的に、注意・感情・映像などをとらえるという意味にも広がった。&lt;/span&gt;</v>
      </c>
      <c r="W344" s="13" t="str">
        <f>INDEX($L:$L, MATCH("prime", $B:$B, 0))</f>
        <v>&lt;span class="w"&gt;&lt;b&gt;【579.prime：主要な, 最も重要な】&lt;/b&gt;&lt;/span&gt;
&lt;span class="ml"&gt;ラテン語primus（第一の, 主要な）に由来する。これは「前」を表すpri部分の最上級で「最も前」と考えればよい。
&lt;span class="spacer"&gt;&lt;/span&gt;「最も前」ということから、程度や重要性において第一、つまり「主要な, 最も重要な」という意味になる。&lt;/span&gt;</v>
      </c>
      <c r="X344" s="13" t="str">
        <f>INDEX($L:$L, MATCH("primitive", $B:$B, 0))</f>
        <v>&lt;span class="w"&gt;&lt;b&gt;【786.primitive：原始的な】&lt;/b&gt;&lt;/span&gt;
&lt;span class="ml"&gt;ラテン語に由来する語で、以下の2つの要素から成る。
&lt;span class="spacer"&gt;&lt;/span&gt;primus（第一の, 最初の）
ivus（形容詞化）
&lt;span class="spacer"&gt;&lt;/span&gt;この語の核は「初期の時代」。人類や社会の発展において、初期の時代に属するということから「原始的な」という意味になった。&lt;/span&gt;</v>
      </c>
      <c r="Y344" s="13" t="str">
        <f>INDEX($L:$L, MATCH("primate", $B:$B, 0))</f>
        <v>&lt;span class="w"&gt;&lt;b&gt;【775.primate：霊長類, 霊長目の動物】&lt;/b&gt;&lt;/span&gt;
&lt;span class="ml"&gt;ラテン語primus（第一の）に由来する。
&lt;span class="spacer"&gt;&lt;/span&gt;この語の核は「第一のもの」。もともとは、キリスト教において、教区内で聖職者の最高位である「大司教」を意味した。
&lt;span class="spacer"&gt;&lt;/span&gt;さらにそこから、近代において、あらゆる動物の中で哺乳類が最高位と見なされていたことから「霊長類, 霊長目の動物」という意味になり、こちらが一般的に使われるようになった。&lt;/span&gt;</v>
      </c>
      <c r="AU344" s="15"/>
      <c r="AV344" s="1" t="s">
        <v>1502</v>
      </c>
      <c r="BG344" s="7" t="s">
        <v>1503</v>
      </c>
      <c r="BH344" s="1" t="s">
        <v>2780</v>
      </c>
      <c r="BI344" s="2" t="s">
        <v>7610</v>
      </c>
      <c r="BJ344" s="1" t="s">
        <v>2031</v>
      </c>
      <c r="BK344" s="1" t="s">
        <v>3038</v>
      </c>
      <c r="BL344" s="1" t="s">
        <v>2754</v>
      </c>
      <c r="BM344" s="1" t="s">
        <v>238</v>
      </c>
      <c r="BN344" s="1" t="s">
        <v>2044</v>
      </c>
      <c r="BO344" s="2" t="s">
        <v>3039</v>
      </c>
      <c r="BP344" s="1" t="s">
        <v>1865</v>
      </c>
      <c r="BQ344" s="2" t="s">
        <v>3040</v>
      </c>
    </row>
    <row r="345" spans="1:69" ht="126" x14ac:dyDescent="0.45">
      <c r="A345" s="5">
        <v>344</v>
      </c>
      <c r="B345" s="8" t="s">
        <v>1597</v>
      </c>
      <c r="C345" s="6" t="s">
        <v>6850</v>
      </c>
      <c r="D345" s="7" t="s">
        <v>9752</v>
      </c>
      <c r="E345" s="6" t="s">
        <v>8931</v>
      </c>
      <c r="F345" s="1" t="s">
        <v>1598</v>
      </c>
      <c r="G345" s="1"/>
      <c r="J345" s="1" t="s">
        <v>9753</v>
      </c>
      <c r="K345" s="2" t="s">
        <v>7611</v>
      </c>
      <c r="L345" s="9" t="s">
        <v>8247</v>
      </c>
      <c r="P345" s="7" t="s">
        <v>1241</v>
      </c>
      <c r="Q345" s="13" t="str">
        <f>INDEX($L:$L, MATCH("emphasize", $B:$B, 0))</f>
        <v>&lt;span class="w"&gt;&lt;b&gt;【516.emphasize：〜を強調する】&lt;/b&gt;&lt;/span&gt;
&lt;span class="ml"&gt;近代英語にさかのぼり、以下の2つの要素から成る。
&lt;span class="spacer"&gt;&lt;/span&gt;emphasis（強調）
ize（動詞化）
&lt;span class="spacer"&gt;&lt;/span&gt;［emphasisの語源］
ギリシャ語en（中に）＋phainein（示す）に由来する。これは「中にあるものを示す」というイメージで、言葉の中に含まれる重要な意味や内容をはっきり示すこと、つまり「強調」を意味した（例えば発音の強調など）。
&lt;span class="spacer"&gt;&lt;/span&gt;［emphasize］
近代英語において、emphasis（強調）に動詞を作る-izeが付いて「強調する」という意味になった。
&lt;div class="sample_image emphasize"&gt;&lt;/div&gt;&lt;/span&gt;</v>
      </c>
      <c r="R345" s="13" t="str">
        <f>INDEX($L:$L, MATCH("phase", $B:$B, 0))</f>
        <v>&lt;span class="w"&gt;&lt;b&gt;【843.phase：段階, 局面】&lt;/b&gt;&lt;/span&gt;
&lt;span class="ml"&gt;ギリシャ語phainein（現れる）から派生したphasis（星の出現, 月の位相・満ち欠け）に由来する。
&lt;span class="spacer"&gt;&lt;/span&gt;もともとは、月が時間をかけて異なる姿になっていく月の満ち欠けを表した。そこから、進行によって変化・発展していく物事の「段階, 局面」という意味になった。&lt;/span&gt;</v>
      </c>
      <c r="S345" s="13" t="str">
        <f>INDEX($L:$L, MATCH("fantasy", $B:$B, 0))</f>
        <v>&lt;span class="w"&gt;&lt;b&gt;【1076.fantasy：空想, 幻想】&lt;/b&gt;&lt;/span&gt;
&lt;span class="ml"&gt;ギリシャ語phainesthai（現れる）に由来する。
&lt;span class="spacer"&gt;&lt;/span&gt;もともとは目に見えるように現れることを表した。そこから意味が抽象化し、心の中に現れる像を指すようになり、さらに発展して現実ではない「空想, 幻想」という意味になった。&lt;/span&gt;</v>
      </c>
      <c r="T345" s="13" t="str">
        <f>INDEX($L:$L, MATCH("fancy", $B:$B, 0))</f>
        <v>&lt;span class="w"&gt;&lt;b&gt;【1077.fancy：（気まぐれな）好み, 気分】&lt;/b&gt;&lt;/span&gt;
&lt;span class="ml"&gt;中英語においてfantasyが短縮されてできた語。
&lt;span class="spacer"&gt;&lt;/span&gt;fantasy（空想, 幻想）は、想像する人自身の心に形成されるため、その人が思いついた瞬間の好みや気分、欲望を反映している。
&lt;span class="spacer"&gt;&lt;/span&gt;fantasyが心の中に出来上がった空想や幻想を意味する語として使われるようになった一方で、fancyはその空想や幻想に含まれる「（気まぐれな）好み」や「そのときの気分」という意味で使われるようになった。&lt;/span&gt;</v>
      </c>
      <c r="AU345" s="15"/>
      <c r="AV345" s="1" t="s">
        <v>1502</v>
      </c>
      <c r="BG345" s="7" t="s">
        <v>1503</v>
      </c>
      <c r="BH345" s="1" t="s">
        <v>2423</v>
      </c>
      <c r="BI345" s="2" t="s">
        <v>3041</v>
      </c>
      <c r="BJ345" s="1" t="s">
        <v>2147</v>
      </c>
      <c r="BK345" s="1" t="s">
        <v>3042</v>
      </c>
      <c r="BL345" s="1" t="s">
        <v>1865</v>
      </c>
      <c r="BM345" s="2" t="s">
        <v>3043</v>
      </c>
    </row>
    <row r="346" spans="1:69" ht="144" x14ac:dyDescent="0.45">
      <c r="A346" s="5">
        <v>345</v>
      </c>
      <c r="B346" s="8" t="s">
        <v>239</v>
      </c>
      <c r="C346" s="6" t="s">
        <v>6850</v>
      </c>
      <c r="D346" s="7" t="s">
        <v>9752</v>
      </c>
      <c r="E346" s="1" t="s">
        <v>1472</v>
      </c>
      <c r="F346" s="1" t="s">
        <v>1202</v>
      </c>
      <c r="G346" s="1"/>
      <c r="J346" s="1" t="s">
        <v>9753</v>
      </c>
      <c r="K346" s="2" t="s">
        <v>7612</v>
      </c>
      <c r="L346" s="3" t="s">
        <v>8248</v>
      </c>
      <c r="P346" s="7" t="s">
        <v>1241</v>
      </c>
      <c r="AU346" s="15"/>
      <c r="AV346" s="1" t="s">
        <v>1502</v>
      </c>
      <c r="BG346" s="7" t="s">
        <v>1503</v>
      </c>
      <c r="BH346" s="1" t="s">
        <v>2423</v>
      </c>
      <c r="BI346" s="2" t="s">
        <v>7613</v>
      </c>
      <c r="BJ346" s="1" t="s">
        <v>2162</v>
      </c>
      <c r="BK346" s="1" t="s">
        <v>3044</v>
      </c>
      <c r="BL346" s="1" t="s">
        <v>1865</v>
      </c>
      <c r="BM346" s="2" t="s">
        <v>3045</v>
      </c>
    </row>
    <row r="347" spans="1:69" ht="72" x14ac:dyDescent="0.45">
      <c r="A347" s="5">
        <v>346</v>
      </c>
      <c r="B347" s="8" t="s">
        <v>240</v>
      </c>
      <c r="C347" s="6" t="s">
        <v>6850</v>
      </c>
      <c r="D347" s="7" t="s">
        <v>9752</v>
      </c>
      <c r="E347" s="6" t="s">
        <v>240</v>
      </c>
      <c r="F347" s="1"/>
      <c r="G347" s="1"/>
      <c r="J347" s="1" t="s">
        <v>9753</v>
      </c>
      <c r="K347" s="2" t="s">
        <v>7614</v>
      </c>
      <c r="L347" s="9" t="s">
        <v>8249</v>
      </c>
      <c r="P347" s="7" t="s">
        <v>1241</v>
      </c>
      <c r="Q347" s="13" t="str">
        <f>INDEX($L:$L, MATCH("orient", $B:$B, 0))</f>
        <v>&lt;span class="w"&gt;&lt;b&gt;【1102.orient：人を環境などに慣らす, 正しい方向に向ける】&lt;/b&gt;&lt;/span&gt;
&lt;span class="ml"&gt;ラテン語oriri（昇る：originの語源）に由来する。
&lt;span class="spacer"&gt;&lt;/span&gt;この語の核は「正しい方向に向ける」。もともとは、太陽が昇る方角である東向きに何かを配置することを表した。そのためthe Orientは東洋という意味になっている。
&lt;span class="spacer"&gt;&lt;/span&gt;中世のキリスト教では、教会は東向きに建てられ、祈りも東向きに行われることが多かった。そのため東向きに配置することは、何かを正しい方向に合わせることへと発展した。
&lt;span class="spacer"&gt;&lt;/span&gt;そしてある環境において、その中に置かれた人を正しい方向に向けることから、新しい状況や考え方に「慣れさせる」という意味になった。
&lt;div class="sample_image orient"&gt;&lt;/div&gt;&lt;/span&gt;</v>
      </c>
      <c r="R347" s="13" t="str">
        <f>INDEX($L:$L, MATCH("aboriginal", $B:$B, 0))</f>
        <v>&lt;span class="w"&gt;&lt;b&gt;【1190.aboriginal：（大文字Aで）アボリジニの, 先住の, 原生の】&lt;/b&gt;&lt;/span&gt;
&lt;span class="ml"&gt;ラテン語に由来する語で、以下の2つの要素から成る。
&lt;span class="spacer"&gt;&lt;/span&gt;ab（〜から）
origo（始まり, 源泉：originの語源）
&lt;span class="spacer"&gt;&lt;/span&gt;このまま日本語にすると「オリジン（始まり）から」となる。最初からその土地にいる人・動物・植物を指して「先住の, 原生の」という意味になった。
&lt;span class="spacer"&gt;&lt;/span&gt;また近代において、イギリス人がオーストラリアに入って住み着いた後、最初からオーストラリアに住んでいた人々を指して「アボリジニの（Aboriginal）」という意味になった。&lt;/span&gt;</v>
      </c>
      <c r="AU347" s="15"/>
      <c r="AV347" s="1" t="s">
        <v>1502</v>
      </c>
      <c r="BG347" s="7" t="s">
        <v>1503</v>
      </c>
      <c r="BH347" s="1" t="s">
        <v>2780</v>
      </c>
      <c r="BI347" s="2" t="s">
        <v>3046</v>
      </c>
      <c r="BJ347" s="1" t="s">
        <v>3047</v>
      </c>
      <c r="BK347" s="2" t="s">
        <v>3048</v>
      </c>
      <c r="BL347" s="1" t="s">
        <v>1865</v>
      </c>
      <c r="BM347" s="2" t="s">
        <v>3049</v>
      </c>
    </row>
    <row r="348" spans="1:69" ht="198" x14ac:dyDescent="0.45">
      <c r="A348" s="5">
        <v>347</v>
      </c>
      <c r="B348" s="8" t="s">
        <v>241</v>
      </c>
      <c r="C348" s="6" t="s">
        <v>6850</v>
      </c>
      <c r="D348" s="7" t="s">
        <v>9752</v>
      </c>
      <c r="E348" s="6" t="s">
        <v>1473</v>
      </c>
      <c r="F348" s="1" t="s">
        <v>49</v>
      </c>
      <c r="G348" s="1" t="s">
        <v>1474</v>
      </c>
      <c r="J348" s="1" t="s">
        <v>9753</v>
      </c>
      <c r="K348" s="2" t="s">
        <v>7615</v>
      </c>
      <c r="L348" s="9" t="s">
        <v>8250</v>
      </c>
      <c r="P348" s="7" t="s">
        <v>1241</v>
      </c>
      <c r="AU348" s="15"/>
      <c r="AV348" s="1" t="s">
        <v>1502</v>
      </c>
      <c r="BG348" s="7" t="s">
        <v>1503</v>
      </c>
      <c r="BH348" s="1" t="s">
        <v>2780</v>
      </c>
      <c r="BI348" s="2" t="s">
        <v>3050</v>
      </c>
      <c r="BJ348" s="1" t="s">
        <v>1980</v>
      </c>
      <c r="BK348" s="2" t="s">
        <v>7616</v>
      </c>
      <c r="BL348" s="1" t="s">
        <v>2031</v>
      </c>
      <c r="BM348" s="1" t="s">
        <v>3051</v>
      </c>
      <c r="BN348" s="1" t="s">
        <v>3047</v>
      </c>
      <c r="BO348" s="2" t="s">
        <v>3052</v>
      </c>
      <c r="BP348" s="1" t="s">
        <v>1865</v>
      </c>
      <c r="BQ348" s="2" t="s">
        <v>3053</v>
      </c>
    </row>
    <row r="349" spans="1:69" ht="198" x14ac:dyDescent="0.45">
      <c r="A349" s="5">
        <v>348</v>
      </c>
      <c r="B349" s="8" t="s">
        <v>242</v>
      </c>
      <c r="C349" s="6" t="s">
        <v>6850</v>
      </c>
      <c r="D349" s="7" t="s">
        <v>9752</v>
      </c>
      <c r="E349" s="1" t="s">
        <v>1475</v>
      </c>
      <c r="F349" s="1" t="s">
        <v>1474</v>
      </c>
      <c r="G349" s="1"/>
      <c r="J349" s="1" t="s">
        <v>9753</v>
      </c>
      <c r="K349" s="2" t="s">
        <v>7617</v>
      </c>
      <c r="L349" s="4" t="s">
        <v>8251</v>
      </c>
      <c r="M349" s="1" t="s">
        <v>12195</v>
      </c>
      <c r="P349" s="7" t="s">
        <v>1241</v>
      </c>
      <c r="Q349" s="14" t="str">
        <f>INDEX($L:$L, MATCH("anticipate", $B:$B, 0))</f>
        <v>&lt;span class="w"&gt;&lt;b&gt;【923.anticipate：〜を予期する, 期待する】&lt;/b&gt;&lt;/span&gt;
&lt;span class="ml"&gt;ラテン語に由来する語で、以下の2つの要素から成る。
&lt;span class="spacer"&gt;&lt;/span&gt;anti（前に）
capere（取る）
&lt;span class="spacer"&gt;&lt;/span&gt;このまま日本語にすると「前もって取る」となる。何かが起こる前に先取りするイメージから、将来起こることを「予期する」という意味になる。
&lt;div class="sample_image anticipate"&gt;&lt;/div&gt;&lt;/span&gt;</v>
      </c>
      <c r="R349" s="14" t="str">
        <f>INDEX($L:$L, MATCH("participate", $B:$B, 0))</f>
        <v>&lt;span class="w"&gt;&lt;b&gt;【332.participate：参加する】&lt;/b&gt;&lt;/span&gt;
&lt;span class="ml"&gt;ラテン語に由来する語で、以下の2つの要素から成る。
&lt;span class="spacer"&gt;&lt;/span&gt;pars（部分, パート）
capere（取る）
&lt;span class="spacer"&gt;&lt;/span&gt;このまま日本語にすると「部分を取る」となる。全体の中である役割や取り分を取ることから「参加する」という意味になる。
&lt;span class="spacer"&gt;&lt;/span&gt;英語take part in（〜に参加する）も同じ。&lt;/span&gt;</v>
      </c>
      <c r="S349" s="13" t="str">
        <f>INDEX($L:$L, MATCH("principle", $B:$B, 0))</f>
        <v>&lt;span class="w"&gt;&lt;b&gt;【343.principle：原理, 原則, 主義, 信条】&lt;/b&gt;&lt;/span&gt;
&lt;span class="ml"&gt;ラテン語に由来する語で、以下の2つの要素から成る。
&lt;span class="spacer"&gt;&lt;/span&gt;primus（第一の）
capere（取る）
&lt;span class="spacer"&gt;&lt;/span&gt;このまま日本語にすると「第一を取る」となる。1番目のポジションを取ることから、何かが成り立つための土台＝「原理, 原則」や、行動の土台となる「主義, 信条」という意味になる。&lt;/span&gt;</v>
      </c>
      <c r="T349" s="13" t="str">
        <f>INDEX($L:$L, MATCH("principal", $B:$B, 0))</f>
        <v>&lt;span class="w"&gt;&lt;b&gt;【683.principal：主要な】&lt;/b&gt;&lt;/span&gt;
&lt;span class="ml"&gt;ラテン語に由来する語で、以下の3つの要素から成る。
&lt;span class="spacer"&gt;&lt;/span&gt;primus（第一の）
capere（取る）
alis（形容詞化）
&lt;span class="spacer"&gt;&lt;/span&gt;この語の核は「第一の位置を取る」。集団や集合の中における第一の位置とは、最も重要な位置ということ。ここから「主要な」という意味になる。&lt;/span&gt;</v>
      </c>
      <c r="U349" s="13" t="str">
        <f>INDEX($L:$L, MATCH("capable", $B:$B, 0))</f>
        <v>&lt;span class="w"&gt;&lt;b&gt;【381.capable：能力がある】&lt;/b&gt;&lt;/span&gt;
&lt;span class="ml"&gt;ラテン語に由来する語で、以下の2つの要素から成る。
&lt;span class="spacer"&gt;&lt;/span&gt;capere（つかむ, 取る）
bilis（～できる）
&lt;span class="spacer"&gt;&lt;/span&gt;このまま日本語にすると「つかむことができる」となる。もともとは、物や内容を受け入れることができるという意味で、そこから「受け入れる器がある」というニュアンスが生まれた（→capacity）。さらに受け入れたことを理解して扱えるという意味へと広がり、現在の「能力がある」という意味になった。&lt;/span&gt;</v>
      </c>
      <c r="V349" s="13" t="str">
        <f>INDEX($L:$L, MATCH("capture", $B:$B, 0))</f>
        <v>&lt;span class="w"&gt;&lt;b&gt;【610.capture：〜をとらえる】&lt;/b&gt;&lt;/span&gt;
&lt;span class="ml"&gt;ラテン語capere（取る, つかむ）に由来する。
&lt;span class="spacer"&gt;&lt;/span&gt;この語の核は「対象をつかんで自分のもとに置く」。単に取るだけでなく、逃げられない状態にすることを含む。そこから、人や物を「捕える」という意味になり、さらに比喩的に、注意・感情・映像などをとらえるという意味にも広がった。&lt;/span&gt;</v>
      </c>
      <c r="AU349" s="15"/>
      <c r="AV349" s="1" t="s">
        <v>1502</v>
      </c>
      <c r="BG349" s="7" t="s">
        <v>1503</v>
      </c>
      <c r="BH349" s="1" t="s">
        <v>2780</v>
      </c>
      <c r="BI349" s="2" t="s">
        <v>7618</v>
      </c>
      <c r="BJ349" s="1" t="s">
        <v>2031</v>
      </c>
      <c r="BK349" s="1" t="s">
        <v>3054</v>
      </c>
      <c r="BL349" s="1" t="s">
        <v>3047</v>
      </c>
      <c r="BM349" s="2" t="s">
        <v>3055</v>
      </c>
    </row>
    <row r="350" spans="1:69" ht="108" x14ac:dyDescent="0.45">
      <c r="A350" s="5">
        <v>349</v>
      </c>
      <c r="B350" s="8" t="s">
        <v>243</v>
      </c>
      <c r="C350" s="6" t="s">
        <v>6850</v>
      </c>
      <c r="D350" s="7" t="s">
        <v>9752</v>
      </c>
      <c r="E350" s="1" t="s">
        <v>31</v>
      </c>
      <c r="F350" s="1" t="s">
        <v>1476</v>
      </c>
      <c r="G350" s="1"/>
      <c r="J350" s="1" t="s">
        <v>9753</v>
      </c>
      <c r="K350" s="2" t="s">
        <v>7619</v>
      </c>
      <c r="L350" s="9" t="s">
        <v>8252</v>
      </c>
      <c r="P350" s="7" t="s">
        <v>1241</v>
      </c>
      <c r="Q350" s="13" t="str">
        <f>INDEX($L:$L, MATCH("feature", $B:$B, 0))</f>
        <v>&lt;span class="w"&gt;&lt;b&gt;【167.feature：特徴, （〜sで）顔つき】&lt;/b&gt;&lt;/span&gt;
&lt;span class="ml"&gt;ラテン語facere（作る, 行う）から派生した名詞factura（形成, 作業, 作られた形）に由来する。
&lt;span class="spacer"&gt;&lt;/span&gt;何かを形作ること、特に身体の形成において他と差別化される「顔つき」という意味になる。顔はそれぞれに特徴があることから発展して、一般的に何かの際立った部分＝「特徴」という意味になる。&lt;/span&gt;</v>
      </c>
      <c r="R350" s="13" t="str">
        <f>INDEX($L:$L, MATCH("benefit", $B:$B, 0))</f>
        <v>&lt;span class="w"&gt;&lt;b&gt;【61.benefit：利益】&lt;/b&gt;&lt;/span&gt;
&lt;span class="ml"&gt;ラテン語に由来する語で、以下の2つの要素から成る。
&lt;span class="spacer"&gt;&lt;/span&gt;bene（よく）
facere（行う）
&lt;span class="spacer"&gt;&lt;/span&gt;このまま日本語にすると「良く行う」となる。よい行いは誰かにとって「利益, 恩恵」となる。&lt;/span&gt;</v>
      </c>
      <c r="S350" s="13" t="str">
        <f>INDEX($L:$L, MATCH("artificial", $B:$B, 0))</f>
        <v>&lt;span class="w"&gt;&lt;b&gt;【384.artificial：人工の, 不自然な】&lt;/b&gt;&lt;/span&gt;
&lt;span class="ml"&gt;ラテン語に由来する語で、以下の3つの要素から成る。
ars（技術, 芸術）
facere（する, 作る）
alis（形容詞化）
&lt;span class="spacer"&gt;&lt;/span&gt;これは、自然ではなく人間の技術で作られた＝「人工的な」という意味になる。また明らかに人工的であることから「不自然な」という意味にもなる。&lt;/span&gt;</v>
      </c>
      <c r="AU350" s="15"/>
      <c r="AV350" s="1" t="s">
        <v>1502</v>
      </c>
      <c r="BG350" s="7" t="s">
        <v>1503</v>
      </c>
      <c r="BH350" s="1" t="s">
        <v>2780</v>
      </c>
      <c r="BI350" s="2" t="s">
        <v>7620</v>
      </c>
      <c r="BJ350" s="1" t="s">
        <v>2031</v>
      </c>
      <c r="BK350" s="1" t="s">
        <v>3056</v>
      </c>
      <c r="BL350" s="1" t="s">
        <v>3047</v>
      </c>
      <c r="BM350" s="2" t="s">
        <v>3057</v>
      </c>
      <c r="BN350" s="1" t="s">
        <v>1865</v>
      </c>
      <c r="BO350" s="2" t="s">
        <v>3058</v>
      </c>
    </row>
    <row r="351" spans="1:69" ht="288" x14ac:dyDescent="0.45">
      <c r="A351" s="5">
        <v>350</v>
      </c>
      <c r="B351" s="8" t="s">
        <v>1493</v>
      </c>
      <c r="C351" s="6" t="s">
        <v>6850</v>
      </c>
      <c r="D351" s="7" t="s">
        <v>9752</v>
      </c>
      <c r="E351" s="1" t="s">
        <v>8932</v>
      </c>
      <c r="F351" s="1" t="s">
        <v>8897</v>
      </c>
      <c r="G351" s="1"/>
      <c r="J351" s="1" t="s">
        <v>9753</v>
      </c>
      <c r="K351" s="2" t="s">
        <v>8589</v>
      </c>
      <c r="L351" s="3" t="s">
        <v>8253</v>
      </c>
      <c r="M351" s="1" t="s">
        <v>12171</v>
      </c>
      <c r="P351" s="7" t="s">
        <v>1241</v>
      </c>
      <c r="Q351" s="14"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R351" s="14"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S351" s="14"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T351" s="14" t="str">
        <f>INDEX($L:$L, MATCH("establish", $B:$B, 0))</f>
        <v>&lt;span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v>
      </c>
      <c r="U351" s="14" t="str">
        <f>INDEX($L:$L, MATCH("static", $B:$B, 0))</f>
        <v>&lt;span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v>
      </c>
      <c r="V351" s="14"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W351" s="14"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X351" s="13"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Y351" s="13"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Z351" s="13"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AA351" s="13" t="str">
        <f>INDEX($L:$L, MATCH("steady", $B:$B, 0))</f>
        <v>&lt;span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v>
      </c>
      <c r="AB351"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C351" s="13" t="str">
        <f>INDEX($L:$L, MATCH("restore", $B:$B, 0))</f>
        <v>&lt;span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v>
      </c>
      <c r="AD351" s="13"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AE351" s="13"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U351" s="15"/>
      <c r="AV351" s="1" t="s">
        <v>1502</v>
      </c>
      <c r="BG351" s="7" t="s">
        <v>1503</v>
      </c>
      <c r="BH351" s="1" t="s">
        <v>2780</v>
      </c>
      <c r="BI351" s="2" t="s">
        <v>7621</v>
      </c>
      <c r="BJ351" s="1" t="s">
        <v>2031</v>
      </c>
      <c r="BK351" s="1" t="s">
        <v>3059</v>
      </c>
      <c r="BL351" s="1" t="s">
        <v>3047</v>
      </c>
      <c r="BM351" s="2" t="s">
        <v>3060</v>
      </c>
    </row>
    <row r="352" spans="1:69" ht="234" x14ac:dyDescent="0.45">
      <c r="A352" s="5">
        <v>351</v>
      </c>
      <c r="B352" s="8" t="s">
        <v>1494</v>
      </c>
      <c r="C352" s="6" t="s">
        <v>6850</v>
      </c>
      <c r="D352" s="7" t="s">
        <v>9752</v>
      </c>
      <c r="E352" s="1" t="s">
        <v>244</v>
      </c>
      <c r="F352" s="1"/>
      <c r="G352" s="1"/>
      <c r="J352" s="1" t="s">
        <v>9753</v>
      </c>
      <c r="K352" s="2" t="s">
        <v>7622</v>
      </c>
      <c r="L352" s="4" t="s">
        <v>8254</v>
      </c>
      <c r="P352" s="7" t="s">
        <v>1241</v>
      </c>
      <c r="Q352" s="14" t="str">
        <f>INDEX($L:$L, MATCH("manage", $B:$B, 0))</f>
        <v>&lt;span class="w"&gt;&lt;b&gt;【204.manage：～をなんとか成し遂げる, ～を管理する, （to do）なんとかやっていく】&lt;/b&gt;&lt;/span&gt;
&lt;span class="ml"&gt;ラテン語manus（手）に由来する。
&lt;span class="spacer"&gt;&lt;/span&gt;何かを手で扱うことからコントロールする＝「管理する」という意味になる。
&lt;span class="spacer"&gt;&lt;/span&gt;またなんとか管理して事を運ぶことから「なんとかやっていく」、その結果「なんとか成し遂げる」という意味になる（manage to do）。&lt;/span&gt;</v>
      </c>
      <c r="R352" s="14" t="str">
        <f>INDEX($L:$L, MATCH("manual", $B:$B, 0))</f>
        <v>&lt;span class="w"&gt;&lt;b&gt;【889.manual：手（体）を使う, 手の, 手動の】&lt;/b&gt;&lt;/span&gt;
&lt;span class="ml"&gt;ラテン語に由来する語で、以下の2つの要素から成る。
&lt;span class="spacer"&gt;&lt;/span&gt;manus（手）
alis（形容詞化）
&lt;span class="spacer"&gt;&lt;/span&gt;このまま日本語にすると「手の, 手を使う, 手動の」という意味になる。&lt;/span&gt;</v>
      </c>
      <c r="S352" s="14" t="str">
        <f>INDEX($L:$L, MATCH("manufacture", $B:$B, 0))</f>
        <v>&lt;span class="w"&gt;&lt;b&gt;【536.manufacture：製造する, でっちあげる】&lt;/b&gt;&lt;/span&gt;
&lt;span class="ml"&gt;ラテン語に由来する語で、以下の2つの要素から成る。
&lt;span class="spacer"&gt;&lt;/span&gt;manus（手）
facere（作る, する）
&lt;span class="spacer"&gt;&lt;/span&gt;このまま日本語にすると「手で作る」となる。もともとは手作業で作ることを表したが、工業化が進む中で、手や機械をつかって「製造する」という意味になった。また人工的に作り出すことから発展して、「でっちあげる」という意味にもなった。&lt;/span&gt;</v>
      </c>
      <c r="T352" s="14" t="str">
        <f>INDEX($L:$L, MATCH("manipulate", $B:$B, 0))</f>
        <v>&lt;span class="w"&gt;&lt;b&gt;【1310.manipulate：〜を（巧みに）操る】&lt;/b&gt;&lt;/span&gt;
&lt;span class="ml"&gt;ラテン語に由来する語で、以下の2つの要素から成る。
&lt;span class="spacer"&gt;&lt;/span&gt;manus（手）
plere（満たす）
&lt;span class="spacer"&gt;&lt;/span&gt;このまま日本語にすると「手を満たす」となる。もともとは一握りでつかめる量を表し、薬の計量単位としても使われた。そこから何かを手で扱うということへと発展し、何かを巧みに「操る」という意味になった。
&lt;span class="spacer"&gt;&lt;/span&gt;このmani部分は、manual（手の, 取扱説明書, 手引書, 操作手順書）のmanuと同じで「手」を意味することを覚えておく。&lt;/span&gt;</v>
      </c>
      <c r="U352" s="13" t="str">
        <f>INDEX($L:$L, MATCH("command", $B:$B, 0))</f>
        <v>&lt;span class="w"&gt;&lt;b&gt;【808.command：〜を命じる, 〜を指揮する, （景色）を見渡せる】&lt;/b&gt;&lt;/span&gt;
&lt;span class="ml"&gt;ラテン語に由来する語で、以下の3つの要素から成る。
&lt;span class="spacer"&gt;&lt;/span&gt;com（強意）
manus（手）
dare（与える）
&lt;span class="spacer"&gt;&lt;/span&gt;このまま日本語にすると「しっかり手で与える」となる。もともとは何かを手渡すことや委ねることを表したが、そこから意味が強まって、権力をもって「命じる」という意味になった。また、命令によって他の人や物を動かすことから「指揮する」、軍事において指揮者が戦場全体を見渡すことから、一般的に「景色を見渡す」という意味にもなった。
&lt;div class="sample_image command"&gt;&lt;/div&gt;&lt;/span&gt;</v>
      </c>
      <c r="V352" s="13" t="str">
        <f>INDEX($L:$L, MATCH("maintain", $B:$B, 0))</f>
        <v>&lt;span class="w"&gt;&lt;b&gt;【206.maintain：～を維持する, ～を主張する】&lt;/b&gt;&lt;/span&gt;
&lt;span class="ml"&gt;ラテン語に由来する語で、以下の2つの要素から成る。
&lt;span class="spacer"&gt;&lt;/span&gt;manus（手）
tenere（保つ, 握る）
&lt;span class="spacer"&gt;&lt;/span&gt;このまま日本語にすると「手で保つ」となる。手を使って何かを支えるイメージから、状態が続くように支える＝「維持する」という意味になる。手ではなく発言で誰かを支えるとなれば「主張する」という意味になる。&lt;/span&gt;</v>
      </c>
      <c r="AU352" s="15"/>
      <c r="AV352" s="1" t="s">
        <v>1502</v>
      </c>
      <c r="BG352" s="7" t="s">
        <v>1503</v>
      </c>
      <c r="BH352" s="1" t="s">
        <v>2780</v>
      </c>
      <c r="BI352" s="2" t="s">
        <v>3061</v>
      </c>
      <c r="BJ352" s="1" t="s">
        <v>2048</v>
      </c>
      <c r="BK352" s="1" t="s">
        <v>3062</v>
      </c>
      <c r="BL352" s="1" t="s">
        <v>2031</v>
      </c>
      <c r="BM352" s="1" t="s">
        <v>3063</v>
      </c>
      <c r="BN352" s="1" t="s">
        <v>2321</v>
      </c>
      <c r="BO352" s="1" t="s">
        <v>3064</v>
      </c>
      <c r="BP352" s="1" t="s">
        <v>3047</v>
      </c>
      <c r="BQ352" s="2" t="s">
        <v>3065</v>
      </c>
    </row>
    <row r="353" spans="1:69" ht="72" x14ac:dyDescent="0.45">
      <c r="A353" s="5">
        <v>352</v>
      </c>
      <c r="B353" s="8" t="s">
        <v>245</v>
      </c>
      <c r="C353" s="6" t="s">
        <v>6850</v>
      </c>
      <c r="D353" s="7" t="s">
        <v>9752</v>
      </c>
      <c r="E353" s="6" t="s">
        <v>245</v>
      </c>
      <c r="F353" s="1"/>
      <c r="G353" s="1"/>
      <c r="J353" s="1" t="s">
        <v>9753</v>
      </c>
      <c r="K353" s="10"/>
      <c r="L353" s="9" t="s">
        <v>8255</v>
      </c>
      <c r="P353" s="7" t="s">
        <v>1241</v>
      </c>
      <c r="AU353" s="15"/>
      <c r="AV353" s="1" t="s">
        <v>1502</v>
      </c>
      <c r="BG353" s="7" t="s">
        <v>1503</v>
      </c>
      <c r="BH353" s="1" t="s">
        <v>2648</v>
      </c>
      <c r="BI353" s="2" t="s">
        <v>3066</v>
      </c>
      <c r="BJ353" s="1" t="s">
        <v>3047</v>
      </c>
      <c r="BK353" s="1" t="s">
        <v>3067</v>
      </c>
    </row>
    <row r="354" spans="1:69" ht="252" x14ac:dyDescent="0.45">
      <c r="A354" s="5">
        <v>353</v>
      </c>
      <c r="B354" s="8" t="s">
        <v>1599</v>
      </c>
      <c r="C354" s="6" t="s">
        <v>6850</v>
      </c>
      <c r="D354" s="7" t="s">
        <v>9752</v>
      </c>
      <c r="E354" s="1" t="s">
        <v>1251</v>
      </c>
      <c r="F354" s="1" t="s">
        <v>1477</v>
      </c>
      <c r="G354" s="1"/>
      <c r="J354" s="1" t="s">
        <v>9753</v>
      </c>
      <c r="K354" s="2" t="s">
        <v>7623</v>
      </c>
      <c r="L354" s="3" t="s">
        <v>8256</v>
      </c>
      <c r="M354" s="1" t="s">
        <v>12198</v>
      </c>
      <c r="P354" s="7" t="s">
        <v>1241</v>
      </c>
      <c r="Q354" s="14" t="str">
        <f>INDEX($L:$L, MATCH("possess", $B:$B, 0))</f>
        <v>&lt;span class="w"&gt;&lt;b&gt;【701.possess：〜を所有する, 心をとらえる】&lt;/b&gt;&lt;/span&gt;
&lt;span class="ml"&gt;ラテン語に由来する語で、以下の2つの要素から成る。
&lt;span class="spacer"&gt;&lt;/span&gt;potis（力をもつ, 可能な）
sedere（座る）
&lt;span class="spacer"&gt;&lt;/span&gt;このまま日本語にすると「力をもった状態で座る」となる。ある場所に支配的に居座るイメージから、その場所を占有する、そして何かのものを「所有する」という意味になる。
&lt;span class="spacer"&gt;&lt;/span&gt;また比喩的に、相手の心を所有することから「心をとらえる」という意味にもなる。
&lt;div class="sample_image possess"&gt;&lt;/div&gt;&lt;/span&gt;</v>
      </c>
      <c r="R354" s="14" t="str">
        <f>INDEX($L:$L, MATCH("session", $B:$B, 0))</f>
        <v>&lt;span class="w"&gt;&lt;b&gt;【758.session：集まり, 会期, 議会】&lt;/b&gt;&lt;/span&gt;
&lt;span class="ml"&gt;ラテン語に由来する語で、以下の2つの要素から成る。
&lt;span class="spacer"&gt;&lt;/span&gt;sedere（座る）
io（名詞化）
&lt;span class="spacer"&gt;&lt;/span&gt;このまま日本語にすると「座ること」となる。この語の核は「集まって座って何かをすること」。
&lt;span class="spacer"&gt;&lt;/span&gt;もともとは、古代ローマなどにおいて裁判官や議員などの公職者が、話し合いや審議のために所定の席に座ることを表した。そこから、何かの目的のための「集まり」や「議会」、またその期間である「会期」という意味になった。&lt;/span&gt;</v>
      </c>
      <c r="S354" s="14" t="str">
        <f>INDEX($L:$L, MATCH("assess", $B:$B, 0))</f>
        <v>&lt;span class="w"&gt;&lt;b&gt;【801.assess：〜を評価する, 〜を査定する】&lt;/b&gt;&lt;/span&gt;
&lt;span class="ml"&gt;ラテン語に由来する語で、以下の2つの要素から成る。
&lt;span class="spacer"&gt;&lt;/span&gt;ad（〜へ）
sedere（座る）
&lt;span class="spacer"&gt;&lt;/span&gt;このまま日本語にすると「何かのそばへ座る」となる。これは、古代ローマにおいて、特に裁判官のそばに補佐役が座ることを表していた。補佐役の職務のひとつは税額や罰金を定めることだったため、そこから金額を「査定する」という意味になった。また金銭的な査定から意味が広がって何かを「評価する」という意味になった。
&lt;div class="sample_image assess"&gt;&lt;/div&gt;&lt;/span&gt;</v>
      </c>
      <c r="T354" s="14" t="str">
        <f>INDEX($L:$L, MATCH("settle", $B:$B, 0))</f>
        <v>&lt;span class="w"&gt;&lt;b&gt;【411.settle：〜を解決する, 定住する, 〜を落ち着かせる】&lt;/b&gt;&lt;/span&gt;
&lt;span class="ml"&gt;古英語setl（座席）から派生した動詞setlan（座席に座らせる, 固定位置に置く）にさかのぼる。
&lt;span class="spacer"&gt;&lt;/span&gt;この語は、何かをある場所に置いて動かないようにするイメージ。そこから、人の気持ちを「落ち着かせる」、ある場所に落ち着く＝「定住する」、物事を落ち着かせる＝「解決する」という意味になる。
&lt;div class="sample_image settle"&gt;&lt;/div&gt;&lt;/span&gt;</v>
      </c>
      <c r="AU354" s="15"/>
      <c r="AV354" s="1" t="s">
        <v>1502</v>
      </c>
      <c r="BG354" s="7" t="s">
        <v>1503</v>
      </c>
      <c r="BH354" s="1" t="s">
        <v>2780</v>
      </c>
      <c r="BI354" s="2" t="s">
        <v>3068</v>
      </c>
      <c r="BJ354" s="1" t="s">
        <v>2031</v>
      </c>
      <c r="BK354" s="1" t="s">
        <v>1599</v>
      </c>
      <c r="BL354" s="1" t="s">
        <v>3047</v>
      </c>
      <c r="BM354" s="2" t="s">
        <v>3069</v>
      </c>
    </row>
    <row r="355" spans="1:69" ht="180" x14ac:dyDescent="0.45">
      <c r="A355" s="5">
        <v>354</v>
      </c>
      <c r="B355" s="8" t="s">
        <v>246</v>
      </c>
      <c r="C355" s="6" t="s">
        <v>6850</v>
      </c>
      <c r="D355" s="7" t="s">
        <v>9752</v>
      </c>
      <c r="E355" s="6" t="s">
        <v>1495</v>
      </c>
      <c r="F355" s="1" t="s">
        <v>1496</v>
      </c>
      <c r="G355" s="1"/>
      <c r="J355" s="1" t="s">
        <v>9753</v>
      </c>
      <c r="K355" s="2" t="s">
        <v>7624</v>
      </c>
      <c r="L355" s="9" t="s">
        <v>12078</v>
      </c>
      <c r="P355" s="7" t="s">
        <v>1241</v>
      </c>
      <c r="AU355" s="15"/>
      <c r="AV355" s="1" t="s">
        <v>1502</v>
      </c>
      <c r="BG355" s="7" t="s">
        <v>1503</v>
      </c>
      <c r="BH355" s="1" t="s">
        <v>3047</v>
      </c>
      <c r="BI355" s="2" t="s">
        <v>7625</v>
      </c>
    </row>
    <row r="356" spans="1:69" ht="162" x14ac:dyDescent="0.45">
      <c r="A356" s="5">
        <v>355</v>
      </c>
      <c r="B356" s="8" t="s">
        <v>1600</v>
      </c>
      <c r="C356" s="6" t="s">
        <v>6850</v>
      </c>
      <c r="D356" s="7" t="s">
        <v>9752</v>
      </c>
      <c r="E356" s="1" t="s">
        <v>27</v>
      </c>
      <c r="F356" s="1" t="s">
        <v>7626</v>
      </c>
      <c r="G356" s="1" t="s">
        <v>1584</v>
      </c>
      <c r="J356" s="1" t="s">
        <v>9753</v>
      </c>
      <c r="K356" s="2" t="s">
        <v>7627</v>
      </c>
      <c r="L356" s="3" t="s">
        <v>8257</v>
      </c>
      <c r="M356" s="1" t="s">
        <v>12199</v>
      </c>
      <c r="P356" s="7" t="s">
        <v>1241</v>
      </c>
      <c r="Q356" s="14" t="str">
        <f>INDEX($L:$L, MATCH("constitute", $B:$B, 0))</f>
        <v>&lt;span class="w"&gt;&lt;b&gt;【1111.constitute：〜を構成する】&lt;/b&gt;&lt;/span&gt;
&lt;span class="ml"&gt;ラテン語に由来する語で、以下の2つの要素から成る。
&lt;span class="spacer"&gt;&lt;/span&gt;com（強意）
statuere（立たせる）
&lt;span class="spacer"&gt;&lt;/span&gt;この語の核は「何かをしっかり立たせる」。
S constitute Aは、SがAをしっかり立たせていることを表す。つまりSがあってAが成立するので「SはAを構成する」という意味になる。&lt;/span&gt;</v>
      </c>
      <c r="R356"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U356" s="15"/>
      <c r="AV356" s="1" t="s">
        <v>1502</v>
      </c>
      <c r="BG356" s="7" t="s">
        <v>1503</v>
      </c>
      <c r="BH356" s="1" t="s">
        <v>2780</v>
      </c>
      <c r="BI356" s="2" t="s">
        <v>7628</v>
      </c>
      <c r="BJ356" s="1" t="s">
        <v>2031</v>
      </c>
      <c r="BK356" s="1" t="s">
        <v>3070</v>
      </c>
      <c r="BL356" s="1" t="s">
        <v>3047</v>
      </c>
      <c r="BM356" s="2" t="s">
        <v>3071</v>
      </c>
      <c r="BN356" s="1" t="s">
        <v>1865</v>
      </c>
      <c r="BO356" s="2" t="s">
        <v>3072</v>
      </c>
    </row>
    <row r="357" spans="1:69" ht="198" x14ac:dyDescent="0.45">
      <c r="A357" s="5">
        <v>356</v>
      </c>
      <c r="B357" s="8" t="s">
        <v>247</v>
      </c>
      <c r="C357" s="6" t="s">
        <v>6850</v>
      </c>
      <c r="D357" s="7" t="s">
        <v>9752</v>
      </c>
      <c r="E357" s="1" t="s">
        <v>1497</v>
      </c>
      <c r="F357" s="1" t="s">
        <v>1695</v>
      </c>
      <c r="G357" s="1" t="s">
        <v>1474</v>
      </c>
      <c r="J357" s="1" t="s">
        <v>9753</v>
      </c>
      <c r="K357" s="2" t="s">
        <v>7629</v>
      </c>
      <c r="L357" s="3" t="s">
        <v>8258</v>
      </c>
      <c r="P357" s="7" t="s">
        <v>1241</v>
      </c>
      <c r="AU357" s="15"/>
      <c r="AV357" s="1" t="s">
        <v>1502</v>
      </c>
      <c r="BG357" s="7" t="s">
        <v>1503</v>
      </c>
      <c r="BH357" s="1" t="s">
        <v>2780</v>
      </c>
      <c r="BI357" s="2" t="s">
        <v>7630</v>
      </c>
      <c r="BJ357" s="1" t="s">
        <v>2031</v>
      </c>
      <c r="BK357" s="1" t="s">
        <v>3073</v>
      </c>
      <c r="BL357" s="1" t="s">
        <v>3047</v>
      </c>
      <c r="BM357" s="2" t="s">
        <v>3074</v>
      </c>
      <c r="BN357" s="1" t="s">
        <v>1865</v>
      </c>
      <c r="BO357" s="2" t="s">
        <v>3075</v>
      </c>
    </row>
    <row r="358" spans="1:69" ht="126" x14ac:dyDescent="0.45">
      <c r="A358" s="5">
        <v>357</v>
      </c>
      <c r="B358" s="8" t="s">
        <v>248</v>
      </c>
      <c r="C358" s="6" t="s">
        <v>6850</v>
      </c>
      <c r="D358" s="7" t="s">
        <v>9752</v>
      </c>
      <c r="E358" s="6" t="s">
        <v>248</v>
      </c>
      <c r="F358" s="1"/>
      <c r="G358" s="1"/>
      <c r="J358" s="1" t="s">
        <v>9753</v>
      </c>
      <c r="K358" s="2" t="s">
        <v>7631</v>
      </c>
      <c r="L358" s="9" t="s">
        <v>8259</v>
      </c>
      <c r="P358" s="7" t="s">
        <v>1241</v>
      </c>
      <c r="Q358" s="13" t="str">
        <f>INDEX($L:$L, MATCH("devote", $B:$B, 0))</f>
        <v>&lt;span class="w"&gt;&lt;b&gt;【708.devote：〜を捧げる】&lt;/b&gt;&lt;/span&gt;
&lt;span class="ml"&gt;ラテン語に由来する語で、以下の2つの要素から成る。
&lt;span class="spacer"&gt;&lt;/span&gt;de（離れて）
vovere（誓う）
&lt;span class="spacer"&gt;&lt;/span&gt;この語の核は「誓いを立てて何かを離す」。もともとは、神に対して誓い、自分自身や自分の所有物を他から引き離して捧げることを表した。そこから、何かに対してその人の時間・労力などを「捧げる」という意味になった。
&lt;span class="spacer"&gt;&lt;/span&gt;ラテン語vovereからは、vote（投票する）も生まれている。&lt;/span&gt;</v>
      </c>
      <c r="AU358" s="15"/>
      <c r="AV358" s="1" t="s">
        <v>1502</v>
      </c>
      <c r="BG358" s="7" t="s">
        <v>1503</v>
      </c>
      <c r="BH358" s="1" t="s">
        <v>2780</v>
      </c>
      <c r="BI358" s="2" t="s">
        <v>3076</v>
      </c>
      <c r="BJ358" s="1" t="s">
        <v>3047</v>
      </c>
      <c r="BK358" s="2" t="s">
        <v>3077</v>
      </c>
      <c r="BL358" s="1" t="s">
        <v>1865</v>
      </c>
      <c r="BM358" s="2" t="s">
        <v>3078</v>
      </c>
    </row>
    <row r="359" spans="1:69" ht="108" x14ac:dyDescent="0.45">
      <c r="A359" s="5">
        <v>358</v>
      </c>
      <c r="B359" s="8" t="s">
        <v>249</v>
      </c>
      <c r="C359" s="6" t="s">
        <v>6850</v>
      </c>
      <c r="D359" s="7" t="s">
        <v>9752</v>
      </c>
      <c r="E359" s="6" t="s">
        <v>249</v>
      </c>
      <c r="F359" s="1"/>
      <c r="G359" s="1"/>
      <c r="J359" s="1" t="s">
        <v>9753</v>
      </c>
      <c r="K359" s="2" t="s">
        <v>7632</v>
      </c>
      <c r="L359" s="4" t="s">
        <v>8260</v>
      </c>
      <c r="P359" s="7" t="s">
        <v>1241</v>
      </c>
      <c r="AU359" s="15"/>
      <c r="AV359" s="1" t="s">
        <v>1502</v>
      </c>
      <c r="BG359" s="7" t="s">
        <v>1503</v>
      </c>
      <c r="BH359" s="1" t="s">
        <v>2648</v>
      </c>
      <c r="BI359" s="2" t="s">
        <v>3079</v>
      </c>
      <c r="BJ359" s="1" t="s">
        <v>3047</v>
      </c>
      <c r="BK359" s="2" t="s">
        <v>3080</v>
      </c>
    </row>
    <row r="360" spans="1:69" ht="198" x14ac:dyDescent="0.45">
      <c r="A360" s="5">
        <v>359</v>
      </c>
      <c r="B360" s="8" t="s">
        <v>1601</v>
      </c>
      <c r="C360" s="6" t="s">
        <v>6850</v>
      </c>
      <c r="D360" s="7" t="s">
        <v>9752</v>
      </c>
      <c r="E360" s="6" t="s">
        <v>8933</v>
      </c>
      <c r="F360" s="1" t="s">
        <v>1602</v>
      </c>
      <c r="G360" s="1"/>
      <c r="J360" s="1" t="s">
        <v>9753</v>
      </c>
      <c r="K360" s="2" t="s">
        <v>7633</v>
      </c>
      <c r="L360" s="9" t="s">
        <v>8261</v>
      </c>
      <c r="P360" s="7" t="s">
        <v>1241</v>
      </c>
      <c r="AU360" s="15"/>
      <c r="AV360" s="1" t="s">
        <v>1502</v>
      </c>
      <c r="BG360" s="7" t="s">
        <v>1503</v>
      </c>
      <c r="BH360" s="1" t="s">
        <v>2780</v>
      </c>
      <c r="BI360" s="2" t="s">
        <v>7634</v>
      </c>
      <c r="BJ360" s="1" t="s">
        <v>2036</v>
      </c>
      <c r="BK360" s="2" t="s">
        <v>7635</v>
      </c>
      <c r="BL360" s="1" t="s">
        <v>2031</v>
      </c>
      <c r="BM360" s="1" t="s">
        <v>3081</v>
      </c>
      <c r="BN360" s="1" t="s">
        <v>2519</v>
      </c>
      <c r="BO360" s="1" t="s">
        <v>3082</v>
      </c>
      <c r="BP360" s="1" t="s">
        <v>1865</v>
      </c>
      <c r="BQ360" s="2" t="s">
        <v>3083</v>
      </c>
    </row>
    <row r="361" spans="1:69" ht="216" x14ac:dyDescent="0.45">
      <c r="A361" s="5">
        <v>360</v>
      </c>
      <c r="B361" s="8" t="s">
        <v>1526</v>
      </c>
      <c r="C361" s="6" t="s">
        <v>6850</v>
      </c>
      <c r="D361" s="7" t="s">
        <v>9752</v>
      </c>
      <c r="E361" s="1" t="s">
        <v>250</v>
      </c>
      <c r="F361" s="1"/>
      <c r="G361" s="1"/>
      <c r="J361" s="1" t="s">
        <v>9753</v>
      </c>
      <c r="K361" s="2" t="s">
        <v>7636</v>
      </c>
      <c r="L361" s="4" t="s">
        <v>8262</v>
      </c>
      <c r="M361" s="1" t="s">
        <v>12129</v>
      </c>
      <c r="P361" s="7" t="s">
        <v>1241</v>
      </c>
      <c r="Q361" s="14" t="str">
        <f>INDEX($L:$L, MATCH("found", $B:$B, 0))</f>
        <v>&lt;span class="w"&gt;&lt;b&gt;【39.found：～を設立する, ～を築く】&lt;/b&gt;&lt;/span&gt;
&lt;span class="ml"&gt;ラテン語fundus（底, 基礎）に由来する。
&lt;span class="spacer"&gt;&lt;/span&gt;底, 基礎という名詞から、基礎の上に何かを「設立する, 築く」という動詞になる。
&lt;span class="spacer"&gt;&lt;/span&gt;foundの名詞foundation（ファンデーション）は、化粧の下地や何かの土台という意味で日本語でも使われる。&lt;/span&gt;</v>
      </c>
      <c r="R361" s="14" t="str">
        <f>INDEX($L:$L, MATCH("fundamental", $B:$B, 0))</f>
        <v>&lt;span class="w"&gt;&lt;b&gt;【383.fundamental：基本的な】&lt;/b&gt;&lt;/span&gt;
&lt;span class="ml"&gt;ラテン語に由来する語で、以下の3つの要素から成る。
&lt;span class="spacer"&gt;&lt;/span&gt;fundus（底, 基礎）から派生したfundare（土台を据える）
mentum（名詞化）
alis（形容詞化）
&lt;span class="spacer"&gt;&lt;/span&gt;このまま日本語にすると「土台となるものに関する」となる。何かを行ったり作ったりするときの土台を表すことから「基本的な」という意味になる。&lt;/span&gt;</v>
      </c>
      <c r="S361" s="13" t="str">
        <f>INDEX($L:$L, MATCH("profound", $B:$B, 0))</f>
        <v>&lt;span class="w"&gt;&lt;b&gt;【897.profound：重大な, 深い】&lt;/b&gt;&lt;/span&gt;
&lt;span class="ml"&gt;ラテン語に由来する語で、以下の2つの要素から成る。
&lt;span class="spacer"&gt;&lt;/span&gt;pro（前へ）
fundus（底）
&lt;span class="spacer"&gt;&lt;/span&gt;この語の核は「底に向かってどんどん前へ（下へ）進んでいく」。物理的に奥底深くへ達するイメージから、知識や心理、また影響や変化の度合いが表面にとどまらず奥深いことを表すようになり、「深い, 重大な」という意味になった。
&lt;div class="sample_image profound"&gt;&lt;/div&gt;&lt;/span&gt;</v>
      </c>
      <c r="AU361" s="15"/>
      <c r="AV361" s="1" t="s">
        <v>1502</v>
      </c>
      <c r="BG361" s="7" t="s">
        <v>1503</v>
      </c>
      <c r="BH361" s="1" t="s">
        <v>2780</v>
      </c>
      <c r="BI361" s="2" t="s">
        <v>3084</v>
      </c>
      <c r="BJ361" s="1" t="s">
        <v>1959</v>
      </c>
      <c r="BK361" s="2" t="s">
        <v>7637</v>
      </c>
      <c r="BL361" s="1" t="s">
        <v>1865</v>
      </c>
      <c r="BM361" s="2" t="s">
        <v>3085</v>
      </c>
    </row>
    <row r="362" spans="1:69" ht="108" x14ac:dyDescent="0.45">
      <c r="A362" s="5">
        <v>361</v>
      </c>
      <c r="B362" s="8" t="s">
        <v>251</v>
      </c>
      <c r="C362" s="6" t="s">
        <v>6850</v>
      </c>
      <c r="D362" s="7" t="s">
        <v>9752</v>
      </c>
      <c r="E362" s="6" t="s">
        <v>251</v>
      </c>
      <c r="F362" s="1"/>
      <c r="G362" s="1"/>
      <c r="J362" s="1" t="s">
        <v>9753</v>
      </c>
      <c r="K362" s="2" t="s">
        <v>7638</v>
      </c>
      <c r="L362" s="9" t="s">
        <v>8263</v>
      </c>
      <c r="P362" s="7" t="s">
        <v>1241</v>
      </c>
      <c r="Q362" s="13" t="str">
        <f>INDEX($L:$L, MATCH("weave", $B:$B, 0))</f>
        <v>&lt;span class="w"&gt;&lt;b&gt;【1437.weave：〜を織る, （物語や計画など）を作る】&lt;/b&gt;&lt;/span&gt;
&lt;span class="ml"&gt;古英語wefan（糸を交差させて形作る, 織物を織る, 考案する）にさかのぼる。
&lt;span class="spacer"&gt;&lt;/span&gt;物理的な「織る」だけではなく、比喩的に編み物のように物語や計画を「作る」という意味にもなる。
&lt;span class="spacer"&gt;&lt;/span&gt;weaveは、web（クモの巣, インターネットのウェブ）と同じ印欧祖語にさかのぼるため、関連させて覚えるとよい。&lt;/span&gt;</v>
      </c>
      <c r="AU362" s="15"/>
      <c r="AV362" s="1" t="s">
        <v>1502</v>
      </c>
      <c r="BG362" s="7" t="s">
        <v>1503</v>
      </c>
      <c r="BH362" s="1" t="s">
        <v>2569</v>
      </c>
      <c r="BI362" s="2" t="s">
        <v>3086</v>
      </c>
      <c r="BJ362" s="1" t="s">
        <v>2648</v>
      </c>
      <c r="BK362" s="2" t="s">
        <v>7639</v>
      </c>
      <c r="BL362" s="1" t="s">
        <v>1863</v>
      </c>
      <c r="BM362" s="2" t="s">
        <v>3087</v>
      </c>
    </row>
    <row r="363" spans="1:69" ht="144" x14ac:dyDescent="0.45">
      <c r="A363" s="5">
        <v>362</v>
      </c>
      <c r="B363" s="8" t="s">
        <v>252</v>
      </c>
      <c r="C363" s="6" t="s">
        <v>6850</v>
      </c>
      <c r="D363" s="7" t="s">
        <v>9752</v>
      </c>
      <c r="E363" s="6" t="s">
        <v>1498</v>
      </c>
      <c r="F363" s="1" t="s">
        <v>1499</v>
      </c>
      <c r="G363" s="1"/>
      <c r="J363" s="1" t="s">
        <v>9753</v>
      </c>
      <c r="K363" s="2" t="s">
        <v>7640</v>
      </c>
      <c r="L363" s="9" t="s">
        <v>8264</v>
      </c>
      <c r="P363" s="7" t="s">
        <v>1241</v>
      </c>
      <c r="AU363" s="15"/>
      <c r="AV363" s="1" t="s">
        <v>1502</v>
      </c>
      <c r="BG363" s="7" t="s">
        <v>1503</v>
      </c>
      <c r="BH363" s="1" t="s">
        <v>2423</v>
      </c>
      <c r="BI363" s="2" t="s">
        <v>7641</v>
      </c>
      <c r="BJ363" s="1" t="s">
        <v>2147</v>
      </c>
      <c r="BK363" s="1" t="s">
        <v>3088</v>
      </c>
      <c r="BL363" s="1" t="s">
        <v>1863</v>
      </c>
      <c r="BM363" s="2" t="s">
        <v>3089</v>
      </c>
      <c r="BN363" s="1" t="s">
        <v>1865</v>
      </c>
      <c r="BO363" s="2" t="s">
        <v>3090</v>
      </c>
    </row>
    <row r="364" spans="1:69" ht="144" x14ac:dyDescent="0.45">
      <c r="A364" s="5">
        <v>363</v>
      </c>
      <c r="B364" s="8" t="s">
        <v>1603</v>
      </c>
      <c r="C364" s="6" t="s">
        <v>6850</v>
      </c>
      <c r="D364" s="7" t="s">
        <v>9752</v>
      </c>
      <c r="E364" s="1" t="s">
        <v>1500</v>
      </c>
      <c r="F364" s="1" t="s">
        <v>1501</v>
      </c>
      <c r="G364" s="1"/>
      <c r="J364" s="1" t="s">
        <v>9753</v>
      </c>
      <c r="K364" s="2" t="s">
        <v>7642</v>
      </c>
      <c r="L364" s="3" t="s">
        <v>8265</v>
      </c>
      <c r="P364" s="7" t="s">
        <v>1241</v>
      </c>
      <c r="AU364" s="15"/>
      <c r="AV364" s="1" t="s">
        <v>1502</v>
      </c>
      <c r="BG364" s="7" t="s">
        <v>1503</v>
      </c>
      <c r="BH364" s="1" t="s">
        <v>2423</v>
      </c>
      <c r="BI364" s="2" t="s">
        <v>7643</v>
      </c>
      <c r="BJ364" s="1" t="s">
        <v>1980</v>
      </c>
      <c r="BK364" s="1" t="s">
        <v>3091</v>
      </c>
      <c r="BL364" s="1" t="s">
        <v>1865</v>
      </c>
      <c r="BM364" s="2" t="s">
        <v>3092</v>
      </c>
    </row>
    <row r="365" spans="1:69" ht="234" x14ac:dyDescent="0.45">
      <c r="A365" s="5">
        <v>364</v>
      </c>
      <c r="B365" s="8" t="s">
        <v>1604</v>
      </c>
      <c r="C365" s="6" t="s">
        <v>6850</v>
      </c>
      <c r="D365" s="7" t="s">
        <v>9752</v>
      </c>
      <c r="E365" s="6" t="s">
        <v>6202</v>
      </c>
      <c r="F365" s="1" t="s">
        <v>1584</v>
      </c>
      <c r="G365" s="1"/>
      <c r="J365" s="1" t="s">
        <v>9753</v>
      </c>
      <c r="K365" s="2" t="s">
        <v>7644</v>
      </c>
      <c r="L365" s="4" t="s">
        <v>8266</v>
      </c>
      <c r="M365" s="1" t="s">
        <v>12186</v>
      </c>
      <c r="P365" s="7" t="s">
        <v>1241</v>
      </c>
      <c r="Q365" s="14" t="str">
        <f>INDEX($L:$L, MATCH("universal", $B:$B, 0))</f>
        <v>&lt;span class="w"&gt;&lt;b&gt;【282.universal：普遍的な, 宇宙の】&lt;/b&gt;&lt;/span&gt;
&lt;span class="ml"&gt;ラテン語に由来する語で、以下の3つの要素から成る。
&lt;span class="spacer"&gt;&lt;/span&gt;unus（1つ）
vertere（回す, 向きを変える）
alis（形容詞化）
&lt;span class="spacer"&gt;&lt;/span&gt;このまま日本語にすると「ひとつに回す」となる。回転することで中心に巻き込まれていって全体がひとつになるイメージから、世界全体や宇宙全体に関わる＝「普遍的な, 宇宙の」という意味になる。
普遍的とは広く全体に当てはまるということ。&lt;/span&gt;</v>
      </c>
      <c r="R365" s="14" t="str">
        <f>INDEX($L:$L, MATCH("advertise", $B:$B, 0))</f>
        <v>&lt;span class="w"&gt;&lt;b&gt;【414.advertise：〜を宣伝する】&lt;/b&gt;&lt;/span&gt;
&lt;span class="ml"&gt;ラテン語に由来する語で、以下の2つの要素から成る。
&lt;span class="spacer"&gt;&lt;/span&gt;ad（〜へ）
vertere（回す, 向ける）
&lt;span class="spacer"&gt;&lt;/span&gt;この語の核は「注意をある方向へ向けさせる」ということ。人の注意を特定の対象に向けさせることから、商品などに目を向けさせる＝「何かを宣伝する」という意味になる。
&lt;div class="sample_image advertise"&gt;&lt;/div&gt;&lt;/span&gt;</v>
      </c>
      <c r="S365" s="14" t="str">
        <f>INDEX($L:$L, MATCH("diversity", $B:$B, 0))</f>
        <v>&lt;span class="w"&gt;&lt;b&gt;【456.diversity：多様性, 相違点】&lt;/b&gt;&lt;/span&gt;
&lt;span class="ml"&gt;ラテン語に由来する語で、以下の3つの要素から成る。
&lt;span class="spacer"&gt;&lt;/span&gt;dis（離れて）
vertere（回す, 向ける）
tas（名詞化）
&lt;span class="spacer"&gt;&lt;/span&gt;このまま日本語にすると「離れた（異なる）方向に向けること」となる。これは、それぞれが異なる方向を向いているイメージ。そこから、物事がさまざまに分かれている状態を表し、「多様性, 相違点」という意味になる。&lt;/span&gt;</v>
      </c>
      <c r="T365" s="14" t="str">
        <f>INDEX($L:$L, MATCH("reverse", $B:$B, 0))</f>
        <v>&lt;span class="w"&gt;&lt;b&gt;【726.reverse：〜を逆転させる, 〜を反対にする】&lt;/b&gt;&lt;/span&gt;
&lt;span class="ml"&gt;ラテン語に由来する語で、以下の2つの要素から成る。
&lt;span class="spacer"&gt;&lt;/span&gt;re（再び, 後ろへ）
vertere（回す, 向ける）
&lt;span class="spacer"&gt;&lt;/span&gt;このまま日本語にすると「後ろへ向ける」や「再び回す」となる。このような向きを変える、ひっくり返す動きから、何かを「逆転させる, 反対にする」という意味になる。&lt;/span&gt;</v>
      </c>
      <c r="U365" s="14" t="str">
        <f>INDEX($L:$L, MATCH("divorce", $B:$B, 0))</f>
        <v>&lt;span class="w"&gt;&lt;b&gt;【764.divorce：離婚, 分離】&lt;/b&gt;&lt;/span&gt;
&lt;span class="ml"&gt;ラテン語に由来する語で、以下の2つの要素から成る。
&lt;span class="spacer"&gt;&lt;/span&gt;dis（離れて）
vertere（向ける）
&lt;span class="spacer"&gt;&lt;/span&gt;このまま日本語にすると「離れた方向に向ける」となる。もともとは何かの「分離」を意味した。そして、人生という道を共にする夫婦が離れた方を向いて行くことから「離婚」という意味になった。
&lt;div class="sample_image divorce"&gt;&lt;/div&gt;&lt;/span&gt;</v>
      </c>
      <c r="V365" s="14" t="str">
        <f>INDEX($L:$L, MATCH("controversy", $B:$B, 0))</f>
        <v>&lt;span class="w"&gt;&lt;b&gt;【1152.controversy：論争】&lt;/b&gt;&lt;/span&gt;
&lt;span class="ml"&gt;ラテン語に由来する語で、以下の3つの要素から成る。
&lt;span class="spacer"&gt;&lt;/span&gt;contra（反対に）
versus（〜の方に向けられた)
ia（名詞化）
&lt;span class="spacer"&gt;&lt;/span&gt;この語の核は「相手と同じ方向ではなく反対に向いていること、向き合っていること」。つまり考えや立場が対立して争っていることを表し、そこから 「論争」という意味になる。
&lt;div class="sample_image controversy"&gt;&lt;/div&gt;&lt;/span&gt;</v>
      </c>
      <c r="W365" s="14" t="str">
        <f>INDEX($L:$L, MATCH("anniversary", $B:$B, 0))</f>
        <v>&lt;span class="w"&gt;&lt;b&gt;【1245.anniversary：〜周年の記念日】&lt;/b&gt;&lt;/span&gt;
&lt;span class="ml"&gt;ラテン語に由来する語で、以下の4つの要素から成る。
&lt;span class="spacer"&gt;&lt;/span&gt;annus（年）
vertere（回す）の過去分詞versus（回された）
arius（形容詞化）
um（名詞化）
&lt;span class="spacer"&gt;&lt;/span&gt;この語の核は「毎年回ってくる日」。
そこから「周年の記念日」という意味になる。&lt;/span&gt;</v>
      </c>
      <c r="X365" s="14" t="str">
        <f>INDEX($L:$L, MATCH("versus", $B:$B, 0))</f>
        <v>&lt;span class="w"&gt;&lt;b&gt;【1100.versus：（A versus B）A対B】&lt;/b&gt;&lt;/span&gt;
&lt;span class="ml"&gt;ラテン語vertere（回す, 向ける）の過去分詞versus（〜の方に向けられた, 〜に対して）に由来する。
&lt;span class="spacer"&gt;&lt;/span&gt;何かの方に向けられていることから「対する, A対B」という意味になる。A versus BはAがBの方に向けられているというイメージ。&lt;/span&gt;</v>
      </c>
      <c r="Y365" s="13" t="str">
        <f>INDEX($L:$L, MATCH("vertical", $B:$B, 0))</f>
        <v>&lt;span class="w"&gt;&lt;b&gt;【1188.vertical：垂直の】&lt;/b&gt;&lt;/span&gt;
&lt;span class="ml"&gt;ラテン語に由来する語で、以下の2つの要素から成る。
&lt;span class="spacer"&gt;&lt;/span&gt;vertere（回す）から派生したvertex（回転, 渦, 頂点）
alis（形容詞化）
&lt;span class="spacer"&gt;&lt;/span&gt;この語の核は「回転」。物体の回転や天体の回転、水の渦、髪の渦（つむじ）など、あらゆる回転には中心を通る上下に伸びる軸がある。たとえば天体の回転も、観察者の真上に中心があり、そこを軸として空全体が回転しているように見える。
&lt;span class="spacer"&gt;&lt;/span&gt;そこから、天頂から地平線に対してまっすぐ下ろした線、つまり真上にある頂点から真下へと直角に交わる線へと繋がって「垂直な」という意味になった。
&lt;div class="sample_image vertical"&gt;&lt;/div&gt;&lt;/span&gt;</v>
      </c>
      <c r="Z365" s="13" t="str">
        <f>INDEX($L:$L, MATCH("convert", $B:$B, 0))</f>
        <v>&lt;span class="w"&gt;&lt;b&gt;【820.convert：～を変える, 改宗させる】&lt;/b&gt;&lt;/span&gt;
&lt;span class="ml"&gt;ラテン語に由来する語で、以下の2つの要素から成る。
&lt;span class="spacer"&gt;&lt;/span&gt;com（共に）
vertere（向ける）
&lt;span class="spacer"&gt;&lt;/span&gt;このまま日本語にすると「共に向ける」となる。これは、みんなを同じ方に向けるイメージ。そこから宗教において、同じ対象を信仰するように「改宗させる」という意味になる。また宗教に限らず、形式や用途などを人為的に「変える」という意味になる。
&lt;div class="sample_image convert"&gt;&lt;/div&gt;&lt;/span&gt;</v>
      </c>
      <c r="AU365" s="15"/>
      <c r="AV365" s="1" t="s">
        <v>1502</v>
      </c>
      <c r="BG365" s="7" t="s">
        <v>1503</v>
      </c>
      <c r="BH365" s="1" t="s">
        <v>2780</v>
      </c>
      <c r="BI365" s="2" t="s">
        <v>7645</v>
      </c>
      <c r="BJ365" s="1" t="s">
        <v>1980</v>
      </c>
      <c r="BK365" s="2" t="s">
        <v>7646</v>
      </c>
      <c r="BL365" s="1" t="s">
        <v>2031</v>
      </c>
      <c r="BM365" s="1" t="s">
        <v>3093</v>
      </c>
      <c r="BN365" s="1" t="s">
        <v>1865</v>
      </c>
      <c r="BO365" s="2" t="s">
        <v>3094</v>
      </c>
    </row>
    <row r="366" spans="1:69" ht="409.6" x14ac:dyDescent="0.45">
      <c r="A366" s="5">
        <v>365</v>
      </c>
      <c r="B366" s="8" t="s">
        <v>1527</v>
      </c>
      <c r="C366" s="6" t="s">
        <v>6850</v>
      </c>
      <c r="D366" s="7" t="s">
        <v>9752</v>
      </c>
      <c r="E366" s="1" t="s">
        <v>1325</v>
      </c>
      <c r="F366" s="1" t="s">
        <v>4768</v>
      </c>
      <c r="G366" s="1" t="s">
        <v>1528</v>
      </c>
      <c r="J366" s="1" t="s">
        <v>9753</v>
      </c>
      <c r="K366" s="2" t="s">
        <v>7312</v>
      </c>
      <c r="L366" s="3" t="s">
        <v>8267</v>
      </c>
      <c r="M366" s="1" t="s">
        <v>12135</v>
      </c>
      <c r="P366" s="7" t="s">
        <v>1241</v>
      </c>
      <c r="Q366" s="14" t="str">
        <f>INDEX($L:$L, MATCH("respect", $B:$B, 0))</f>
        <v>&lt;span class="w"&gt;&lt;b&gt;【133.respect：〜を尊敬する】&lt;/b&gt;&lt;/span&gt;
&lt;span class="ml"&gt;ラテン語に由来する語で、以下の2つの要素から成る。
&lt;span class="spacer"&gt;&lt;/span&gt;re（後ろへ）
specere（見る）
&lt;span class="spacer"&gt;&lt;/span&gt;このまま日本語にすると「後ろを見る」となる。振り返って見る、1度見たものを何度もよく見るというイメージから、対象に注意、配慮、敬意を向ける、つまり「尊敬する」という意味になる。
&lt;span class="spacer"&gt;&lt;/span&gt;名詞respectは、ある事柄に何度も目を向けることから、目を向ける先の「ポイント」や「関係」を意味する。&lt;/span&gt;</v>
      </c>
      <c r="R366" s="14" t="str">
        <f>INDEX($L:$L, MATCH("aspect", $B:$B, 0))</f>
        <v>&lt;span class="w"&gt;&lt;b&gt;【174.aspect：側面, 観点】&lt;/b&gt;&lt;/span&gt;
&lt;span class="ml"&gt;ラテン語に由来する語で、以下の3つの要素から成る。
&lt;span class="spacer"&gt;&lt;/span&gt;ad（～へ）
specere（見る）
tus（名詞化）
&lt;span class="spacer"&gt;&lt;/span&gt;このまま日本語にすると「～へ見ること」となる。もともとは占星術用語として使われ、地球と他の惑星がどのように見えるかを意味した。たとえば地球から月を見るとき、地球上の観測点からは月のひとつの面しか見えない。
&lt;span class="spacer"&gt;&lt;/span&gt;ここから、自分から相手、相手から自分を見るそれぞれの「観点」や、見ている相手の「側面」という意味になる。
&lt;div class="sample_image aspect"&gt;&lt;/div&gt;&lt;/span&gt;</v>
      </c>
      <c r="S366" s="14" t="str">
        <f>INDEX($L:$L, MATCH("suspect", $B:$B, 0))</f>
        <v>&lt;span class="w"&gt;&lt;b&gt;【630.suspect：〜を疑う, 〜ではないかと思う】&lt;/b&gt;&lt;/span&gt;
&lt;span class="ml"&gt;ラテン語に由来する語で、以下の2つの要素から成る。
&lt;span class="spacer"&gt;&lt;/span&gt;sub（下から）
specere（見る）
&lt;span class="spacer"&gt;&lt;/span&gt;このまま日本語にすると「下から見る」となる。これは、下からこっそり見上げて疑いの目を向けるイメージ。ここから「疑う」という意味になる。
&lt;div class="sample_image suspect"&gt;&lt;/div&gt;&lt;/span&gt;</v>
      </c>
      <c r="T366" s="14" t="str">
        <f>INDEX($L:$L, MATCH("prospect", $B:$B, 0))</f>
        <v>&lt;span class="w"&gt;&lt;b&gt;【860.prospect：見込み, 未来への展望, 有望な人】&lt;/b&gt;&lt;/span&gt;
&lt;span class="ml"&gt;ラテン語に由来する語で、以下の2つの要素から成る。
&lt;span class="spacer"&gt;&lt;/span&gt;pro（前へ）
specere（見る）
&lt;span class="spacer"&gt;&lt;/span&gt;このまま日本語にすると「前方を見る」となる。物理的に遠くを見ることから、時間的に遠い将来を見ることへと発展して「見込み, 未来への展望」という意味になった。また未来を期待される人＝「将来有望な人」という意味にもなった。&lt;/span&gt;</v>
      </c>
      <c r="U366" s="14" t="str">
        <f>INDEX($L:$L, MATCH("spectator", $B:$B, 0))</f>
        <v>&lt;span class="w"&gt;&lt;b&gt;【1465.spectator：観客】&lt;/b&gt;&lt;/span&gt;
&lt;span class="ml"&gt;ラテン語に由来する語で、以下の2つの要素から成る。
&lt;span class="spacer"&gt;&lt;/span&gt;spectare（繰り返し見る, 観察する）
or（〜する人）
&lt;span class="spacer"&gt;&lt;/span&gt;このまま日本語にすると「しっかり見る人, 観察する人」すなわち「観客」という意味になる。
&lt;span class="spacer"&gt;&lt;/span&gt;spectを見たら「見る」系の意味だと覚えておくとよい。&lt;/span&gt;</v>
      </c>
      <c r="V366" s="14" t="str">
        <f>INDEX($L:$L, MATCH("species", $B:$B, 0))</f>
        <v>&lt;span class="w"&gt;&lt;b&gt;【56.species：（生物の）種】&lt;/b&gt;&lt;/span&gt;
&lt;span class="ml"&gt;ラテン語specere（注視する）に由来する。
&lt;span class="spacer"&gt;&lt;/span&gt;何かを注視するということは、全体を見るのではなく、全体の中の特定のものに目を向けるということ。ここから生物全体の中の特定の種類＝「生物の種」という意味になる。
&lt;span class="spacer"&gt;&lt;/span&gt;ラテン語のspeciesが英語になっただけなので、-iesは英語の名詞複数形ではない。&lt;/span&gt;</v>
      </c>
      <c r="W366" s="14" t="str">
        <f>INDEX($L:$L, MATCH("specific", $B:$B, 0))</f>
        <v>&lt;span class="w"&gt;&lt;b&gt;【184.specific：特定の, 明確な, 具体的な, ～に特有の】&lt;/b&gt;&lt;/span&gt;
&lt;span class="ml"&gt;ラテン語に由来する語で、以下の2つの要素から成る。
&lt;span class="spacer"&gt;&lt;/span&gt;species（種類）
facere（作る, する）
&lt;span class="spacer"&gt;&lt;/span&gt;このまま日本語にすると「ある種類を作る」となる。何かの種類を作るとは、他の種類にはない特定の性質を持たせるということ。ここから「特定の, 特有の」という意味になる。
&lt;span class="spacer"&gt;&lt;/span&gt;また特定という意味から曖昧ではなく「明確な, 具体的な」という意味になる。&lt;/span&gt;</v>
      </c>
      <c r="X366" s="14" t="str">
        <f>INDEX($L:$L, MATCH("unexpected", $B:$B, 0))</f>
        <v>&lt;span class="w"&gt;&lt;b&gt;【594.unexpected：思いがけない】&lt;/b&gt;&lt;/span&gt;
&lt;span class="ml"&gt;［expectの語源］
ラテン語に由来する語で、以下の2つの要素から成る。
&lt;span class="spacer"&gt;&lt;/span&gt;ex（外に, 徹底的に）
specere（見る）
&lt;span class="spacer"&gt;&lt;/span&gt;このまま日本語にすると「外を徹底的に見る」となる。これが頭の中で未来の出来事に目を向けることへと発展し、未来に起こることを「期待する」という意味になった。
&lt;span class="spacer"&gt;&lt;/span&gt;［unexpectedの語源］
近代英語にさかのぼり、以下の2つの要素から成る。
&lt;span class="spacer"&gt;&lt;/span&gt;un（否定）
expectの過去分詞expected
&lt;span class="spacer"&gt;&lt;/span&gt;ここから、起きることを期待して見ていなかった、つまり「思いがけない」という意味になる。&lt;/span&gt;</v>
      </c>
      <c r="Y366" s="14" t="str">
        <f>INDEX($L:$L, MATCH("spectrum", $B:$B, 0))</f>
        <v>&lt;span class="w"&gt;&lt;b&gt;【1369.spectrum：スペクトル, （波動・変動の）範囲】&lt;/b&gt;&lt;/span&gt;
&lt;span class="ml"&gt;ラテン語に由来する語で、以下の2つの要素から成る。
&lt;span class="spacer"&gt;&lt;/span&gt;specere（見る, 眺める）
um（名詞化）
&lt;span class="spacer"&gt;&lt;/span&gt;このまま日本語にすると「見えるもの」となり、核は「本来は見えないものが目の前に現れたもの」。
&lt;span class="spacer"&gt;&lt;/span&gt;物理学者のアイザック・ニュートンが、プリズムを通した太陽光が虹色に分かれる現象を発表した際、この暗闇に浮かび上がる光の帯を光が現れた姿と見立ててspectrumと名付けた。そこから目に見える光の色帯＝「スペクトル」という意味になった。
&lt;span class="spacer"&gt;&lt;/span&gt;さらに、光の波長が途切れることなく連続して広がっている様子から、光や音だけではなく事象や意見など、様々な物事が連続的に存在する「範囲」という意味にもなった。
&lt;div class="sample_image spectrum"&gt;&lt;/div&gt;&lt;/span&gt;</v>
      </c>
      <c r="Z366" s="14" t="str">
        <f>INDEX($L:$L, MATCH("despite", $B:$B, 0))</f>
        <v>&lt;span class="w"&gt;&lt;b&gt;【100.despite：～にもかかわらず】&lt;/b&gt;&lt;/span&gt;
&lt;span class="ml"&gt;ラテン語に由来する語で、以下の2つの要素から成る。
&lt;span class="spacer"&gt;&lt;/span&gt;de（下に）
specere（見る）
&lt;span class="spacer"&gt;&lt;/span&gt;このまま日本語にすると「下に見る」となる。これは見下すという対象の存在を軽く見る行為。「対象があってもなくても関係ない」から「～にもかかわらず」という意味になる。
&lt;span class="spacer"&gt;&lt;/span&gt;ターゲットの例文 "They went hiking despite the fact a storm was coming" は「嵐が来ている事実を、それが事実であろうとなかろうと関係なくハイキングに行った」ということを伝えている。この日本語訳を「嵐が来ているという事実&lt;strong&gt;にもかかわらず&lt;/strong&gt;」と表現しているだけ。&lt;/span&gt;</v>
      </c>
      <c r="AU366" s="15"/>
      <c r="AV366" s="1" t="s">
        <v>1502</v>
      </c>
      <c r="BG366" s="7" t="s">
        <v>1503</v>
      </c>
      <c r="BH366" s="1" t="s">
        <v>2780</v>
      </c>
      <c r="BI366" s="2" t="s">
        <v>3095</v>
      </c>
      <c r="BJ366" s="1" t="s">
        <v>1980</v>
      </c>
      <c r="BK366" s="2" t="s">
        <v>3096</v>
      </c>
      <c r="BL366" s="1" t="s">
        <v>2031</v>
      </c>
      <c r="BM366" s="2" t="s">
        <v>3097</v>
      </c>
      <c r="BN366" s="1" t="s">
        <v>3047</v>
      </c>
      <c r="BO366" s="2" t="s">
        <v>3098</v>
      </c>
    </row>
    <row r="367" spans="1:69" ht="144" x14ac:dyDescent="0.45">
      <c r="A367" s="5">
        <v>366</v>
      </c>
      <c r="B367" s="8" t="s">
        <v>253</v>
      </c>
      <c r="C367" s="6" t="s">
        <v>6850</v>
      </c>
      <c r="D367" s="7" t="s">
        <v>9752</v>
      </c>
      <c r="E367" s="1" t="s">
        <v>253</v>
      </c>
      <c r="F367" s="1"/>
      <c r="G367" s="1"/>
      <c r="J367" s="1" t="s">
        <v>9753</v>
      </c>
      <c r="K367" s="2" t="s">
        <v>7647</v>
      </c>
      <c r="L367" s="3" t="s">
        <v>8268</v>
      </c>
      <c r="P367" s="7" t="s">
        <v>1241</v>
      </c>
      <c r="Q367" s="13" t="str">
        <f>INDEX($L:$L, MATCH("criticize", $B:$B, 0))</f>
        <v>&lt;span class="w"&gt;&lt;b&gt;【505.criticize：〜を批評する, 〜を批判する】&lt;/b&gt;&lt;/span&gt;
&lt;span class="ml"&gt;近代英語にさかのぼり、以下の2つの要素から成る。
&lt;span class="spacer"&gt;&lt;/span&gt;critic（批評家）
ize（動詞化）
&lt;span class="spacer"&gt;&lt;/span&gt;［criticの語源］
印欧祖語*krei-（ふるいにかける）にさかのぼり、ギリシャ語krinein（分ける, 判断する）に由来する。良いものと悪いものを分ける、区別する、判断するといった意味を経て、良し悪しを判断する者＝「批評家」という意味になった。
&lt;span class="spacer"&gt;&lt;/span&gt;［criticize］
近代英語において、critic（良し悪しを判断する者）に動詞を作る-izeが付いて「批評する」という意味になった。さらに、評価の中でも特に欠点を指摘する意味が強まって「 批判する」という意味になった。&lt;/span&gt;</v>
      </c>
      <c r="R367" s="13" t="str">
        <f>INDEX($L:$L, MATCH("criterion", $B:$B, 0))</f>
        <v>&lt;span class="w"&gt;&lt;b&gt;【1343.criterion：判断や評価の基準】&lt;/b&gt;&lt;/span&gt;
&lt;span class="ml"&gt;ギリシャ語に由来する語で、以下の3つの要素から成る。
&lt;span class="spacer"&gt;&lt;/span&gt;krinein（判断する）
tes（〜する人）
ion（名詞化：手段）
&lt;span class="spacer"&gt;&lt;/span&gt;ギリシャ語krineinは、印欧祖語*krei-（ふるいにかける）にさかのぼる。物事をふるいにかけることから、その善悪や良し悪しなどを判断することへと発展した。
&lt;span class="spacer"&gt;&lt;/span&gt;そしてそこにtesが付いて判断する人・裁判官を表すようになり、さらにionが付いて判断する人が用いる手段、つまり「判断や評価の基準」という意味になった。
&lt;div class="sample_image criterion"&gt;&lt;/div&gt;&lt;/span&gt;</v>
      </c>
      <c r="AV367" s="1" t="s">
        <v>1502</v>
      </c>
      <c r="BG367" s="7" t="s">
        <v>1503</v>
      </c>
      <c r="BH367" s="1" t="s">
        <v>2569</v>
      </c>
      <c r="BI367" s="1" t="s">
        <v>1977</v>
      </c>
      <c r="BJ367" s="1" t="s">
        <v>2423</v>
      </c>
      <c r="BK367" s="2" t="s">
        <v>7648</v>
      </c>
      <c r="BL367" s="1" t="s">
        <v>1863</v>
      </c>
      <c r="BM367" s="2" t="s">
        <v>3099</v>
      </c>
      <c r="BN367" s="1" t="s">
        <v>1865</v>
      </c>
      <c r="BO367" s="2" t="s">
        <v>7649</v>
      </c>
    </row>
    <row r="368" spans="1:69" ht="216" x14ac:dyDescent="0.45">
      <c r="A368" s="5">
        <v>367</v>
      </c>
      <c r="B368" s="8" t="s">
        <v>254</v>
      </c>
      <c r="C368" s="6" t="s">
        <v>6850</v>
      </c>
      <c r="D368" s="7" t="s">
        <v>9752</v>
      </c>
      <c r="E368" s="1" t="s">
        <v>1505</v>
      </c>
      <c r="F368" s="1" t="s">
        <v>1506</v>
      </c>
      <c r="G368" s="1"/>
      <c r="J368" s="1" t="s">
        <v>9753</v>
      </c>
      <c r="K368" s="2" t="s">
        <v>7650</v>
      </c>
      <c r="L368" s="3" t="s">
        <v>8269</v>
      </c>
      <c r="P368" s="7" t="s">
        <v>1241</v>
      </c>
      <c r="Q368" s="14" t="str">
        <f>INDEX($L:$L, MATCH("asteroid", $B:$B, 0))</f>
        <v>&lt;span class="w"&gt;&lt;b&gt;【848.asteroid：小惑星】&lt;/b&gt;&lt;/span&gt;
&lt;span class="ml"&gt;ギリシャ語に由来する語で、以下の2つの要素から成る。
&lt;span class="spacer"&gt;&lt;/span&gt;aster（星）
eidos（形をした, 〜のような）
&lt;span class="spacer"&gt;&lt;/span&gt;このまま日本語にすると「星のようなもの」となる。初期の望遠鏡では、「小惑星」は惑星のようには見えず、恒星のように見えたことから、asteroid（星のようなもの）という名前が付けられた。
&lt;div class="sample_image asteroid"&gt;&lt;/div&gt;
&lt;span class="spacer"&gt;&lt;/span&gt;惑星：水星・金星・地球・火星・木星・土星・天王星・海王星
球形で自ら光ってはいない。
&lt;span class="spacer"&gt;&lt;/span&gt;恒星：自ら光を放つ。&lt;/span&gt;</v>
      </c>
      <c r="AV368" s="1" t="s">
        <v>1502</v>
      </c>
      <c r="BG368" s="7" t="s">
        <v>1503</v>
      </c>
      <c r="BH368" s="1" t="s">
        <v>2423</v>
      </c>
      <c r="BI368" s="1" t="s">
        <v>3100</v>
      </c>
      <c r="BJ368" s="1" t="s">
        <v>2780</v>
      </c>
      <c r="BK368" s="1" t="s">
        <v>3101</v>
      </c>
      <c r="BL368" s="1" t="s">
        <v>2616</v>
      </c>
      <c r="BM368" s="2" t="s">
        <v>7651</v>
      </c>
      <c r="BN368" s="1" t="s">
        <v>2519</v>
      </c>
      <c r="BO368" s="1" t="s">
        <v>3102</v>
      </c>
      <c r="BP368" s="1" t="s">
        <v>1865</v>
      </c>
      <c r="BQ368" s="2" t="s">
        <v>3103</v>
      </c>
    </row>
    <row r="369" spans="1:69" ht="234" x14ac:dyDescent="0.45">
      <c r="A369" s="5">
        <v>368</v>
      </c>
      <c r="B369" s="8" t="s">
        <v>1529</v>
      </c>
      <c r="C369" s="6" t="s">
        <v>6850</v>
      </c>
      <c r="D369" s="7" t="s">
        <v>9752</v>
      </c>
      <c r="E369" s="1" t="s">
        <v>1668</v>
      </c>
      <c r="F369" s="1" t="s">
        <v>1525</v>
      </c>
      <c r="G369" s="1"/>
      <c r="J369" s="1" t="s">
        <v>9753</v>
      </c>
      <c r="K369" s="2" t="s">
        <v>7652</v>
      </c>
      <c r="L369" s="4" t="s">
        <v>8270</v>
      </c>
      <c r="M369" s="1" t="s">
        <v>12194</v>
      </c>
      <c r="P369" s="7" t="s">
        <v>1241</v>
      </c>
      <c r="Q369" s="14" t="str">
        <f>INDEX($L:$L, MATCH("select", $B:$B, 0))</f>
        <v>&lt;span class="w"&gt;&lt;b&gt;【322.select：〜を選ぶ, えり抜く】&lt;/b&gt;&lt;/span&gt;
&lt;span class="ml"&gt;ラテン語に由来する語で、以下の2つの要素から成る。
&lt;span class="spacer"&gt;&lt;/span&gt;se（離れて）
legere（集める, 選ぶ）
&lt;span class="spacer"&gt;&lt;/span&gt;このまま日本語にすると「選んで離す」となる。全体の中から選び出して離す＝「選ぶ, えり抜く」という意味になる。&lt;/span&gt;</v>
      </c>
      <c r="R369" s="14" t="str">
        <f>INDEX($L:$L, MATCH("neglect", $B:$B, 0))</f>
        <v>&lt;span class="w"&gt;&lt;b&gt;【733.neglect：〜を無視する, 〜をおろそかにする】&lt;/b&gt;&lt;/span&gt;
&lt;span class="ml"&gt;ラテン語に由来する語で、以下の2つの要素から成る。
&lt;span class="spacer"&gt;&lt;/span&gt;nec（ない）
legere（拾い上げる, 選ぶ）
&lt;span class="spacer"&gt;&lt;/span&gt;このまま日本語にすると「拾い上げない」となる。これは、拾い上げないでそのまま放置することから、何かを「おろそかにする」という意味になる。また拾わないということが、注意を払わない、軽視するといった心理的な態度を表すようになり、「無視する」という意味にもなった。&lt;/span&gt;</v>
      </c>
      <c r="S369" s="14" t="str">
        <f>INDEX($L:$L, MATCH("elect", $B:$B, 0))</f>
        <v>&lt;span class="w"&gt;&lt;b&gt;【1137.elect：〜を選出する】&lt;/b&gt;&lt;/span&gt;
&lt;span class="ml"&gt;ラテン語に由来する語で、以下の2つの要素から成る。
&lt;span class="spacer"&gt;&lt;/span&gt;ex（外に）
legere（選ぶ）
&lt;span class="spacer"&gt;&lt;/span&gt;このまま日本語にすると「選んで外に」となる。複数の選択肢から選び出すことから、「（ある役職や地位などに）選出する」という意味になる。&lt;/span&gt;</v>
      </c>
      <c r="T369" s="14" t="str">
        <f>INDEX($L:$L, MATCH("collective", $B:$B, 0))</f>
        <v>&lt;span class="w"&gt;&lt;b&gt;【895.collective：集団の, 共同の】&lt;/b&gt;&lt;/span&gt;
&lt;span class="ml"&gt;ラテン語に由来する語で、以下の2つの要素から成る。
&lt;span class="spacer"&gt;&lt;/span&gt;com（共に）
legere（集める）
ivus（形容詞化）
&lt;span class="spacer"&gt;&lt;/span&gt;このまま日本語にすると「共に集まった」、つまり「集合の, 集団な」という意味になる。これはcollect（集める）の形容詞として覚えればよい。&lt;/span&gt;</v>
      </c>
      <c r="U369" s="14" t="str">
        <f>INDEX($L:$L, MATCH("elite", $B:$B, 0))</f>
        <v>&lt;span class="w"&gt;&lt;b&gt;【746.elite：（the eliteで）エリート（集合名詞）】&lt;/b&gt;&lt;/span&gt;
&lt;span class="ml"&gt;ラテン語に由来する語で、以下の2つの要素から成る。
&lt;span class="spacer"&gt;&lt;/span&gt;ex（外に）
legere（選ぶ）
&lt;span class="spacer"&gt;&lt;/span&gt;この語の核は「外に選び出す」。ここから選び出された人たち、つまり「エリート」という意味になった。&lt;/span&gt;</v>
      </c>
      <c r="V369" s="14" t="str">
        <f>INDEX($L:$L, MATCH("intelligent", $B:$B, 0))</f>
        <v>&lt;span class="w"&gt;&lt;b&gt;【379.intelligent：聡明な, 知能が高い】&lt;/b&gt;&lt;/span&gt;
&lt;span class="ml"&gt;ラテン語に由来する語で、以下の2つの要素から成る。
&lt;span class="spacer"&gt;&lt;/span&gt;inter（～の間に）
legere（集める, 選ぶ）
&lt;span class="spacer"&gt;&lt;/span&gt;これは、さまざまな物事や情報「の間に」ある違いを見極めて「選ぶ」能力があるということを表す。ここから「知能の高い, 聡明な」という意味になる。
&lt;span class="spacer"&gt;&lt;/span&gt;AI（人工知能）は、Artificial（人工的な）Inteligence（知能）の略。inteligence（知能）の形容詞がintelligent（知能が高い）。&lt;/span&gt;</v>
      </c>
      <c r="W369" s="13" t="str">
        <f>INDEX($L:$L, MATCH("colleague", $B:$B, 0))</f>
        <v>&lt;span class="w"&gt;&lt;b&gt;【246.colleague：同僚】&lt;/b&gt;&lt;/span&gt;
&lt;span class="ml"&gt;ラテン語に由来する語で、以下の2つの要素から成る。
&lt;span class="spacer"&gt;&lt;/span&gt;com（共に）
legare（任命して派遣する）
&lt;span class="spacer"&gt;&lt;/span&gt;これは「同じ職務に就くために共に派遣された者」から「同僚」という意味になる。&lt;/span&gt;</v>
      </c>
      <c r="X369" s="13" t="str">
        <f>INDEX($L:$L, MATCH("dialect", $B:$B, 0))</f>
        <v>&lt;span class="w"&gt;&lt;b&gt;【463.dialect：方言】&lt;/b&gt;&lt;/span&gt;
&lt;span class="ml"&gt;ギリシャ語に由来する語で、以下の2つの要素から成る。
&lt;span class="spacer"&gt;&lt;/span&gt;dia（間で）
legein（話す）
&lt;span class="spacer"&gt;&lt;/span&gt;このまま日本語にすると「間で話す」となる。もともとは、人々の間で言葉を交わすこと、つまり会話を意味していた。
&lt;span class="spacer"&gt;&lt;/span&gt;古代ギリシャは、一つの国家ではなく、独立した多数の都市国家（ポリス）が基本単位であり、地域ごとに話し方が異なっていた。このような言葉遣いの違いを指してdialektosが使われるようになり、そこから「方言」という意味になった。&lt;/span&gt;</v>
      </c>
      <c r="AU369" s="15"/>
      <c r="AV369" s="1" t="s">
        <v>1502</v>
      </c>
      <c r="BG369" s="7" t="s">
        <v>1503</v>
      </c>
      <c r="BH369" s="1" t="s">
        <v>2780</v>
      </c>
      <c r="BI369" s="2" t="s">
        <v>3104</v>
      </c>
      <c r="BJ369" s="1" t="s">
        <v>1980</v>
      </c>
      <c r="BK369" s="2" t="s">
        <v>3105</v>
      </c>
      <c r="BL369" s="1" t="s">
        <v>1863</v>
      </c>
      <c r="BM369" s="2" t="s">
        <v>3106</v>
      </c>
      <c r="BN369" s="1" t="s">
        <v>1865</v>
      </c>
      <c r="BO369" s="2" t="s">
        <v>3107</v>
      </c>
    </row>
    <row r="370" spans="1:69" ht="234" x14ac:dyDescent="0.45">
      <c r="A370" s="5">
        <v>369</v>
      </c>
      <c r="B370" s="8" t="s">
        <v>255</v>
      </c>
      <c r="C370" s="6" t="s">
        <v>6850</v>
      </c>
      <c r="D370" s="7" t="s">
        <v>9752</v>
      </c>
      <c r="E370" s="1" t="s">
        <v>1507</v>
      </c>
      <c r="F370" s="1" t="s">
        <v>1508</v>
      </c>
      <c r="G370" s="1"/>
      <c r="J370" s="1" t="s">
        <v>9753</v>
      </c>
      <c r="K370" s="2" t="s">
        <v>7653</v>
      </c>
      <c r="L370" s="9" t="s">
        <v>8271</v>
      </c>
      <c r="P370" s="7" t="s">
        <v>1241</v>
      </c>
      <c r="AV370" s="1" t="s">
        <v>1502</v>
      </c>
      <c r="BG370" s="7" t="s">
        <v>1503</v>
      </c>
      <c r="BH370" s="1" t="s">
        <v>2423</v>
      </c>
      <c r="BI370" s="1" t="s">
        <v>7654</v>
      </c>
      <c r="BJ370" s="1" t="s">
        <v>2162</v>
      </c>
      <c r="BK370" s="1" t="s">
        <v>7655</v>
      </c>
      <c r="BL370" s="1" t="s">
        <v>1865</v>
      </c>
      <c r="BM370" s="2" t="s">
        <v>7656</v>
      </c>
    </row>
    <row r="371" spans="1:69" ht="396" x14ac:dyDescent="0.45">
      <c r="A371" s="5">
        <v>370</v>
      </c>
      <c r="B371" s="8" t="s">
        <v>1530</v>
      </c>
      <c r="C371" s="6" t="s">
        <v>6850</v>
      </c>
      <c r="D371" s="7" t="s">
        <v>9752</v>
      </c>
      <c r="E371" s="1" t="s">
        <v>256</v>
      </c>
      <c r="F371" s="1"/>
      <c r="G371" s="1"/>
      <c r="J371" s="1" t="s">
        <v>9753</v>
      </c>
      <c r="K371" s="2" t="s">
        <v>7657</v>
      </c>
      <c r="L371" s="4" t="s">
        <v>8272</v>
      </c>
      <c r="M371" s="1" t="s">
        <v>12146</v>
      </c>
      <c r="P371" s="7" t="s">
        <v>1241</v>
      </c>
      <c r="Q371" s="14" t="str">
        <f>INDEX($L:$L, MATCH("native", $B:$B, 0))</f>
        <v>&lt;span class="w"&gt;&lt;b&gt;【94.native：出生地の, 原生の, 生まれつきの】&lt;/b&gt;&lt;/span&gt;
&lt;span class="ml"&gt;印欧祖語*gene-（生む, 生み出す）から派生したラテン語に由来する語で、以下の2つの要素から成る。
&lt;span class="spacer"&gt;&lt;/span&gt;nasci（生まれる）
ivus（形容詞化）
&lt;span class="spacer"&gt;&lt;/span&gt;「生まれる」が形容詞となって「生まれたままの」＝「生まれつきの」という意味になる。
&lt;span class="spacer"&gt;&lt;/span&gt;また生まれた土地と結びついている＝「出生地の, 原生の」という意味になる。&lt;/span&gt;</v>
      </c>
      <c r="R371" s="14" t="str">
        <f>INDEX($L:$L, MATCH("innate", $B:$B, 0))</f>
        <v>&lt;span class="w"&gt;&lt;b&gt;【1290.innate：生まれながらの】&lt;/b&gt;&lt;/span&gt;
&lt;span class="ml"&gt;ラテン語に由来する語で、以下の2つの要素から成る。
&lt;span class="spacer"&gt;&lt;/span&gt;in（中に）
nasci（生まれる）
&lt;span class="spacer"&gt;&lt;/span&gt;このまま日本語にすると「〜の中に生まれる」となる。生まれた時からその人やその動物の中にあることを表して「生まれつきの」という意味になる。
&lt;span class="spacer"&gt;&lt;/span&gt;nate部分は、nativeやnatureと同じイメージ。&lt;/span&gt;</v>
      </c>
      <c r="S371" s="14" t="str">
        <f>INDEX($L:$L, MATCH("indigenous", $B:$B, 0))</f>
        <v>&lt;span class="w"&gt;&lt;b&gt;【1189.indigenous：原産の, 先住の】&lt;/b&gt;&lt;/span&gt;
&lt;span class="ml"&gt;ラテン語に由来する語で、以下の3つの要素から成る。
&lt;span class="spacer"&gt;&lt;/span&gt;indu（中に）
gignere（生む）
us（形容詞化）
&lt;span class="spacer"&gt;&lt;/span&gt;この語の核は「ある環境の中で生まれた」。ある土地に初めから根付いている動植物や人を表して「土着の, 先住の」という意味になった。
&lt;div class="sample_image indigenous"&gt;&lt;/div&gt;&lt;/span&gt;</v>
      </c>
      <c r="T371" s="14" t="str">
        <f>INDEX($L:$L, MATCH("gene", $B:$B, 0))</f>
        <v>&lt;span class="w"&gt;&lt;b&gt;【275.gene：遺伝子】&lt;/b&gt;&lt;/span&gt;
&lt;span class="ml"&gt;印欧祖語*gene-（生む, 産む）から生まれたギリシャ語genea（世代, 人種, 血統）に由来する。
&lt;span class="spacer"&gt;&lt;/span&gt;このギリシャ語をもとに、デンマークの科学者が1905年にドイツ語Gen（遺伝子）を造る。世代を超えて引き継がれるもの, 種族で共通するもの、つまり「遺伝子」を指した。&lt;/span&gt;</v>
      </c>
      <c r="U371" s="14" t="str">
        <f>INDEX($L:$L, MATCH("generate", $B:$B, 0))</f>
        <v>&lt;span class="w"&gt;&lt;b&gt;【407.generate：〜を生み出す】&lt;/b&gt;&lt;/span&gt;
&lt;span class="ml"&gt;ラテン語genus（種族,  血統, 性別）から派生した動詞generare（生む, 生じさせる）に由来する。
&lt;span class="spacer"&gt;&lt;/span&gt;印欧祖語*gene-（生む, 産む）と同じく「生み出す」という意味になる。
&lt;span class="spacer"&gt;&lt;/span&gt;名詞generationは同時代の種族全体や生むこと自体を表して「世代, 発生」という意味になる。
&lt;span class="spacer"&gt;&lt;/span&gt;形容詞generalは「種族全体に関する」から「一般的な」という意味になる。&lt;/span&gt;</v>
      </c>
      <c r="V371" s="14" t="str">
        <f>INDEX($L:$L, MATCH("generous", $B:$B, 0))</f>
        <v>&lt;span class="w"&gt;&lt;b&gt;【880.generous：寛大な, 気前のよい】&lt;/b&gt;&lt;/span&gt;
&lt;span class="ml"&gt;ラテン語に由来する語で、以下の2つの要素から成る。
&lt;span class="spacer"&gt;&lt;/span&gt;genus（生まれ, 家系, 血統）
osus（形容詞化：〜に満ちている）
&lt;span class="spacer"&gt;&lt;/span&gt;もともとは、立派な血統に満ちていて高貴な生まれであることを表した。古代や中世には、高貴な人は器が大きく、他者に対して気前よくものを与え、寛大に振る舞うべきであるという価値観があったことから「寛大な, 気前のよい」という意味になった。&lt;/span&gt;</v>
      </c>
      <c r="W371" s="14" t="str">
        <f>INDEX($L:$L, MATCH("genuine", $B:$B, 0))</f>
        <v>&lt;span class="w"&gt;&lt;b&gt;【888.genuine：本物の, 偽りのない】&lt;/b&gt;&lt;/span&gt;
&lt;span class="ml"&gt;ラテン語に由来する語で、以下の2つの要素から成ると考えられる。
&lt;span class="spacer"&gt;&lt;/span&gt;gignere（生む, 産出する）
inus（形容詞化）
&lt;span class="spacer"&gt;&lt;/span&gt;この語の核は「生まれたまま自然な状態」。後から作られた混ぜ物や偽物ではなく、生まれたままであることを表し、「本物の, 偽りのない」という意味になる。
&lt;span class="spacer"&gt;&lt;/span&gt;また別の語源の説では、ラテン語genu（膝）に由来するという考えもある。
&lt;span class="spacer"&gt;&lt;/span&gt;古代ローマでは、赤ん坊が生まれると、父親がその子を自分の膝の上に置くという伝統的な儀式があった。これは単なるスキンシップではなく、「この子は間違いなく自分の血を引く、正式な子供である」と公に認めるための重要な法的手続きだった。そこから「偽りのない, 本物の」という意味になった。&lt;/span&gt;</v>
      </c>
      <c r="X371" s="14" t="str">
        <f>INDEX($L:$L, MATCH("pregnant", $B:$B, 0))</f>
        <v>&lt;span class="w"&gt;&lt;b&gt;【1095.pregnant：妊娠した】&lt;/b&gt;&lt;/span&gt;
&lt;span class="ml"&gt;ラテン語に由来する語で、以下の2つの要素から成る。
&lt;span class="spacer"&gt;&lt;/span&gt;prae（前に）
gnasci（生まれる）
&lt;span class="spacer"&gt;&lt;/span&gt;このまま日本語にすると「生まれる前」となる。そこから子を宿している状態＝「妊娠した」という意味になる。&lt;/span&gt;</v>
      </c>
      <c r="AV371" s="1" t="s">
        <v>1502</v>
      </c>
      <c r="BG371" s="7" t="s">
        <v>1503</v>
      </c>
      <c r="BH371" s="1" t="s">
        <v>2569</v>
      </c>
      <c r="BI371" s="1" t="s">
        <v>3108</v>
      </c>
      <c r="BJ371" s="1" t="s">
        <v>2780</v>
      </c>
      <c r="BK371" s="2" t="s">
        <v>3109</v>
      </c>
      <c r="BL371" s="1" t="s">
        <v>2031</v>
      </c>
      <c r="BM371" s="1" t="s">
        <v>3110</v>
      </c>
      <c r="BN371" s="1" t="s">
        <v>1863</v>
      </c>
      <c r="BO371" s="2" t="s">
        <v>3111</v>
      </c>
      <c r="BP371" s="1" t="s">
        <v>1860</v>
      </c>
      <c r="BQ371" s="2" t="s">
        <v>3112</v>
      </c>
    </row>
    <row r="372" spans="1:69" ht="216" x14ac:dyDescent="0.45">
      <c r="A372" s="5">
        <v>371</v>
      </c>
      <c r="B372" s="8" t="s">
        <v>1605</v>
      </c>
      <c r="C372" s="6" t="s">
        <v>6850</v>
      </c>
      <c r="D372" s="7" t="s">
        <v>9752</v>
      </c>
      <c r="E372" s="1" t="s">
        <v>1509</v>
      </c>
      <c r="F372" s="1" t="s">
        <v>1510</v>
      </c>
      <c r="G372" s="1"/>
      <c r="J372" s="1" t="s">
        <v>9753</v>
      </c>
      <c r="K372" s="2" t="s">
        <v>7658</v>
      </c>
      <c r="L372" s="9" t="s">
        <v>8273</v>
      </c>
      <c r="P372" s="7" t="s">
        <v>1241</v>
      </c>
      <c r="Q372" s="13" t="str">
        <f>INDEX($L:$L, MATCH("accustom", $B:$B, 0))</f>
        <v>&lt;span class="w"&gt;&lt;b&gt;【1206.accustom：〜を慣れさせる】&lt;/b&gt;&lt;/span&gt;
&lt;span class="ml"&gt;古フランス語に由来する語で、以下の2つの要素から成る。
&lt;span class="spacer"&gt;&lt;/span&gt;à（〜へ）
costume（習慣）
&lt;span class="spacer"&gt;&lt;/span&gt;この語の核は「習慣へ向かわせる」。ある物事を習慣として定着させることから、何かに「慣れさせる」という意味になる。
&lt;span class="spacer"&gt;&lt;/span&gt;be accustomed to 名詞（〜に慣れている）
このtoは前置詞なので、後には名詞・動名詞が続く。&lt;/span&gt;</v>
      </c>
      <c r="AU372" s="15"/>
      <c r="AV372" s="1" t="s">
        <v>1502</v>
      </c>
      <c r="BG372" s="7" t="s">
        <v>1503</v>
      </c>
      <c r="BH372" s="1" t="s">
        <v>2780</v>
      </c>
      <c r="BI372" s="2" t="s">
        <v>3113</v>
      </c>
      <c r="BJ372" s="1" t="s">
        <v>2048</v>
      </c>
      <c r="BK372" s="1" t="s">
        <v>3114</v>
      </c>
      <c r="BL372" s="1" t="s">
        <v>2031</v>
      </c>
      <c r="BM372" s="2" t="s">
        <v>3115</v>
      </c>
      <c r="BN372" s="1" t="s">
        <v>3047</v>
      </c>
      <c r="BO372" s="2" t="s">
        <v>3116</v>
      </c>
    </row>
    <row r="373" spans="1:69" ht="198" x14ac:dyDescent="0.45">
      <c r="A373" s="5">
        <v>372</v>
      </c>
      <c r="B373" s="8" t="s">
        <v>257</v>
      </c>
      <c r="C373" s="6" t="s">
        <v>6850</v>
      </c>
      <c r="D373" s="7" t="s">
        <v>9752</v>
      </c>
      <c r="E373" s="6" t="s">
        <v>257</v>
      </c>
      <c r="F373" s="1"/>
      <c r="G373" s="1"/>
      <c r="J373" s="1" t="s">
        <v>9753</v>
      </c>
      <c r="K373" s="2" t="s">
        <v>7659</v>
      </c>
      <c r="L373" s="9" t="s">
        <v>8274</v>
      </c>
      <c r="P373" s="7" t="s">
        <v>1241</v>
      </c>
      <c r="AU373" s="15"/>
      <c r="AV373" s="1" t="s">
        <v>1502</v>
      </c>
      <c r="BG373" s="7" t="s">
        <v>1503</v>
      </c>
      <c r="BH373" s="1" t="s">
        <v>2780</v>
      </c>
      <c r="BI373" s="2" t="s">
        <v>7660</v>
      </c>
      <c r="BJ373" s="1" t="s">
        <v>2031</v>
      </c>
      <c r="BK373" s="1" t="s">
        <v>3117</v>
      </c>
      <c r="BL373" s="1" t="s">
        <v>3118</v>
      </c>
      <c r="BM373" s="2" t="s">
        <v>3119</v>
      </c>
    </row>
    <row r="374" spans="1:69" ht="234" x14ac:dyDescent="0.45">
      <c r="A374" s="5">
        <v>373</v>
      </c>
      <c r="B374" s="8" t="s">
        <v>258</v>
      </c>
      <c r="C374" s="6" t="s">
        <v>6850</v>
      </c>
      <c r="D374" s="7" t="s">
        <v>9752</v>
      </c>
      <c r="E374" s="1" t="s">
        <v>1327</v>
      </c>
      <c r="F374" s="1" t="s">
        <v>1511</v>
      </c>
      <c r="G374" s="1"/>
      <c r="J374" s="1" t="s">
        <v>9753</v>
      </c>
      <c r="K374" s="2" t="s">
        <v>7661</v>
      </c>
      <c r="L374" s="9" t="s">
        <v>8275</v>
      </c>
      <c r="P374" s="7" t="s">
        <v>1241</v>
      </c>
      <c r="Q374" s="14" t="str">
        <f>INDEX($L:$L, MATCH("assert", $B:$B, 0))</f>
        <v>&lt;span class="w"&gt;&lt;b&gt;【1325.assert：〜を主張する】&lt;/b&gt;&lt;/span&gt;
&lt;span class="ml"&gt;ラテン語に由来する語で、以下の2つの要素から成る。
&lt;span class="spacer"&gt;&lt;/span&gt;ad（〜へ）
serere（結びつける）
&lt;span class="spacer"&gt;&lt;/span&gt;この語の核は「自分の側へ結びつける」。古代ローマでは、法的文脈において、ある人や物を自分の権利に属するものとして主張するという意味で用いられた。
&lt;span class="spacer"&gt;&lt;/span&gt;この自分の側に結びつけて権利や立場を認めさせるという感覚から、現代でも、権利や立場を「主張する」や、ある事柄を強く断言して「主張する」という意味になった。
&lt;span class="spacer"&gt;&lt;/span&gt;assertのsert部分は、間に入れて結びつけるinsert（挿入する）や、人や植物との結びつきが話されたdesert（砂漠, 見捨てる）にも含まれている。&lt;/span&gt;</v>
      </c>
      <c r="R374" s="15"/>
      <c r="AU374" s="15"/>
      <c r="AV374" s="1" t="s">
        <v>1502</v>
      </c>
      <c r="BG374" s="7" t="s">
        <v>1503</v>
      </c>
      <c r="BH374" s="1" t="s">
        <v>2780</v>
      </c>
      <c r="BI374" s="2" t="s">
        <v>3120</v>
      </c>
      <c r="BJ374" s="1" t="s">
        <v>2147</v>
      </c>
      <c r="BK374" s="2" t="s">
        <v>3121</v>
      </c>
      <c r="BL374" s="1" t="s">
        <v>2031</v>
      </c>
      <c r="BM374" s="2" t="s">
        <v>3122</v>
      </c>
      <c r="BN374" s="1" t="s">
        <v>3047</v>
      </c>
      <c r="BO374" s="2" t="s">
        <v>3123</v>
      </c>
    </row>
    <row r="375" spans="1:69" ht="162" x14ac:dyDescent="0.45">
      <c r="A375" s="5">
        <v>374</v>
      </c>
      <c r="B375" s="8" t="s">
        <v>259</v>
      </c>
      <c r="C375" s="6" t="s">
        <v>6850</v>
      </c>
      <c r="D375" s="7" t="s">
        <v>9752</v>
      </c>
      <c r="E375" s="1" t="s">
        <v>259</v>
      </c>
      <c r="F375" s="1"/>
      <c r="G375" s="1"/>
      <c r="J375" s="1" t="s">
        <v>9753</v>
      </c>
      <c r="K375" s="2" t="s">
        <v>7662</v>
      </c>
      <c r="L375" s="9" t="s">
        <v>8276</v>
      </c>
      <c r="P375" s="7" t="s">
        <v>1241</v>
      </c>
      <c r="AU375" s="15"/>
      <c r="AV375" s="1" t="s">
        <v>1502</v>
      </c>
      <c r="BG375" s="7" t="s">
        <v>1503</v>
      </c>
      <c r="BH375" s="1" t="s">
        <v>2031</v>
      </c>
      <c r="BI375" s="2" t="s">
        <v>7663</v>
      </c>
      <c r="BJ375" s="1" t="s">
        <v>1869</v>
      </c>
      <c r="BK375" s="2" t="s">
        <v>3124</v>
      </c>
      <c r="BL375" s="1" t="s">
        <v>3047</v>
      </c>
      <c r="BM375" s="2" t="s">
        <v>3125</v>
      </c>
    </row>
    <row r="376" spans="1:69" ht="198" x14ac:dyDescent="0.45">
      <c r="A376" s="5">
        <v>375</v>
      </c>
      <c r="B376" s="8" t="s">
        <v>1531</v>
      </c>
      <c r="C376" s="6" t="s">
        <v>6850</v>
      </c>
      <c r="D376" s="7" t="s">
        <v>9752</v>
      </c>
      <c r="E376" s="1" t="s">
        <v>1532</v>
      </c>
      <c r="F376" s="1" t="s">
        <v>8868</v>
      </c>
      <c r="G376" s="1" t="s">
        <v>1525</v>
      </c>
      <c r="J376" s="1" t="s">
        <v>9753</v>
      </c>
      <c r="K376" s="2" t="s">
        <v>7664</v>
      </c>
      <c r="L376" s="4" t="s">
        <v>8277</v>
      </c>
      <c r="M376" s="1" t="s">
        <v>12142</v>
      </c>
      <c r="P376" s="7" t="s">
        <v>1241</v>
      </c>
      <c r="Q376" s="14" t="str">
        <f>INDEX($L:$L, MATCH("culture", $B:$B, 0))</f>
        <v>&lt;span class="w"&gt;&lt;b&gt;【78.culture：文化, 教養, 耕作, 培養】&lt;/b&gt;&lt;/span&gt;
&lt;span class="ml"&gt;ラテン語に由来する語で、以下の2つの要素から成る。
&lt;span class="spacer"&gt;&lt;/span&gt;colere（耕す）
ura（名詞化）
&lt;span class="spacer"&gt;&lt;/span&gt;このまま日本語にすると「耕すこと」となる。もともとは土地を耕し、時間をかけて何かを育てることを意味した。ここから「耕作, 培養」といった意味につながる。
&lt;span class="spacer"&gt;&lt;/span&gt;さらにそこから発展して、作物に限らず、時間をかけて作られるものを意味するようになる。ある民族や集団が長い時間をかけて作り上げる「文化」や、人々が長い時間をかけて蓄積し、作り上げていく学問や文明などの「教養」という意味になる。&lt;/span&gt;</v>
      </c>
      <c r="R376" s="14" t="str">
        <f>INDEX($L:$L, MATCH("colony", $B:$B, 0))</f>
        <v>&lt;span class="w"&gt;&lt;b&gt;【572.colony：植民地】&lt;/b&gt;&lt;/span&gt;
&lt;span class="ml"&gt;ラテン語colere（耕す, 住む）から派生したcolonia（農地, 定住地）に由来する。もともとの耕すという行為から、耕す人、そしてその人々が開拓した新しい定住地へと意味が発展した。
&lt;span class="spacer"&gt;&lt;/span&gt;この「開拓した地に住む」ということが、支配した国や地域に自国民を移住させて開拓を行うという概念と結びつき、「植民地」という意味になった。
&lt;div class="sample_image colony"&gt;&lt;/div&gt;&lt;/span&gt;</v>
      </c>
      <c r="S376" s="13" t="str">
        <f>INDEX($L:$L, MATCH("cultivate", $B:$B, 0))</f>
        <v>&lt;span class="w"&gt;&lt;b&gt;【921.cultivate：〜を栽培する, 〜を養う】&lt;/b&gt;&lt;/span&gt;
&lt;span class="ml"&gt;ラテン語colere（耕作する）に由来する。
&lt;span class="spacer"&gt;&lt;/span&gt;この語の核は「時間をかけて作物が育つ土壌を作り上げる」。そこから、畑を耕作して何かを「栽培する」という意味になり、さらに発展して能力や習慣などを「養う」という意味になった。
&lt;span class="spacer"&gt;&lt;/span&gt;ラテン語colereからは、土を育てるように、人々が時間をかけて作り上げるculture（文化）という語も生まれている。&lt;/span&gt;</v>
      </c>
      <c r="AU376" s="15"/>
      <c r="AV376" s="1" t="s">
        <v>1502</v>
      </c>
      <c r="BG376" s="7" t="s">
        <v>1503</v>
      </c>
      <c r="BH376" s="1" t="s">
        <v>2780</v>
      </c>
      <c r="BI376" s="2" t="s">
        <v>7665</v>
      </c>
      <c r="BJ376" s="1" t="s">
        <v>2324</v>
      </c>
      <c r="BK376" s="2" t="s">
        <v>7666</v>
      </c>
      <c r="BL376" s="1" t="s">
        <v>3047</v>
      </c>
      <c r="BM376" s="2" t="s">
        <v>3126</v>
      </c>
    </row>
    <row r="377" spans="1:69" ht="144" x14ac:dyDescent="0.45">
      <c r="A377" s="5">
        <v>376</v>
      </c>
      <c r="B377" s="8" t="s">
        <v>1606</v>
      </c>
      <c r="C377" s="6" t="s">
        <v>6850</v>
      </c>
      <c r="D377" s="7" t="s">
        <v>9752</v>
      </c>
      <c r="E377" s="6" t="s">
        <v>8934</v>
      </c>
      <c r="F377" s="1" t="s">
        <v>1607</v>
      </c>
      <c r="G377" s="1"/>
      <c r="J377" s="1" t="s">
        <v>9753</v>
      </c>
      <c r="K377" s="2"/>
      <c r="L377" s="2" t="s">
        <v>8278</v>
      </c>
      <c r="P377" s="7" t="s">
        <v>1241</v>
      </c>
      <c r="AU377" s="15"/>
      <c r="AV377" s="1" t="s">
        <v>1502</v>
      </c>
      <c r="BG377" s="7" t="s">
        <v>1503</v>
      </c>
      <c r="BH377" s="1" t="s">
        <v>2780</v>
      </c>
      <c r="BI377" s="2" t="s">
        <v>3127</v>
      </c>
      <c r="BJ377" s="1" t="s">
        <v>2519</v>
      </c>
      <c r="BK377" s="2" t="s">
        <v>3128</v>
      </c>
      <c r="BL377" s="1" t="s">
        <v>1865</v>
      </c>
      <c r="BM377" s="2" t="s">
        <v>3129</v>
      </c>
    </row>
    <row r="378" spans="1:69" ht="126" x14ac:dyDescent="0.45">
      <c r="A378" s="5">
        <v>377</v>
      </c>
      <c r="B378" s="8" t="s">
        <v>1608</v>
      </c>
      <c r="C378" s="6" t="s">
        <v>6850</v>
      </c>
      <c r="D378" s="7" t="s">
        <v>9752</v>
      </c>
      <c r="E378" s="6" t="s">
        <v>8935</v>
      </c>
      <c r="F378" s="1" t="s">
        <v>1517</v>
      </c>
      <c r="G378" s="1"/>
      <c r="J378" s="1" t="s">
        <v>9753</v>
      </c>
      <c r="K378" s="2" t="s">
        <v>7667</v>
      </c>
      <c r="L378" s="9" t="s">
        <v>8279</v>
      </c>
      <c r="P378" s="7" t="s">
        <v>1241</v>
      </c>
      <c r="AU378" s="15"/>
      <c r="AV378" s="1" t="s">
        <v>1502</v>
      </c>
      <c r="BG378" s="7" t="s">
        <v>1503</v>
      </c>
      <c r="BH378" s="1" t="s">
        <v>2780</v>
      </c>
      <c r="BI378" s="2" t="s">
        <v>7668</v>
      </c>
      <c r="BJ378" s="1" t="s">
        <v>1980</v>
      </c>
      <c r="BK378" s="2" t="s">
        <v>3130</v>
      </c>
      <c r="BL378" s="1" t="s">
        <v>2031</v>
      </c>
      <c r="BM378" s="2" t="s">
        <v>3131</v>
      </c>
      <c r="BN378" s="1" t="s">
        <v>3047</v>
      </c>
      <c r="BO378" s="2" t="s">
        <v>3132</v>
      </c>
      <c r="BP378" s="1" t="s">
        <v>1865</v>
      </c>
      <c r="BQ378" s="2" t="s">
        <v>3133</v>
      </c>
    </row>
    <row r="379" spans="1:69" ht="180" x14ac:dyDescent="0.45">
      <c r="A379" s="5">
        <v>378</v>
      </c>
      <c r="B379" s="8" t="s">
        <v>1609</v>
      </c>
      <c r="C379" s="6" t="s">
        <v>6850</v>
      </c>
      <c r="D379" s="7" t="s">
        <v>9752</v>
      </c>
      <c r="E379" s="6" t="s">
        <v>8936</v>
      </c>
      <c r="F379" s="1" t="s">
        <v>8937</v>
      </c>
      <c r="G379" s="1" t="s">
        <v>1541</v>
      </c>
      <c r="J379" s="1" t="s">
        <v>9753</v>
      </c>
      <c r="K379" s="2" t="s">
        <v>7669</v>
      </c>
      <c r="L379" s="9" t="s">
        <v>8280</v>
      </c>
      <c r="M379" s="1" t="s">
        <v>12200</v>
      </c>
      <c r="P379" s="7" t="s">
        <v>1241</v>
      </c>
      <c r="Q379" s="14" t="str">
        <f>INDEX($L:$L, MATCH("advocate", $B:$B, 0))</f>
        <v>&lt;span class="w"&gt;&lt;b&gt;【1110.advocate：〜を主張する, 〜を擁護する】&lt;/b&gt;&lt;/span&gt;
&lt;span class="ml"&gt;ラテン語に由来する語で、以下の2つの要素から成る。
&lt;span class="spacer"&gt;&lt;/span&gt;ad（〜へ）
vocare（呼ぶ）
&lt;span class="spacer"&gt;&lt;/span&gt;このまま日本語にすると「〜へ呼ぶ」となる。もともとは人を呼び寄せることを表し、特に法廷で助言や弁護のために呼ばれる人を指した。そこから、ある人の代わりに声を上げる存在という意味になり、人や立場、考えの側に立ってそれを「支持する, 擁護する, 主張する」という意味へと発展した。&lt;/span&gt;</v>
      </c>
      <c r="R379" s="13" t="str">
        <f>INDEX($L:$L, MATCH("vocal", $B:$B, 0))</f>
        <v>&lt;span class="w"&gt;&lt;b&gt;【1392.vocal：声の, 発声の, はっきりものを言う】&lt;/b&gt;&lt;/span&gt;
&lt;span class="ml"&gt;ラテン語に由来する語で、以下の2つの要素から成る。
&lt;span class="spacer"&gt;&lt;/span&gt;vox（声）
alis（形容詞化）
&lt;span class="spacer"&gt;&lt;/span&gt;このまま日本語にすれば「声の, 発声の」という意味になる。また声を出すことから発展して、遠慮なく声を出す＝「はっきりものを言う」という意味もある。&lt;/span&gt;</v>
      </c>
      <c r="AU379" s="15"/>
      <c r="AV379" s="1" t="s">
        <v>1502</v>
      </c>
      <c r="BG379" s="7" t="s">
        <v>1503</v>
      </c>
      <c r="BH379" s="1" t="s">
        <v>2780</v>
      </c>
      <c r="BI379" s="2" t="s">
        <v>7670</v>
      </c>
      <c r="BJ379" s="1" t="s">
        <v>1980</v>
      </c>
      <c r="BK379" s="2" t="s">
        <v>3134</v>
      </c>
      <c r="BL379" s="1" t="s">
        <v>1865</v>
      </c>
      <c r="BM379" s="2" t="s">
        <v>3135</v>
      </c>
    </row>
    <row r="380" spans="1:69" ht="234" x14ac:dyDescent="0.45">
      <c r="A380" s="5">
        <v>379</v>
      </c>
      <c r="B380" s="8" t="s">
        <v>1533</v>
      </c>
      <c r="C380" s="6" t="s">
        <v>6851</v>
      </c>
      <c r="D380" s="7" t="s">
        <v>9752</v>
      </c>
      <c r="E380" s="1" t="s">
        <v>1534</v>
      </c>
      <c r="F380" s="1" t="s">
        <v>1535</v>
      </c>
      <c r="G380" s="1"/>
      <c r="J380" s="1" t="s">
        <v>9753</v>
      </c>
      <c r="K380" s="2" t="s">
        <v>7671</v>
      </c>
      <c r="L380" s="4" t="s">
        <v>8281</v>
      </c>
      <c r="M380" s="1" t="s">
        <v>12194</v>
      </c>
      <c r="P380" s="7" t="s">
        <v>1241</v>
      </c>
      <c r="Q380" s="14" t="str">
        <f>INDEX($L:$L, MATCH("select", $B:$B, 0))</f>
        <v>&lt;span class="w"&gt;&lt;b&gt;【322.select：〜を選ぶ, えり抜く】&lt;/b&gt;&lt;/span&gt;
&lt;span class="ml"&gt;ラテン語に由来する語で、以下の2つの要素から成る。
&lt;span class="spacer"&gt;&lt;/span&gt;se（離れて）
legere（集める, 選ぶ）
&lt;span class="spacer"&gt;&lt;/span&gt;このまま日本語にすると「選んで離す」となる。全体の中から選び出して離す＝「選ぶ, えり抜く」という意味になる。&lt;/span&gt;</v>
      </c>
      <c r="R380" s="14" t="str">
        <f>INDEX($L:$L, MATCH("neglect", $B:$B, 0))</f>
        <v>&lt;span class="w"&gt;&lt;b&gt;【733.neglect：〜を無視する, 〜をおろそかにする】&lt;/b&gt;&lt;/span&gt;
&lt;span class="ml"&gt;ラテン語に由来する語で、以下の2つの要素から成る。
&lt;span class="spacer"&gt;&lt;/span&gt;nec（ない）
legere（拾い上げる, 選ぶ）
&lt;span class="spacer"&gt;&lt;/span&gt;このまま日本語にすると「拾い上げない」となる。これは、拾い上げないでそのまま放置することから、何かを「おろそかにする」という意味になる。また拾わないということが、注意を払わない、軽視するといった心理的な態度を表すようになり、「無視する」という意味にもなった。&lt;/span&gt;</v>
      </c>
      <c r="S380" s="14" t="str">
        <f>INDEX($L:$L, MATCH("elect", $B:$B, 0))</f>
        <v>&lt;span class="w"&gt;&lt;b&gt;【1137.elect：〜を選出する】&lt;/b&gt;&lt;/span&gt;
&lt;span class="ml"&gt;ラテン語に由来する語で、以下の2つの要素から成る。
&lt;span class="spacer"&gt;&lt;/span&gt;ex（外に）
legere（選ぶ）
&lt;span class="spacer"&gt;&lt;/span&gt;このまま日本語にすると「選んで外に」となる。複数の選択肢から選び出すことから、「（ある役職や地位などに）選出する」という意味になる。&lt;/span&gt;</v>
      </c>
      <c r="T380" s="14" t="str">
        <f>INDEX($L:$L, MATCH("collective", $B:$B, 0))</f>
        <v>&lt;span class="w"&gt;&lt;b&gt;【895.collective：集団の, 共同の】&lt;/b&gt;&lt;/span&gt;
&lt;span class="ml"&gt;ラテン語に由来する語で、以下の2つの要素から成る。
&lt;span class="spacer"&gt;&lt;/span&gt;com（共に）
legere（集める）
ivus（形容詞化）
&lt;span class="spacer"&gt;&lt;/span&gt;このまま日本語にすると「共に集まった」、つまり「集合の, 集団な」という意味になる。これはcollect（集める）の形容詞として覚えればよい。&lt;/span&gt;</v>
      </c>
      <c r="U380" s="14" t="str">
        <f>INDEX($L:$L, MATCH("elite", $B:$B, 0))</f>
        <v>&lt;span class="w"&gt;&lt;b&gt;【746.elite：（the eliteで）エリート（集合名詞）】&lt;/b&gt;&lt;/span&gt;
&lt;span class="ml"&gt;ラテン語に由来する語で、以下の2つの要素から成る。
&lt;span class="spacer"&gt;&lt;/span&gt;ex（外に）
legere（選ぶ）
&lt;span class="spacer"&gt;&lt;/span&gt;この語の核は「外に選び出す」。ここから選び出された人たち、つまり「エリート」という意味になった。&lt;/span&gt;</v>
      </c>
      <c r="V380" s="14" t="str">
        <f>INDEX($L:$L, MATCH("lecture", $B:$B, 0))</f>
        <v>&lt;span class="w"&gt;&lt;b&gt;【368.lecture：講義, 講演, 説教】&lt;/b&gt;&lt;/span&gt;
&lt;span class="ml"&gt;ラテン語に由来する語で、以下の2つの要素から成る。
&lt;span class="spacer"&gt;&lt;/span&gt;legere（集める, 選び取る, 言葉を選び取る, 読む）
ura（名詞化）
&lt;span class="spacer"&gt;&lt;/span&gt;もともとは、書物から特定の言葉を選び出して読み上げることを意味した。本が貴重だった時代は、教師がテキストを読み上げるのが授業の基本スタイルだったことから、「講義, 講演」という意味になる。
&lt;span class="spacer"&gt;&lt;/span&gt;また相手に何かを言い聞かせるということから「説教」という意味になる。&lt;/span&gt;</v>
      </c>
      <c r="W380" s="13" t="str">
        <f>INDEX($L:$L, MATCH("colleague", $B:$B, 0))</f>
        <v>&lt;span class="w"&gt;&lt;b&gt;【246.colleague：同僚】&lt;/b&gt;&lt;/span&gt;
&lt;span class="ml"&gt;ラテン語に由来する語で、以下の2つの要素から成る。
&lt;span class="spacer"&gt;&lt;/span&gt;com（共に）
legare（任命して派遣する）
&lt;span class="spacer"&gt;&lt;/span&gt;これは「同じ職務に就くために共に派遣された者」から「同僚」という意味になる。&lt;/span&gt;</v>
      </c>
      <c r="X380" s="13" t="str">
        <f>INDEX($L:$L, MATCH("dialect", $B:$B, 0))</f>
        <v>&lt;span class="w"&gt;&lt;b&gt;【463.dialect：方言】&lt;/b&gt;&lt;/span&gt;
&lt;span class="ml"&gt;ギリシャ語に由来する語で、以下の2つの要素から成る。
&lt;span class="spacer"&gt;&lt;/span&gt;dia（間で）
legein（話す）
&lt;span class="spacer"&gt;&lt;/span&gt;このまま日本語にすると「間で話す」となる。もともとは、人々の間で言葉を交わすこと、つまり会話を意味していた。
&lt;span class="spacer"&gt;&lt;/span&gt;古代ギリシャは、一つの国家ではなく、独立した多数の都市国家（ポリス）が基本単位であり、地域ごとに話し方が異なっていた。このような言葉遣いの違いを指してdialektosが使われるようになり、そこから「方言」という意味になった。&lt;/span&gt;</v>
      </c>
      <c r="AU380" s="15"/>
      <c r="AV380" s="1" t="s">
        <v>1502</v>
      </c>
      <c r="BG380" s="7" t="s">
        <v>1503</v>
      </c>
      <c r="BH380" s="1" t="s">
        <v>2780</v>
      </c>
      <c r="BI380" s="2" t="s">
        <v>3136</v>
      </c>
      <c r="BJ380" s="1" t="s">
        <v>2419</v>
      </c>
      <c r="BK380" s="2" t="s">
        <v>3137</v>
      </c>
    </row>
    <row r="381" spans="1:69" ht="198" x14ac:dyDescent="0.45">
      <c r="A381" s="5">
        <v>380</v>
      </c>
      <c r="B381" s="8" t="s">
        <v>260</v>
      </c>
      <c r="C381" s="6" t="s">
        <v>6851</v>
      </c>
      <c r="D381" s="7" t="s">
        <v>9752</v>
      </c>
      <c r="E381" s="1" t="s">
        <v>46</v>
      </c>
      <c r="F381" s="1" t="s">
        <v>8938</v>
      </c>
      <c r="G381" s="1" t="s">
        <v>1548</v>
      </c>
      <c r="J381" s="1" t="s">
        <v>9753</v>
      </c>
      <c r="K381" s="2" t="s">
        <v>7672</v>
      </c>
      <c r="L381" s="2" t="s">
        <v>8282</v>
      </c>
      <c r="P381" s="7" t="s">
        <v>1241</v>
      </c>
      <c r="AU381" s="15"/>
      <c r="AV381" s="1" t="s">
        <v>1502</v>
      </c>
      <c r="BG381" s="7" t="s">
        <v>1503</v>
      </c>
      <c r="BH381" s="1" t="s">
        <v>2780</v>
      </c>
      <c r="BI381" s="2" t="s">
        <v>3138</v>
      </c>
      <c r="BJ381" s="1" t="s">
        <v>2419</v>
      </c>
      <c r="BK381" s="2" t="s">
        <v>7673</v>
      </c>
    </row>
    <row r="382" spans="1:69" ht="198" x14ac:dyDescent="0.45">
      <c r="A382" s="5">
        <v>381</v>
      </c>
      <c r="B382" s="8" t="s">
        <v>1536</v>
      </c>
      <c r="C382" s="6" t="s">
        <v>6851</v>
      </c>
      <c r="D382" s="7" t="s">
        <v>9752</v>
      </c>
      <c r="E382" s="1" t="s">
        <v>8939</v>
      </c>
      <c r="F382" s="1" t="s">
        <v>1456</v>
      </c>
      <c r="G382" s="1"/>
      <c r="J382" s="1" t="s">
        <v>9753</v>
      </c>
      <c r="K382" s="2" t="s">
        <v>7674</v>
      </c>
      <c r="L382" s="2" t="s">
        <v>8283</v>
      </c>
      <c r="M382" s="1" t="s">
        <v>12201</v>
      </c>
      <c r="P382" s="7" t="s">
        <v>1241</v>
      </c>
      <c r="Q382" s="14" t="str">
        <f>INDEX($L:$L, MATCH("anticipate", $B:$B, 0))</f>
        <v>&lt;span class="w"&gt;&lt;b&gt;【923.anticipate：〜を予期する, 期待する】&lt;/b&gt;&lt;/span&gt;
&lt;span class="ml"&gt;ラテン語に由来する語で、以下の2つの要素から成る。
&lt;span class="spacer"&gt;&lt;/span&gt;anti（前に）
capere（取る）
&lt;span class="spacer"&gt;&lt;/span&gt;このまま日本語にすると「前もって取る」となる。何かが起こる前に先取りするイメージから、将来起こることを「予期する」という意味になる。
&lt;div class="sample_image anticipate"&gt;&lt;/div&gt;&lt;/span&gt;</v>
      </c>
      <c r="R382" s="14" t="str">
        <f>INDEX($L:$L, MATCH("participate", $B:$B, 0))</f>
        <v>&lt;span class="w"&gt;&lt;b&gt;【332.participate：参加する】&lt;/b&gt;&lt;/span&gt;
&lt;span class="ml"&gt;ラテン語に由来する語で、以下の2つの要素から成る。
&lt;span class="spacer"&gt;&lt;/span&gt;pars（部分, パート）
capere（取る）
&lt;span class="spacer"&gt;&lt;/span&gt;このまま日本語にすると「部分を取る」となる。全体の中である役割や取り分を取ることから「参加する」という意味になる。
&lt;span class="spacer"&gt;&lt;/span&gt;英語take part in（〜に参加する）も同じ。&lt;/span&gt;</v>
      </c>
      <c r="S382" s="14" t="str">
        <f>INDEX($L:$L, MATCH("principle", $B:$B, 0))</f>
        <v>&lt;span class="w"&gt;&lt;b&gt;【343.principle：原理, 原則, 主義, 信条】&lt;/b&gt;&lt;/span&gt;
&lt;span class="ml"&gt;ラテン語に由来する語で、以下の2つの要素から成る。
&lt;span class="spacer"&gt;&lt;/span&gt;primus（第一の）
capere（取る）
&lt;span class="spacer"&gt;&lt;/span&gt;このまま日本語にすると「第一を取る」となる。1番目のポジションを取ることから、何かが成り立つための土台＝「原理, 原則」や、行動の土台となる「主義, 信条」という意味になる。&lt;/span&gt;</v>
      </c>
      <c r="T382" s="14" t="str">
        <f>INDEX($L:$L, MATCH("principal", $B:$B, 0))</f>
        <v>&lt;span class="w"&gt;&lt;b&gt;【683.principal：主要な】&lt;/b&gt;&lt;/span&gt;
&lt;span class="ml"&gt;ラテン語に由来する語で、以下の3つの要素から成る。
&lt;span class="spacer"&gt;&lt;/span&gt;primus（第一の）
capere（取る）
alis（形容詞化）
&lt;span class="spacer"&gt;&lt;/span&gt;この語の核は「第一の位置を取る」。集団や集合の中における第一の位置とは、最も重要な位置ということ。ここから「主要な」という意味になる。&lt;/span&gt;</v>
      </c>
      <c r="U382" s="14" t="str">
        <f>INDEX($L:$L, MATCH("capacity", $B:$B, 0))</f>
        <v>&lt;span class="w"&gt;&lt;b&gt;【348.capacity：容量, 収容能力】&lt;/b&gt;&lt;/span&gt;
&lt;span class="ml"&gt;ラテン語capere（取る）から派生した名詞capacitas（容量, 多くを収容できる能力）に由来する。
&lt;span class="spacer"&gt;&lt;/span&gt;取ることから、多くを保持できること＝「収容能力, 容量」という意味になる。&lt;/span&gt;</v>
      </c>
      <c r="V382" s="14" t="str">
        <f>INDEX($L:$L, MATCH("capture", $B:$B, 0))</f>
        <v>&lt;span class="w"&gt;&lt;b&gt;【610.capture：〜をとらえる】&lt;/b&gt;&lt;/span&gt;
&lt;span class="ml"&gt;ラテン語capere（取る, つかむ）に由来する。
&lt;span class="spacer"&gt;&lt;/span&gt;この語の核は「対象をつかんで自分のもとに置く」。単に取るだけでなく、逃げられない状態にすることを含む。そこから、人や物を「捕える」という意味になり、さらに比喩的に、注意・感情・映像などをとらえるという意味にも広がった。&lt;/span&gt;</v>
      </c>
      <c r="W382" s="15"/>
      <c r="X382" s="15"/>
      <c r="Y382" s="15"/>
      <c r="Z382" s="15"/>
      <c r="AA382" s="15"/>
      <c r="AB382" s="15"/>
      <c r="AC382" s="15"/>
      <c r="AD382" s="15"/>
      <c r="AE382" s="15"/>
      <c r="AF382" s="15"/>
      <c r="AG382" s="15"/>
      <c r="AU382" s="15"/>
      <c r="AV382" s="1" t="s">
        <v>1502</v>
      </c>
      <c r="BG382" s="7" t="s">
        <v>1503</v>
      </c>
      <c r="BH382" s="1" t="s">
        <v>2780</v>
      </c>
      <c r="BI382" s="2" t="s">
        <v>7675</v>
      </c>
      <c r="BJ382" s="1" t="s">
        <v>2324</v>
      </c>
      <c r="BK382" s="2" t="s">
        <v>3139</v>
      </c>
      <c r="BL382" s="1" t="s">
        <v>2017</v>
      </c>
      <c r="BM382" s="1" t="s">
        <v>3140</v>
      </c>
      <c r="BN382" s="1" t="s">
        <v>1865</v>
      </c>
      <c r="BO382" s="2" t="s">
        <v>3141</v>
      </c>
    </row>
    <row r="383" spans="1:69" ht="396" x14ac:dyDescent="0.45">
      <c r="A383" s="5">
        <v>382</v>
      </c>
      <c r="B383" s="8" t="s">
        <v>261</v>
      </c>
      <c r="C383" s="6" t="s">
        <v>6851</v>
      </c>
      <c r="D383" s="7" t="s">
        <v>9752</v>
      </c>
      <c r="E383" s="1" t="s">
        <v>1346</v>
      </c>
      <c r="F383" s="1" t="s">
        <v>1512</v>
      </c>
      <c r="G383" s="1"/>
      <c r="J383" s="1" t="s">
        <v>9753</v>
      </c>
      <c r="K383" s="2" t="s">
        <v>7676</v>
      </c>
      <c r="L383" s="2" t="s">
        <v>8284</v>
      </c>
      <c r="M383" s="1" t="s">
        <v>12202</v>
      </c>
      <c r="P383" s="7" t="s">
        <v>1241</v>
      </c>
      <c r="Q383" s="14" t="str">
        <f>INDEX($L:$L, MATCH("secure", $B:$B, 0))</f>
        <v>&lt;span class="w"&gt;&lt;b&gt;【721.secure：〜を確保する, 〜を守る】&lt;/b&gt;&lt;/span&gt;
&lt;span class="ml"&gt;ラテン語に由来する語で、以下の2つの要素から成る。
&lt;span class="spacer"&gt;&lt;/span&gt;se（離れて）
cura（心配）
&lt;span class="spacer"&gt;&lt;/span&gt;このまま日本語にすると「心配から離れた」となる。心配から解放された安全な状態にすることから、なくなる心配がないように何かを「確保する」という意味になった。&lt;/span&gt;</v>
      </c>
      <c r="R383" s="14" t="str">
        <f>INDEX($L:$L, MATCH("assure", $B:$B, 0))</f>
        <v>&lt;span class="w"&gt;&lt;b&gt;【1301.assure：〜保証する, 〜に自信を持って言う】&lt;/b&gt;&lt;/span&gt;
&lt;span class="ml"&gt;ラテン語に由来する語で、以下の3つの要素から成る。
&lt;span class="spacer"&gt;&lt;/span&gt;ad（〜へ）
se（離れて）
cura（注意）
&lt;span class="spacer"&gt;&lt;/span&gt;このまま日本語にすると「対象を注意から離れた状態にする」となる。相手を心配がない状態にすることから、何かを「保証する, 自信を持って言う」という意味になる。
&lt;div class="sample_image assure"&gt;&lt;/div&gt;
&lt;span class="spacer"&gt;&lt;/span&gt;ラテン語se（離れて）＋cura（注意）からは、英語のsure（確信して）やsecure（安全な）も生まれている。
&lt;span class="spacer"&gt;&lt;/span&gt;どちらも核は、注意から離れている状態。注意（や心配）から解放されているということが、一切の不安のない確信（sure）や安全（secure）へとつながった。
&lt;span class="spacer"&gt;&lt;/span&gt;このイメージからassureは、相手へ確信や安心をもたらすように「保証する, 自信をもって言う」と考えればよい。&lt;/span&gt;</v>
      </c>
      <c r="S383" s="14" t="str">
        <f>INDEX($L:$L, MATCH("ensure", $B:$B, 0))</f>
        <v>&lt;span class="w"&gt;&lt;b&gt;【509.ensure：～を確実にする】&lt;/b&gt;&lt;/span&gt;
&lt;span class="ml"&gt;古フランス語に由来する語で、以下の2つの要素から成る。
&lt;span class="spacer"&gt;&lt;/span&gt;en（動詞化）
seur（確実な, 確かな：sureの語源）
&lt;span class="spacer"&gt;&lt;/span&gt;このまま日本語にすると「確実な状態にする」となる。つまり「何かが確実にそうなるようにする」というイメージで、ここから「〜を確実にする」という意味になる。&lt;/span&gt;</v>
      </c>
      <c r="T383" s="14" t="str">
        <f>INDEX($L:$L, MATCH("insurance", $B:$B, 0))</f>
        <v>&lt;span class="w"&gt;&lt;b&gt;【659.insurance：保険】&lt;/b&gt;&lt;/span&gt;
&lt;span class="ml"&gt;この語は2段階で考える。
sura部分は英語のsureと同じ。ラテン語に由来し、以下の2つの要素から成る。
&lt;span class="spacer"&gt;&lt;/span&gt;se（離れて）
cura（心配）
&lt;span class="spacer"&gt;&lt;/span&gt;sura部分は「心配から離れて安全・確実」というイメージ。
&lt;span class="spacer"&gt;&lt;/span&gt;このラテン語から古フランス語になって、以下の3つの要素からinsuranceが出来上がる。
&lt;span class="spacer"&gt;&lt;/span&gt;en（〜にする）
sur（安全な, 確実な）
ance（名詞化）
&lt;span class="spacer"&gt;&lt;/span&gt;このまま日本語にすると「（心配を取り除いて）確実で安全な状態にすること」となる。ここからリスクに対する不安を取り除き、安全な状態にする「保険」という意味になった。
&lt;div class="sample_image insurance"&gt;&lt;/div&gt;&lt;/span&gt;</v>
      </c>
      <c r="U383" s="13" t="str">
        <f>INDEX($L:$L, MATCH("cure", $B:$B, 0))</f>
        <v>&lt;span class="w"&gt;&lt;b&gt;【527.cure：〜を治す, 〜を取り除く, 病気が治る】&lt;/b&gt;&lt;/span&gt;
&lt;span class="ml"&gt;ラテン語curare（世話をする）に由来する。
&lt;span class="spacer"&gt;&lt;/span&gt;これは対象の状態に注意を払い、管理し、整えることを意味する。医療的な文脈では、病人の世話をして健康な状態へ導くことから、「病気を治す, 病を取り除く, 病気が治る」という意味になる。&lt;/span&gt;</v>
      </c>
      <c r="V383" s="13" t="str">
        <f>INDEX($L:$L, MATCH("curious", $B:$B, 0))</f>
        <v>&lt;span class="w"&gt;&lt;b&gt;【580.curious：好奇心の強い】&lt;/b&gt;&lt;/span&gt;
&lt;span class="ml"&gt;ラテン語に由来する語で、以下の2つの要素から成る。
cura（注意, 関心）
osus（形容詞化：〜に満ちた）
&lt;span class="spacer"&gt;&lt;/span&gt;このまま日本語にすると「注意や関心に満ちた」となる。ここから関心が溢れて、熱心に探りたがる、つまり「好奇心が強い」という意味になる。
&lt;div class="sample_image curious"&gt;&lt;/div&gt;&lt;/span&gt;</v>
      </c>
      <c r="AU383" s="15"/>
      <c r="AV383" s="1" t="s">
        <v>1502</v>
      </c>
      <c r="BG383" s="7" t="s">
        <v>1503</v>
      </c>
      <c r="BH383" s="1" t="s">
        <v>2780</v>
      </c>
      <c r="BI383" s="2" t="s">
        <v>7677</v>
      </c>
      <c r="BJ383" s="1" t="s">
        <v>1865</v>
      </c>
      <c r="BK383" s="2" t="s">
        <v>3142</v>
      </c>
    </row>
    <row r="384" spans="1:69" ht="144" x14ac:dyDescent="0.45">
      <c r="A384" s="5">
        <v>383</v>
      </c>
      <c r="B384" s="8" t="s">
        <v>1513</v>
      </c>
      <c r="C384" s="6" t="s">
        <v>6851</v>
      </c>
      <c r="D384" s="7" t="s">
        <v>9752</v>
      </c>
      <c r="E384" s="1" t="s">
        <v>8940</v>
      </c>
      <c r="F384" s="1" t="s">
        <v>1517</v>
      </c>
      <c r="G384" s="1" t="s">
        <v>49</v>
      </c>
      <c r="J384" s="1" t="s">
        <v>9753</v>
      </c>
      <c r="K384" s="2" t="s">
        <v>7678</v>
      </c>
      <c r="L384" s="4" t="s">
        <v>8285</v>
      </c>
      <c r="M384" s="1" t="s">
        <v>12129</v>
      </c>
      <c r="P384" s="7" t="s">
        <v>1241</v>
      </c>
      <c r="Q384" s="14" t="str">
        <f>INDEX($L:$L, MATCH("found", $B:$B, 0))</f>
        <v>&lt;span class="w"&gt;&lt;b&gt;【39.found：～を設立する, ～を築く】&lt;/b&gt;&lt;/span&gt;
&lt;span class="ml"&gt;ラテン語fundus（底, 基礎）に由来する。
&lt;span class="spacer"&gt;&lt;/span&gt;底, 基礎という名詞から、基礎の上に何かを「設立する, 築く」という動詞になる。
&lt;span class="spacer"&gt;&lt;/span&gt;foundの名詞foundation（ファンデーション）は、化粧の下地や何かの土台という意味で日本語でも使われる。&lt;/span&gt;</v>
      </c>
      <c r="R384" s="14" t="str">
        <f>INDEX($L:$L, MATCH("fund", $B:$B, 0))</f>
        <v>&lt;span class="w"&gt;&lt;b&gt;【360.fund：基金, 資金】&lt;/b&gt;&lt;/span&gt;
&lt;span class="ml"&gt;ラテン語fundus（底, 基礎）に由来する。
&lt;span class="spacer"&gt;&lt;/span&gt;何かを支える土台というイメージから、ある目的のために利用可能なお金や財産＝「基金, 資金」という意味になる。&lt;/span&gt;</v>
      </c>
      <c r="S384" s="13" t="str">
        <f>INDEX($L:$L, MATCH("profound", $B:$B, 0))</f>
        <v>&lt;span class="w"&gt;&lt;b&gt;【897.profound：重大な, 深い】&lt;/b&gt;&lt;/span&gt;
&lt;span class="ml"&gt;ラテン語に由来する語で、以下の2つの要素から成る。
&lt;span class="spacer"&gt;&lt;/span&gt;pro（前へ）
fundus（底）
&lt;span class="spacer"&gt;&lt;/span&gt;この語の核は「底に向かってどんどん前へ（下へ）進んでいく」。物理的に奥底深くへ達するイメージから、知識や心理、また影響や変化の度合いが表面にとどまらず奥深いことを表すようになり、「深い, 重大な」という意味になった。
&lt;div class="sample_image profound"&gt;&lt;/div&gt;&lt;/span&gt;</v>
      </c>
      <c r="AU384" s="15"/>
      <c r="AV384" s="1" t="s">
        <v>1502</v>
      </c>
      <c r="BG384" s="7" t="s">
        <v>1503</v>
      </c>
      <c r="BH384" s="1" t="s">
        <v>2780</v>
      </c>
      <c r="BI384" s="2" t="s">
        <v>7679</v>
      </c>
      <c r="BJ384" s="1" t="s">
        <v>3047</v>
      </c>
      <c r="BK384" s="2" t="s">
        <v>3143</v>
      </c>
      <c r="BL384" s="1" t="s">
        <v>1865</v>
      </c>
      <c r="BM384" s="2" t="s">
        <v>3144</v>
      </c>
    </row>
    <row r="385" spans="1:69" ht="162" x14ac:dyDescent="0.45">
      <c r="A385" s="5">
        <v>384</v>
      </c>
      <c r="B385" s="8" t="s">
        <v>262</v>
      </c>
      <c r="C385" s="6" t="s">
        <v>6851</v>
      </c>
      <c r="D385" s="7" t="s">
        <v>9752</v>
      </c>
      <c r="E385" s="1" t="s">
        <v>1514</v>
      </c>
      <c r="F385" s="1" t="s">
        <v>1515</v>
      </c>
      <c r="G385" s="1" t="s">
        <v>49</v>
      </c>
      <c r="J385" s="1" t="s">
        <v>9753</v>
      </c>
      <c r="K385" s="2" t="s">
        <v>7680</v>
      </c>
      <c r="L385" s="9" t="s">
        <v>8286</v>
      </c>
      <c r="P385" s="7" t="s">
        <v>1241</v>
      </c>
      <c r="Q385" s="13" t="str">
        <f>INDEX($L:$L, MATCH("feature", $B:$B, 0))</f>
        <v>&lt;span class="w"&gt;&lt;b&gt;【167.feature：特徴, （〜sで）顔つき】&lt;/b&gt;&lt;/span&gt;
&lt;span class="ml"&gt;ラテン語facere（作る, 行う）から派生した名詞factura（形成, 作業, 作られた形）に由来する。
&lt;span class="spacer"&gt;&lt;/span&gt;何かを形作ること、特に身体の形成において他と差別化される「顔つき」という意味になる。顔はそれぞれに特徴があることから発展して、一般的に何かの際立った部分＝「特徴」という意味になる。&lt;/span&gt;</v>
      </c>
      <c r="R385" s="13" t="str">
        <f>INDEX($L:$L, MATCH("profit", $B:$B, 0))</f>
        <v>&lt;span class="w"&gt;&lt;b&gt;【349.profit：利益, 収益, 得】&lt;/b&gt;&lt;/span&gt;
&lt;span class="ml"&gt;ラテン語に由来する語で、以下の2つの要素から成る。
&lt;span class="spacer"&gt;&lt;/span&gt;pro（前へ）
facere（作る, する）
&lt;span class="spacer"&gt;&lt;/span&gt;何かを前へ進めて成果を作り出すことから、進展や成長という意味を経て、成果や収益などの具体的な「利益, 収益, 得」という意味になる。&lt;/span&gt;</v>
      </c>
      <c r="S385" s="13" t="str">
        <f>INDEX($L:$L, MATCH("benefit", $B:$B, 0))</f>
        <v>&lt;span class="w"&gt;&lt;b&gt;【61.benefit：利益】&lt;/b&gt;&lt;/span&gt;
&lt;span class="ml"&gt;ラテン語に由来する語で、以下の2つの要素から成る。
&lt;span class="spacer"&gt;&lt;/span&gt;bene（よく）
facere（行う）
&lt;span class="spacer"&gt;&lt;/span&gt;このまま日本語にすると「良く行う」となる。よい行いは誰かにとって「利益, 恩恵」となる。&lt;/span&gt;</v>
      </c>
      <c r="AU385" s="15"/>
      <c r="AV385" s="1" t="s">
        <v>1502</v>
      </c>
      <c r="BG385" s="7" t="s">
        <v>1503</v>
      </c>
      <c r="BH385" s="1" t="s">
        <v>2780</v>
      </c>
      <c r="BI385" s="2" t="s">
        <v>7681</v>
      </c>
      <c r="BJ385" s="1" t="s">
        <v>2031</v>
      </c>
      <c r="BK385" s="1" t="s">
        <v>3145</v>
      </c>
      <c r="BL385" s="1" t="s">
        <v>1863</v>
      </c>
      <c r="BM385" s="2" t="s">
        <v>3146</v>
      </c>
      <c r="BN385" s="1" t="s">
        <v>1865</v>
      </c>
      <c r="BO385" s="2" t="s">
        <v>3147</v>
      </c>
    </row>
    <row r="386" spans="1:69" ht="72" x14ac:dyDescent="0.45">
      <c r="A386" s="5">
        <v>385</v>
      </c>
      <c r="B386" s="8" t="s">
        <v>263</v>
      </c>
      <c r="C386" s="6" t="s">
        <v>6851</v>
      </c>
      <c r="D386" s="7" t="s">
        <v>9752</v>
      </c>
      <c r="E386" s="6" t="s">
        <v>263</v>
      </c>
      <c r="F386" s="1"/>
      <c r="G386" s="1"/>
      <c r="J386" s="1" t="s">
        <v>9753</v>
      </c>
      <c r="K386" s="2" t="s">
        <v>7682</v>
      </c>
      <c r="L386" s="4" t="s">
        <v>8287</v>
      </c>
      <c r="P386" s="7" t="s">
        <v>1241</v>
      </c>
      <c r="Q386" s="13" t="str">
        <f>INDEX($L:$L, MATCH("confirm", $B:$B, 0))</f>
        <v>&lt;span class="w"&gt;&lt;b&gt;【540.confirm：〜を確認する, 〜を裏づける】&lt;/b&gt;&lt;/span&gt;
&lt;span class="ml"&gt;ラテン語に由来する語で、以下の2つの要素から成る。
&lt;span class="spacer"&gt;&lt;/span&gt;com（強意）
firmus（堅固な, 強い, 安定した）から派生したfirmare（強くする, 固める）
&lt;span class="spacer"&gt;&lt;/span&gt;このまま日本語にすると「しっかり固める, しっかり強める」となる。これは、物事を間違いのない確固たる状態にするというイメージ。ここから、「確認する, 裏づける」という意味になる。
&lt;div class="sample_image confirm"&gt;&lt;/div&gt;&lt;/span&gt;</v>
      </c>
      <c r="AU386" s="15"/>
      <c r="AV386" s="1" t="s">
        <v>1502</v>
      </c>
      <c r="BG386" s="7" t="s">
        <v>1503</v>
      </c>
      <c r="BH386" s="1" t="s">
        <v>2780</v>
      </c>
      <c r="BI386" s="2" t="s">
        <v>3148</v>
      </c>
      <c r="BJ386" s="1" t="s">
        <v>2031</v>
      </c>
      <c r="BK386" s="1" t="s">
        <v>3149</v>
      </c>
      <c r="BL386" s="1" t="s">
        <v>3047</v>
      </c>
      <c r="BM386" s="2" t="s">
        <v>3150</v>
      </c>
      <c r="BN386" s="1" t="s">
        <v>1865</v>
      </c>
      <c r="BO386" s="2" t="s">
        <v>3151</v>
      </c>
    </row>
    <row r="387" spans="1:69" ht="72" x14ac:dyDescent="0.45">
      <c r="A387" s="5">
        <v>386</v>
      </c>
      <c r="B387" s="8" t="s">
        <v>264</v>
      </c>
      <c r="C387" s="6" t="s">
        <v>6851</v>
      </c>
      <c r="D387" s="7" t="s">
        <v>9752</v>
      </c>
      <c r="E387" s="1" t="s">
        <v>1537</v>
      </c>
      <c r="F387" s="1" t="s">
        <v>1538</v>
      </c>
      <c r="G387" s="1"/>
      <c r="J387" s="1" t="s">
        <v>9753</v>
      </c>
      <c r="K387" s="2"/>
      <c r="L387" s="9" t="s">
        <v>8288</v>
      </c>
      <c r="P387" s="7" t="s">
        <v>1241</v>
      </c>
      <c r="Q387" s="16" t="str">
        <f>INDEX($L:$L, MATCH("overseas", $B:$B, 0))</f>
        <v>&lt;span class="w"&gt;&lt;b&gt;【399.overseas：（副）海外へ, （形）海外の】&lt;/b&gt;&lt;/span&gt;
&lt;span class="ml"&gt;近代英語にさかのぼる語で、以下の2つの要素から成る。
&lt;span class="spacer"&gt;&lt;/span&gt;over（越えて）
sea（海）
&lt;span class="spacer"&gt;&lt;/span&gt;このまま日本語にすると「海を越えて」となり、「海外へ, 海外の」という意味になる。
&lt;span class="spacer"&gt;&lt;/span&gt;overseasは副詞だけではなく形容詞としても使える（overseas company）。&lt;/span&gt;</v>
      </c>
      <c r="AU387" s="15"/>
      <c r="AV387" s="1" t="s">
        <v>1502</v>
      </c>
      <c r="BG387" s="7" t="s">
        <v>1503</v>
      </c>
      <c r="BH387" s="1" t="s">
        <v>2648</v>
      </c>
      <c r="BI387" s="2" t="s">
        <v>3152</v>
      </c>
      <c r="BJ387" s="1" t="s">
        <v>3047</v>
      </c>
      <c r="BK387" s="2" t="s">
        <v>3153</v>
      </c>
      <c r="BL387" s="1" t="s">
        <v>1865</v>
      </c>
      <c r="BM387" s="2" t="s">
        <v>3154</v>
      </c>
    </row>
    <row r="388" spans="1:69" ht="180" x14ac:dyDescent="0.45">
      <c r="A388" s="5">
        <v>387</v>
      </c>
      <c r="B388" s="8" t="s">
        <v>1539</v>
      </c>
      <c r="C388" s="6" t="s">
        <v>6851</v>
      </c>
      <c r="D388" s="7" t="s">
        <v>9752</v>
      </c>
      <c r="E388" s="1" t="s">
        <v>8941</v>
      </c>
      <c r="F388" s="1" t="s">
        <v>49</v>
      </c>
      <c r="G388" s="1"/>
      <c r="J388" s="1" t="s">
        <v>9753</v>
      </c>
      <c r="K388" s="2" t="s">
        <v>7683</v>
      </c>
      <c r="L388" s="4" t="s">
        <v>8289</v>
      </c>
      <c r="M388" s="1" t="s">
        <v>12191</v>
      </c>
      <c r="P388" s="7" t="s">
        <v>1241</v>
      </c>
      <c r="Q388" s="14" t="str">
        <f>INDEX($L:$L, MATCH("urban", $B:$B, 0))</f>
        <v>&lt;span class="w"&gt;&lt;b&gt;【299.urban：都市の, 都会的な】&lt;/b&gt;&lt;/span&gt;
&lt;span class="ml"&gt;ラテン語に由来する語で、以下の2つの要素から成る。
&lt;span class="spacer"&gt;&lt;/span&gt;urbs（都市）
anus（形容詞化）
&lt;span class="spacer"&gt;&lt;/span&gt;ラテン語から意味の変化はほとんどなく、そのまま「都市の, 都会的な」となる。&lt;/span&gt;</v>
      </c>
      <c r="AV388" s="1" t="s">
        <v>1502</v>
      </c>
      <c r="BG388" s="7" t="s">
        <v>1503</v>
      </c>
      <c r="BH388" s="1" t="s">
        <v>2569</v>
      </c>
      <c r="BI388" s="1" t="s">
        <v>3155</v>
      </c>
      <c r="BJ388" s="1" t="s">
        <v>2780</v>
      </c>
      <c r="BK388" s="2" t="s">
        <v>3156</v>
      </c>
      <c r="BL388" s="1" t="s">
        <v>2031</v>
      </c>
      <c r="BM388" s="1" t="s">
        <v>1539</v>
      </c>
      <c r="BN388" s="1" t="s">
        <v>3047</v>
      </c>
      <c r="BO388" s="2" t="s">
        <v>3157</v>
      </c>
      <c r="BP388" s="1" t="s">
        <v>1865</v>
      </c>
      <c r="BQ388" s="2" t="s">
        <v>3158</v>
      </c>
    </row>
    <row r="389" spans="1:69" ht="108" x14ac:dyDescent="0.45">
      <c r="A389" s="5">
        <v>388</v>
      </c>
      <c r="B389" s="8" t="s">
        <v>265</v>
      </c>
      <c r="C389" s="6" t="s">
        <v>6851</v>
      </c>
      <c r="D389" s="7" t="s">
        <v>9752</v>
      </c>
      <c r="E389" s="1" t="s">
        <v>1540</v>
      </c>
      <c r="F389" s="1" t="s">
        <v>1541</v>
      </c>
      <c r="G389" s="1"/>
      <c r="J389" s="1" t="s">
        <v>9753</v>
      </c>
      <c r="K389" s="2"/>
      <c r="L389" s="9" t="s">
        <v>8290</v>
      </c>
      <c r="P389" s="7" t="s">
        <v>1241</v>
      </c>
      <c r="AU389" s="15"/>
      <c r="AV389" s="1" t="s">
        <v>1502</v>
      </c>
      <c r="BG389" s="7" t="s">
        <v>1503</v>
      </c>
      <c r="BH389" s="1" t="s">
        <v>2780</v>
      </c>
      <c r="BI389" s="2" t="s">
        <v>3159</v>
      </c>
      <c r="BJ389" s="1" t="s">
        <v>2031</v>
      </c>
      <c r="BK389" s="1" t="s">
        <v>3160</v>
      </c>
      <c r="BL389" s="1" t="s">
        <v>3047</v>
      </c>
      <c r="BM389" s="2" t="s">
        <v>3161</v>
      </c>
    </row>
    <row r="390" spans="1:69" ht="144" x14ac:dyDescent="0.45">
      <c r="A390" s="5">
        <v>389</v>
      </c>
      <c r="B390" s="8" t="s">
        <v>266</v>
      </c>
      <c r="C390" s="6" t="s">
        <v>6851</v>
      </c>
      <c r="D390" s="7" t="s">
        <v>9752</v>
      </c>
      <c r="E390" s="1" t="s">
        <v>8942</v>
      </c>
      <c r="F390" s="1" t="s">
        <v>3162</v>
      </c>
      <c r="G390" s="1" t="s">
        <v>1542</v>
      </c>
      <c r="J390" s="1" t="s">
        <v>9753</v>
      </c>
      <c r="K390" s="2" t="s">
        <v>7684</v>
      </c>
      <c r="L390" s="9" t="s">
        <v>8291</v>
      </c>
      <c r="M390" s="1" t="s">
        <v>12138</v>
      </c>
      <c r="P390" s="7" t="s">
        <v>1241</v>
      </c>
      <c r="Q390" s="13" t="str">
        <f>INDEX($L:$L, MATCH("article", $B:$B, 0))</f>
        <v>&lt;span class="w"&gt;&lt;b&gt;【65.article：記事, 憲法などの条項, 品物】&lt;/b&gt;&lt;/span&gt;
&lt;span class="ml"&gt;ラテン語に由来する語で、以下の2つの要素から成る。
&lt;span class="spacer"&gt;&lt;/span&gt;artus（関節）
culus（小さいことを表す要素）
&lt;span class="spacer"&gt;&lt;/span&gt;このまま日本語にすると「小さな関節」となる。関節というのは全体を小さなパーツ＝構成要素に分けるもの。ここから次のような意味になる。
&lt;span class="spacer"&gt;&lt;/span&gt;①雑誌全体の構成要素
＝「記事」
②憲法全体の構成要素
＝「条項」
&lt;span class="spacer"&gt;&lt;/span&gt;また盗賊が盗んだ物の一つひとつをarticleと言ったことから「品物」という意味にもなる。&lt;/span&gt;</v>
      </c>
      <c r="R390" s="13" t="str">
        <f>INDEX($L:$L, MATCH("particle", $B:$B, 0))</f>
        <v>&lt;span class="w"&gt;&lt;b&gt;【1059.particle：（微）粒子, ほんのわずか】&lt;/b&gt;&lt;/span&gt;
&lt;span class="ml"&gt;ラテン語に由来する語で、以下の2つの要素から成る。
&lt;span class="spacer"&gt;&lt;/span&gt;pars（部分）
cula（小さいことを表す）
&lt;span class="spacer"&gt;&lt;/span&gt;このまま日本語にすると「小さい部分」となり、そこから「（微）粒子, ほんのわずか」という意味になった。&lt;/span&gt;</v>
      </c>
      <c r="S390" s="13" t="str">
        <f>INDEX($L:$L, MATCH("particular", $B:$B, 0))</f>
        <v>&lt;span class="w"&gt;&lt;b&gt;【90.particular：特定の, こだわる】&lt;/b&gt;&lt;/span&gt;
&lt;span class="ml"&gt;ラテン語に由来する語で、以下の3つの要素から成る。
&lt;span class="spacer"&gt;&lt;/span&gt;pars（部分：partの語源）
cula（小さいことを表す）
arius（形容詞化）
&lt;span class="spacer"&gt;&lt;/span&gt;このまま日本語にすると「小さな部分の」となる。全体ではなく、ある一部分に目を向けることから、「特定の」という意味になる。また全体ではなく、細かい部分に目がいくということから、「こだわる, 口うるさい」という意味になる。&lt;/span&gt;</v>
      </c>
      <c r="T390" s="13" t="str">
        <f>INDEX($L:$L, MATCH("molecule", $B:$B, 0))</f>
        <v>&lt;span class="w"&gt;&lt;b&gt;【1060.molecule：分子】&lt;/b&gt;&lt;/span&gt;
&lt;span class="ml"&gt;ラテン語に由来する語で、以下の2つの要素から成る。
&lt;span class="spacer"&gt;&lt;/span&gt;moles（塊）
cula（小さいことを表す）
&lt;span class="spacer"&gt;&lt;/span&gt;このまま日本語にすると「小さい塊」となる。近代の化学において、物質の化学的な性質を損なうことなく物質を分割できる最小の単位、つまり「分子」という意味になった。
&lt;div class="sample_image molecule"&gt;&lt;/div&gt;
&lt;span class="spacer"&gt;&lt;/span&gt;H₂OがH₂とOになれば、水という性質を失うことから、原子ではなく分子を意味する。&lt;/span&gt;</v>
      </c>
      <c r="AU390" s="15"/>
      <c r="AV390" s="1" t="s">
        <v>1502</v>
      </c>
      <c r="BG390" s="7" t="s">
        <v>1503</v>
      </c>
      <c r="BH390" s="1" t="s">
        <v>2780</v>
      </c>
      <c r="BI390" s="2" t="s">
        <v>3163</v>
      </c>
      <c r="BJ390" s="1" t="s">
        <v>2419</v>
      </c>
      <c r="BK390" s="2" t="s">
        <v>3164</v>
      </c>
      <c r="BL390" s="1" t="s">
        <v>1860</v>
      </c>
      <c r="BM390" s="2" t="s">
        <v>3165</v>
      </c>
    </row>
    <row r="391" spans="1:69" ht="108" x14ac:dyDescent="0.45">
      <c r="A391" s="5">
        <v>390</v>
      </c>
      <c r="B391" s="8" t="s">
        <v>267</v>
      </c>
      <c r="C391" s="6" t="s">
        <v>6851</v>
      </c>
      <c r="D391" s="7" t="s">
        <v>9752</v>
      </c>
      <c r="E391" s="1" t="s">
        <v>1543</v>
      </c>
      <c r="F391" s="1" t="s">
        <v>766</v>
      </c>
      <c r="G391" s="1" t="s">
        <v>1544</v>
      </c>
      <c r="J391" s="1" t="s">
        <v>9753</v>
      </c>
      <c r="K391" s="2" t="s">
        <v>7685</v>
      </c>
      <c r="L391" s="9" t="s">
        <v>8292</v>
      </c>
      <c r="P391" s="7" t="s">
        <v>1241</v>
      </c>
      <c r="Q391" s="13" t="str">
        <f>INDEX($L:$L, MATCH("antibiotic", $B:$B, 0))</f>
        <v>&lt;span class="w"&gt;&lt;b&gt;【959.antibiotic：（通例~sで）抗生物質】&lt;/b&gt;&lt;/span&gt;
&lt;span class="ml"&gt;ギリシャ語に由来する語で、以下の2つの要素から成る。
&lt;span class="spacer"&gt;&lt;/span&gt;bios（生命）
ikos（形容詞化）
&lt;span class="obsolete"&gt;anti（〜に反対して）はフランス語段階で付いた&lt;/span&gt;
&lt;span class="spacer"&gt;&lt;/span&gt;このまま日本語にすると「生命に対するもの」となる。ここでいう生命は、人間の体内で悪さをする微生物を表し、それに対抗するものとして「抗生物質」を指す。&lt;/span&gt;</v>
      </c>
      <c r="R391" s="13" t="str">
        <f>INDEX($L:$L, MATCH("microbe", $B:$B, 0))</f>
        <v>&lt;span class="w"&gt;&lt;b&gt;【1162.microbe：微生物, 細菌】&lt;/b&gt;&lt;/span&gt;
&lt;span class="ml"&gt;ギリシャ語をもとに造られた語で、以下の2つの要素から成る。
&lt;span class="spacer"&gt;&lt;/span&gt;mikros（小さい）
bios（生命）
&lt;span class="spacer"&gt;&lt;/span&gt;このまま日本語にすると「小さい生命」すなわち「微生物, 細菌」という意味になる。microは日本語でも使われるマイクロ（ミクロ）で、be部分はbiology（生物学）のバイオ（bio）のこと。&lt;/span&gt;</v>
      </c>
      <c r="AU391" s="15"/>
      <c r="AV391" s="1" t="s">
        <v>1502</v>
      </c>
      <c r="BG391" s="7" t="s">
        <v>1503</v>
      </c>
      <c r="BH391" s="1" t="s">
        <v>2423</v>
      </c>
      <c r="BI391" s="2" t="s">
        <v>3166</v>
      </c>
      <c r="BJ391" s="1" t="s">
        <v>1865</v>
      </c>
      <c r="BK391" s="2" t="s">
        <v>3167</v>
      </c>
    </row>
    <row r="392" spans="1:69" ht="288" x14ac:dyDescent="0.45">
      <c r="A392" s="5">
        <v>391</v>
      </c>
      <c r="B392" s="8" t="s">
        <v>1545</v>
      </c>
      <c r="C392" s="6" t="s">
        <v>6851</v>
      </c>
      <c r="D392" s="7" t="s">
        <v>9752</v>
      </c>
      <c r="E392" s="1" t="s">
        <v>46</v>
      </c>
      <c r="F392" s="1" t="s">
        <v>1546</v>
      </c>
      <c r="G392" s="1"/>
      <c r="J392" s="1" t="s">
        <v>9753</v>
      </c>
      <c r="K392" s="2" t="s">
        <v>7686</v>
      </c>
      <c r="L392" s="4" t="s">
        <v>8293</v>
      </c>
      <c r="M392" s="1" t="s">
        <v>12171</v>
      </c>
      <c r="P392" s="7" t="s">
        <v>1241</v>
      </c>
      <c r="Q392" s="14"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R392" s="14"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S392" s="14"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T392" s="14" t="str">
        <f>INDEX($L:$L, MATCH("establish", $B:$B, 0))</f>
        <v>&lt;span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v>
      </c>
      <c r="U392" s="14" t="str">
        <f>INDEX($L:$L, MATCH("static", $B:$B, 0))</f>
        <v>&lt;span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v>
      </c>
      <c r="V392" s="14"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W392" s="14"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X392" s="13"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Y392" s="13"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Z392" s="13"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AA392" s="13" t="str">
        <f>INDEX($L:$L, MATCH("steady", $B:$B, 0))</f>
        <v>&lt;span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v>
      </c>
      <c r="AB392"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C392" s="13" t="str">
        <f>INDEX($L:$L, MATCH("restore", $B:$B, 0))</f>
        <v>&lt;span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v>
      </c>
      <c r="AD392" s="13"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AE392" s="13"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U392" s="15"/>
      <c r="AV392" s="1" t="s">
        <v>1502</v>
      </c>
      <c r="BG392" s="7" t="s">
        <v>1503</v>
      </c>
      <c r="BH392" s="1" t="s">
        <v>2780</v>
      </c>
      <c r="BI392" s="2" t="s">
        <v>7687</v>
      </c>
      <c r="BJ392" s="1" t="s">
        <v>2031</v>
      </c>
      <c r="BK392" s="1" t="s">
        <v>1545</v>
      </c>
      <c r="BL392" s="1" t="s">
        <v>1863</v>
      </c>
      <c r="BM392" s="2" t="s">
        <v>3168</v>
      </c>
      <c r="BN392" s="1" t="s">
        <v>1865</v>
      </c>
      <c r="BO392" s="2" t="s">
        <v>3169</v>
      </c>
    </row>
    <row r="393" spans="1:69" ht="252" x14ac:dyDescent="0.45">
      <c r="A393" s="5">
        <v>392</v>
      </c>
      <c r="B393" s="8" t="s">
        <v>268</v>
      </c>
      <c r="C393" s="6" t="s">
        <v>6851</v>
      </c>
      <c r="D393" s="7" t="s">
        <v>9752</v>
      </c>
      <c r="E393" s="6" t="s">
        <v>268</v>
      </c>
      <c r="F393" s="1"/>
      <c r="G393" s="1"/>
      <c r="J393" s="1" t="s">
        <v>9753</v>
      </c>
      <c r="K393" s="2" t="s">
        <v>7688</v>
      </c>
      <c r="L393" s="9" t="s">
        <v>8294</v>
      </c>
      <c r="P393" s="7" t="s">
        <v>1241</v>
      </c>
      <c r="AU393" s="15"/>
      <c r="AV393" s="1" t="s">
        <v>1502</v>
      </c>
      <c r="BG393" s="7" t="s">
        <v>1503</v>
      </c>
      <c r="BH393" s="1" t="s">
        <v>2780</v>
      </c>
      <c r="BI393" s="2" t="s">
        <v>7689</v>
      </c>
      <c r="BJ393" s="1" t="s">
        <v>2031</v>
      </c>
      <c r="BK393" s="1" t="s">
        <v>3170</v>
      </c>
      <c r="BL393" s="1" t="s">
        <v>1865</v>
      </c>
      <c r="BM393" s="2" t="s">
        <v>3171</v>
      </c>
    </row>
    <row r="394" spans="1:69" ht="270" x14ac:dyDescent="0.45">
      <c r="A394" s="5">
        <v>393</v>
      </c>
      <c r="B394" s="8" t="s">
        <v>1547</v>
      </c>
      <c r="C394" s="6" t="s">
        <v>6851</v>
      </c>
      <c r="D394" s="7" t="s">
        <v>9752</v>
      </c>
      <c r="E394" s="1" t="s">
        <v>8943</v>
      </c>
      <c r="F394" s="1" t="s">
        <v>49</v>
      </c>
      <c r="G394" s="1"/>
      <c r="J394" s="1" t="s">
        <v>9753</v>
      </c>
      <c r="K394" s="2" t="s">
        <v>7690</v>
      </c>
      <c r="L394" s="4" t="s">
        <v>8295</v>
      </c>
      <c r="M394" s="1" t="s">
        <v>12133</v>
      </c>
      <c r="P394" s="7" t="s">
        <v>1241</v>
      </c>
      <c r="Q394" s="14" t="str">
        <f>INDEX($L:$L, MATCH("view", $B:$B, 0))</f>
        <v>&lt;span class="w"&gt;&lt;b&gt;【54.view：眺め, 見解】&lt;/b&gt;&lt;/span&gt;
&lt;span class="ml"&gt;ラテン語videre（見る）に由来する。
&lt;span class="spacer"&gt;&lt;/span&gt;見るという動詞から「眺め」という名詞になった。また視覚的に見えるものから発展して「見解, 考え」という意味になる。
&lt;span class="spacer"&gt;&lt;/span&gt;日本語でも考え方や思考力が独特な人に対して「見ている世界が違う」と表現することがあるように、視覚と思考は密接に結びついている。
&lt;span class="spacer"&gt;&lt;/span&gt;印欧祖語*weid-（見る）から生まれた語は、おおむね視覚系の意味と思考系の意味に分かれる。
&lt;span class="spacer"&gt;&lt;/span&gt;視覚系：video, visit, vision, evidence
&lt;span class="spacer"&gt;&lt;/span&gt;思考系：wise, wisdom, wit, advice
&lt;span class="spacer"&gt;&lt;/span&gt;しかし完全にどちらかに分かれるわけではく、viewのように視覚系の意味「眺め」と、思考系の意味「見解」を持つことがある。
&lt;span class="spacer"&gt;&lt;/span&gt;視覚と思考が結びついていることは、see（見る）とI see（なるほど, 理解）からもわかる。&lt;/span&gt;</v>
      </c>
      <c r="R394" s="14" t="str">
        <f>INDEX($L:$L, MATCH("review", $B:$B, 0))</f>
        <v>&lt;span class="w"&gt;&lt;b&gt;【454.review：論評, 復習】&lt;/b&gt;&lt;/span&gt;
&lt;span class="ml"&gt;ラテン語に由来する語で、以下の2つの要素から成る。
&lt;span class="spacer"&gt;&lt;/span&gt;re（再び）
videre（見る）
&lt;span class="spacer"&gt;&lt;/span&gt;このまま日本語にすると「再び見る」となる。15世紀半ばには、軍事において、訓練を繰り返し見てその有効性を評価することを表した。そこから書籍や何かを評価すること＝「論評」という意味になる。
&lt;span class="spacer"&gt;&lt;/span&gt;また過去を繰り返し振り返ることから「復習」という意味にもなる。&lt;/span&gt;</v>
      </c>
      <c r="S394" s="14" t="str">
        <f>INDEX($L:$L, MATCH("advise", $B:$B, 0))</f>
        <v>&lt;span class="w"&gt;&lt;b&gt;【620.advise：〜に/を助言（忠告）する】&lt;/b&gt;&lt;/span&gt;
&lt;span class="ml"&gt;ラテン語videre（見る）から派生した名詞visum（見解）に由来する。
&lt;span class="spacer"&gt;&lt;/span&gt;「見る」ことから「見解」という思考系の意味に派生することは、seeとI see.（なるほど）の関係からわかる。見ることと知ることは密接に結びついている。
&lt;span class="spacer"&gt;&lt;/span&gt;「見解」から自分の見解を出すという行為になって、「助言する, 忠告する」という意味になった。&lt;/span&gt;</v>
      </c>
      <c r="T394" s="14" t="str">
        <f>INDEX($L:$L, MATCH("revise", $B:$B, 0))</f>
        <v>&lt;span class="w"&gt;&lt;b&gt;【1231.revise：〜を修正する, 〜を改訂する】&lt;/b&gt;&lt;/span&gt;
&lt;span class="ml"&gt;ラテン語に由来する語で、以下の2つの要素から成る。
&lt;span class="spacer"&gt;&lt;/span&gt;re（再び）
videre（見る）
&lt;span class="spacer"&gt;&lt;/span&gt;このまま日本語にすると「再び見る」となる。一度出来上がったものを見直し、間違いを直したりアップデートしたりすることから「改訂する, 修正する」という意味になる。
&lt;div class="sample_image revise"&gt;&lt;/div&gt;&lt;/span&gt;</v>
      </c>
      <c r="U394" s="14" t="str">
        <f>INDEX($L:$L, MATCH("visible", $B:$B, 0))</f>
        <v>&lt;span class="w"&gt;&lt;b&gt;【593.visible：目に見える】&lt;/b&gt;&lt;/span&gt;
&lt;span class="ml"&gt;ラテン語に由来する語で、以下の2つの要素から成る。
&lt;span class="spacer"&gt;&lt;/span&gt;videre（見る）
bilis（できる）
&lt;span class="spacer"&gt;&lt;/span&gt;このまま日本語にすると「見ることができる」つまり「目に見える」という意味になる。&lt;/span&gt;</v>
      </c>
      <c r="V394" s="14" t="str">
        <f>INDEX($L:$L, MATCH("evidence", $B:$B, 0))</f>
        <v>&lt;span class="w"&gt;&lt;b&gt;【74.evidence：証拠】&lt;/b&gt;&lt;/span&gt;
&lt;span class="ml"&gt;ラテン語に由来する語で、以下の2つの要素から成る。
&lt;span class="spacer"&gt;&lt;/span&gt;ex（外へ）
videre（見る）
&lt;span class="spacer"&gt;&lt;/span&gt;このまま日本語にすると「外に見える」となる。つまり隠れているのではなく「はっきり目に見える」というイメージ。ここからはっきり見える物＝明らかな物＝「証拠」という意味になる。
&lt;span class="spacer"&gt;&lt;/span&gt;「はっきり目に見える」というイメージを持っておくと、形容詞evidentが「明らかな」という意味になることも理解できる。&lt;/span&gt;</v>
      </c>
      <c r="W394" s="13" t="str">
        <f>INDEX($L:$L, MATCH("survey", $B:$B, 0))</f>
        <v>&lt;span class="w"&gt;&lt;b&gt;【207.survey：～を調査する, ～を概観する】&lt;/b&gt;&lt;/span&gt;
&lt;span class="ml"&gt;ラテン語に由来する語で、以下の2つの要素から成る。
&lt;span class="spacer"&gt;&lt;/span&gt;super（上に, 超えて）
videre（見る）
&lt;span class="spacer"&gt;&lt;/span&gt;このまま日本語にすると「上から見る」となる。俯瞰視点で全体に目を配ることから「調査する, 概観する」という意味になる。
&lt;div class="sample_image survey"&gt;&lt;/div&gt;&lt;/span&gt;</v>
      </c>
      <c r="AU394" s="15"/>
      <c r="AV394" s="1" t="s">
        <v>1502</v>
      </c>
      <c r="BG394" s="7" t="s">
        <v>1503</v>
      </c>
      <c r="BH394" s="1" t="s">
        <v>2780</v>
      </c>
      <c r="BI394" s="2" t="s">
        <v>3172</v>
      </c>
      <c r="BJ394" s="1" t="s">
        <v>2324</v>
      </c>
      <c r="BK394" s="2" t="s">
        <v>3173</v>
      </c>
      <c r="BL394" s="1" t="s">
        <v>3047</v>
      </c>
      <c r="BM394" s="2" t="s">
        <v>3174</v>
      </c>
      <c r="BN394" s="1" t="s">
        <v>1865</v>
      </c>
      <c r="BO394" s="2" t="s">
        <v>3175</v>
      </c>
    </row>
    <row r="395" spans="1:69" ht="108" x14ac:dyDescent="0.45">
      <c r="A395" s="5">
        <v>394</v>
      </c>
      <c r="B395" s="8" t="s">
        <v>269</v>
      </c>
      <c r="C395" s="6" t="s">
        <v>6851</v>
      </c>
      <c r="D395" s="7" t="s">
        <v>9752</v>
      </c>
      <c r="E395" s="1" t="s">
        <v>1454</v>
      </c>
      <c r="F395" s="1" t="s">
        <v>316</v>
      </c>
      <c r="G395" s="1" t="s">
        <v>1548</v>
      </c>
      <c r="J395" s="1" t="s">
        <v>9753</v>
      </c>
      <c r="K395" s="2" t="s">
        <v>7691</v>
      </c>
      <c r="L395" s="4" t="s">
        <v>8296</v>
      </c>
      <c r="P395" s="7" t="s">
        <v>1241</v>
      </c>
      <c r="Q395" s="13" t="str">
        <f>INDEX($L:$L, MATCH("norm", $B:$B, 0))</f>
        <v>&lt;span class="w"&gt;&lt;b&gt;【476.norm：規範, 標準】&lt;/b&gt;&lt;/span&gt;
&lt;span class="ml"&gt;ラテン語norma（大工の定規, 規範）に由来する。
&lt;span class="spacer"&gt;&lt;/span&gt;もともとは大工が使う物理的な定規を指していたが、「正しい角度や長さの基準となるもの」という本来の役割から意味が拡張され、社会や集団における「標準」や「規範」という意味へと発展した。&lt;/span&gt;</v>
      </c>
      <c r="AU395" s="15"/>
      <c r="AV395" s="1" t="s">
        <v>1502</v>
      </c>
      <c r="BG395" s="7" t="s">
        <v>1503</v>
      </c>
      <c r="BH395" s="1" t="s">
        <v>2780</v>
      </c>
      <c r="BI395" s="2" t="s">
        <v>3176</v>
      </c>
      <c r="BJ395" s="1" t="s">
        <v>3047</v>
      </c>
      <c r="BK395" s="2" t="s">
        <v>3177</v>
      </c>
      <c r="BL395" s="1" t="s">
        <v>1865</v>
      </c>
      <c r="BM395" s="2" t="s">
        <v>3178</v>
      </c>
    </row>
    <row r="396" spans="1:69" ht="288" x14ac:dyDescent="0.45">
      <c r="A396" s="5">
        <v>395</v>
      </c>
      <c r="B396" s="8" t="s">
        <v>1549</v>
      </c>
      <c r="C396" s="6" t="s">
        <v>6851</v>
      </c>
      <c r="D396" s="7" t="s">
        <v>9752</v>
      </c>
      <c r="E396" s="1" t="s">
        <v>46</v>
      </c>
      <c r="F396" s="1" t="s">
        <v>8944</v>
      </c>
      <c r="G396" s="1"/>
      <c r="J396" s="1" t="s">
        <v>9753</v>
      </c>
      <c r="K396" s="2" t="s">
        <v>7692</v>
      </c>
      <c r="L396" s="4" t="s">
        <v>8297</v>
      </c>
      <c r="M396" s="1" t="s">
        <v>12152</v>
      </c>
      <c r="P396" s="7" t="s">
        <v>1241</v>
      </c>
      <c r="Q396" s="14" t="str">
        <f>INDEX($L:$L, MATCH("prevent", $B:$B, 0))</f>
        <v>&lt;span class="w"&gt;&lt;b&gt;【137.prevent：〜を妨げる, 〜を防ぐ】&lt;/b&gt;&lt;/span&gt;
&lt;span class="ml"&gt;ラテン語に由来する語で、以下の2つの要素から成る。
&lt;span class="spacer"&gt;&lt;/span&gt;prae（前に）
venire（来る）
&lt;span class="spacer"&gt;&lt;/span&gt;このまま日本語にすると「（時間的に）前に来る」となる。つまり何かが起こる、何かをするより先に来るということ。この先回りの行動が、先に行動して何かを阻止するという妨害と結びつき、「妨げる, 防ぐ」という意味になる。
&lt;div class="sample_image prevent"&gt;&lt;/div&gt;&lt;/span&gt;</v>
      </c>
      <c r="R396" s="14" t="str">
        <f>INDEX($L:$L, MATCH("eventually", $B:$B, 0))</f>
        <v>&lt;span class="w"&gt;&lt;b&gt;【200.eventually：結局, 最終的に】&lt;/b&gt;&lt;/span&gt;
&lt;span class="ml"&gt;eventuallyは以下の4つの要素から成る。
&lt;span class="spacer"&gt;&lt;/span&gt;ex（外に：ラテン語）
venire（来る：ラテン語）
uel（形容詞化：古フランス語）
ly（副詞化：近代英語）
&lt;span class="spacer"&gt;&lt;/span&gt;もっとシンプルにすると
event＋ual＋lyとなる。
&lt;span class="spacer"&gt;&lt;/span&gt;「外に来る」は、様々な過程を経て何かが出てくること。つまり「最終的な結果, 出来事」を意味する。これが副詞となることで「結果的に, 結局, 最終的に」という意味になる。&lt;/span&gt;</v>
      </c>
      <c r="S396" s="14" t="str">
        <f>INDEX($L:$L, MATCH("conventional", $B:$B, 0))</f>
        <v>&lt;span class="w"&gt;&lt;b&gt;【585.conventional：従来通りの, 型にはまった】&lt;/b&gt;&lt;/span&gt;
&lt;span class="ml"&gt;ラテン語に由来する語で、以下の4つの要素から成る。
&lt;span class="spacer"&gt;&lt;/span&gt;com（共に）
venire（来る）
io（名詞化）
alis（形容詞化）
&lt;span class="spacer"&gt;&lt;/span&gt;まずは「共に来ること」から、①人が集まること、②人が集まって形成される合意、③人が集まることで作られる暗黙のルール＝慣習という意味になる。
&lt;span class="spacer"&gt;&lt;/span&gt;慣習というのは、古くから受け継がれるもの。そこから昔から変わらない、つまり「従来通りの」という意味になる。また少しネガティブなニュアンスになると、新しさがなくて「型にはまった」という意味になる。
&lt;div class="sample_image conventional"&gt;&lt;/div&gt;&lt;/span&gt;</v>
      </c>
      <c r="T396" s="14" t="str">
        <f>INDEX($L:$L, MATCH("revenue", $B:$B, 0))</f>
        <v>&lt;span class="w"&gt;&lt;b&gt;【1477.revenue：歳入, 収入】&lt;/b&gt;&lt;/span&gt;
&lt;span class="ml"&gt;ラテン語に由来する語で、以下の2つの要素から成る。
&lt;span class="spacer"&gt;&lt;/span&gt;re（後ろへ, 戻って）
venire（来る）
&lt;span class="spacer"&gt;&lt;/span&gt;この語の核は「戻ってくるもの」。お金を払って何かを手に入れ、それを使ってお金を得る、つまりお金が戻ってくることから「収入」という意味になった。またそこから、国家の一年間の収入＝「歳入」という意味にもなった。
&lt;div class="sample_image revenue"&gt;&lt;/div&gt;&lt;/span&gt;</v>
      </c>
      <c r="U396" s="14" t="str">
        <f>INDEX($L:$L, MATCH("venture", $B:$B, 0))</f>
        <v>&lt;span class="w"&gt;&lt;b&gt;【1204.venture：危険を冒して進む】&lt;/b&gt;&lt;/span&gt;
&lt;span class="ml"&gt;古ラテン語に由来する語で、以下の2つの要素から成る。
&lt;span class="spacer"&gt;&lt;/span&gt;ad（〜へ）
venire（来る）
&lt;span class="spacer"&gt;&lt;/span&gt;このまま日本語にすると「〜へ来る」となる。もともとは、どこかから何かが自分の元へやって来ることを表した。そこから、将来的に起こることという意味を経て、将来的に結果がどうなるかわからない出来事、そして結果がわからない危険な試みへと発展し、動詞で「危険を冒して進む」という意味になった。&lt;/span&gt;</v>
      </c>
      <c r="V396" s="14" t="str">
        <f>INDEX($L:$L, MATCH("achieve", $B:$B, 0))</f>
        <v>&lt;span class="w"&gt;&lt;b&gt;【118.achieve：～を達成する】&lt;/b&gt;&lt;/span&gt;
&lt;span class="ml"&gt;ラテン語に由来する語で、以下の3つの要素から成る。
&lt;span class="spacer"&gt;&lt;/span&gt;ad（～へ）
capt（頭）
venire（来る）
&lt;span class="spacer"&gt;&lt;/span&gt;このまま日本語にすると「頭へ来る」となる。頭は動物の体の端にあることから、端へ来る＝終わりに到達する＝何かを「達成する」という意味になる。
&lt;span class="spacer"&gt;&lt;/span&gt;ラテン語capt（頭）はcaptain（キャプテン）の語源でもある。&lt;/span&gt;</v>
      </c>
      <c r="W396" s="15"/>
      <c r="AU396" s="15"/>
      <c r="AV396" s="1" t="s">
        <v>1502</v>
      </c>
      <c r="BG396" s="7" t="s">
        <v>1503</v>
      </c>
      <c r="BH396" s="1" t="s">
        <v>2780</v>
      </c>
      <c r="BI396" s="2" t="s">
        <v>3179</v>
      </c>
      <c r="BJ396" s="1" t="s">
        <v>3047</v>
      </c>
      <c r="BK396" s="2" t="s">
        <v>3180</v>
      </c>
      <c r="BL396" s="1" t="s">
        <v>1865</v>
      </c>
      <c r="BM396" s="1" t="s">
        <v>3181</v>
      </c>
    </row>
    <row r="397" spans="1:69" ht="180" x14ac:dyDescent="0.45">
      <c r="A397" s="5">
        <v>396</v>
      </c>
      <c r="B397" s="8" t="s">
        <v>270</v>
      </c>
      <c r="C397" s="6" t="s">
        <v>6851</v>
      </c>
      <c r="D397" s="7" t="s">
        <v>9752</v>
      </c>
      <c r="E397" s="1" t="s">
        <v>1550</v>
      </c>
      <c r="F397" s="1" t="s">
        <v>1551</v>
      </c>
      <c r="G397" s="1"/>
      <c r="J397" s="1" t="s">
        <v>9753</v>
      </c>
      <c r="K397" s="2" t="s">
        <v>7693</v>
      </c>
      <c r="L397" s="9" t="s">
        <v>8298</v>
      </c>
      <c r="P397" s="7" t="s">
        <v>1241</v>
      </c>
      <c r="Q397" s="13" t="str">
        <f>INDEX($L:$L, MATCH("dominate", $B:$B, 0))</f>
        <v>&lt;span class="w"&gt;&lt;b&gt;【702.dominate：〜を支配する】&lt;/b&gt;&lt;/span&gt;
&lt;span class="ml"&gt;ラテン語domus（家）から派生したdominus（家の主人）に由来する。
&lt;span class="spacer"&gt;&lt;/span&gt;この語の核は「家の主人」。主人というのは家を支配する人なので、何かを「支配する」という意味になった。
&lt;div class="sample_image dominate"&gt;&lt;/div&gt;&lt;/span&gt;</v>
      </c>
      <c r="AU397" s="15"/>
      <c r="AV397" s="1" t="s">
        <v>1502</v>
      </c>
      <c r="BG397" s="7" t="s">
        <v>1503</v>
      </c>
      <c r="BH397" s="1" t="s">
        <v>2780</v>
      </c>
      <c r="BI397" s="2" t="s">
        <v>7694</v>
      </c>
      <c r="BJ397" s="1" t="s">
        <v>2031</v>
      </c>
      <c r="BK397" s="2" t="s">
        <v>3182</v>
      </c>
      <c r="BL397" s="1" t="s">
        <v>1863</v>
      </c>
      <c r="BM397" s="2" t="s">
        <v>3183</v>
      </c>
      <c r="BN397" s="1" t="s">
        <v>1865</v>
      </c>
      <c r="BO397" s="2" t="s">
        <v>3184</v>
      </c>
    </row>
    <row r="398" spans="1:69" ht="162" x14ac:dyDescent="0.45">
      <c r="A398" s="5">
        <v>397</v>
      </c>
      <c r="B398" s="8" t="s">
        <v>271</v>
      </c>
      <c r="C398" s="6" t="s">
        <v>6851</v>
      </c>
      <c r="D398" s="7" t="s">
        <v>9752</v>
      </c>
      <c r="E398" s="1" t="s">
        <v>271</v>
      </c>
      <c r="F398" s="1"/>
      <c r="G398" s="1"/>
      <c r="J398" s="1" t="s">
        <v>9753</v>
      </c>
      <c r="K398" s="2" t="s">
        <v>7695</v>
      </c>
      <c r="L398" s="9" t="s">
        <v>8299</v>
      </c>
      <c r="P398" s="7" t="s">
        <v>1241</v>
      </c>
      <c r="AV398" s="1" t="s">
        <v>1502</v>
      </c>
      <c r="BG398" s="7" t="s">
        <v>1503</v>
      </c>
      <c r="BH398" s="1" t="s">
        <v>2423</v>
      </c>
      <c r="BI398" s="1" t="s">
        <v>3185</v>
      </c>
      <c r="BJ398" s="1" t="s">
        <v>2780</v>
      </c>
      <c r="BK398" s="2" t="s">
        <v>7696</v>
      </c>
      <c r="BL398" s="1" t="s">
        <v>2031</v>
      </c>
      <c r="BM398" s="2" t="s">
        <v>3186</v>
      </c>
      <c r="BN398" s="1" t="s">
        <v>1863</v>
      </c>
      <c r="BO398" s="2" t="s">
        <v>3187</v>
      </c>
      <c r="BP398" s="1" t="s">
        <v>1865</v>
      </c>
      <c r="BQ398" s="2" t="s">
        <v>7697</v>
      </c>
    </row>
    <row r="399" spans="1:69" ht="108" x14ac:dyDescent="0.45">
      <c r="A399" s="5">
        <v>398</v>
      </c>
      <c r="B399" s="8" t="s">
        <v>1610</v>
      </c>
      <c r="C399" s="6" t="s">
        <v>6851</v>
      </c>
      <c r="D399" s="7" t="s">
        <v>9752</v>
      </c>
      <c r="E399" s="6" t="s">
        <v>1552</v>
      </c>
      <c r="F399" s="6" t="s">
        <v>1544</v>
      </c>
      <c r="G399" s="1"/>
      <c r="J399" s="1" t="s">
        <v>9753</v>
      </c>
      <c r="K399" s="2" t="s">
        <v>7698</v>
      </c>
      <c r="L399" s="9" t="s">
        <v>8300</v>
      </c>
      <c r="P399" s="7" t="s">
        <v>1241</v>
      </c>
      <c r="AU399" s="15"/>
      <c r="AV399" s="1" t="s">
        <v>1502</v>
      </c>
      <c r="BG399" s="7" t="s">
        <v>1503</v>
      </c>
      <c r="BH399" s="1" t="s">
        <v>2423</v>
      </c>
      <c r="BI399" s="2" t="s">
        <v>3188</v>
      </c>
      <c r="BJ399" s="1" t="s">
        <v>2324</v>
      </c>
      <c r="BK399" s="1" t="s">
        <v>3189</v>
      </c>
      <c r="BL399" s="1" t="s">
        <v>1980</v>
      </c>
      <c r="BM399" s="1" t="s">
        <v>3190</v>
      </c>
      <c r="BN399" s="1" t="s">
        <v>1865</v>
      </c>
      <c r="BO399" s="2" t="s">
        <v>3191</v>
      </c>
    </row>
    <row r="400" spans="1:69" ht="144" x14ac:dyDescent="0.45">
      <c r="A400" s="5">
        <v>399</v>
      </c>
      <c r="B400" s="8" t="s">
        <v>272</v>
      </c>
      <c r="C400" s="6" t="s">
        <v>6853</v>
      </c>
      <c r="D400" s="7" t="s">
        <v>9752</v>
      </c>
      <c r="E400" s="1" t="s">
        <v>1537</v>
      </c>
      <c r="F400" s="1" t="s">
        <v>1553</v>
      </c>
      <c r="G400" s="1"/>
      <c r="J400" s="1" t="s">
        <v>9753</v>
      </c>
      <c r="K400" s="2" t="s">
        <v>7699</v>
      </c>
      <c r="L400" s="9" t="s">
        <v>8301</v>
      </c>
      <c r="P400" s="7" t="s">
        <v>1241</v>
      </c>
      <c r="Q400" s="16" t="str">
        <f>INDEX($L:$L, MATCH("overall", $B:$B, 0))</f>
        <v>&lt;span class="w"&gt;&lt;b&gt;【386.overall：総合的な, 全体的な】&lt;/b&gt;&lt;/span&gt;
&lt;span class="ml"&gt;古英語のフレーズofer eall（あらゆる場所で）にさかのぼる。
&lt;span class="spacer"&gt;&lt;/span&gt;あらゆる場所という空間的な意味から、物事全体に及ぶ＝「全体的に, 総合的に」という抽象的な意味にもなる。&lt;/span&gt;</v>
      </c>
      <c r="R400" s="19" t="str">
        <f>INDEX($L:$L, MATCH("superior", $B:$B, 0))</f>
        <v>&lt;span class="w"&gt;&lt;b&gt;【493.superior：より優れた】&lt;/b&gt;&lt;/span&gt;
&lt;span class="ml"&gt;ラテン語に由来する語で、以下の3つの要素から成る。
&lt;span class="spacer"&gt;&lt;/span&gt;super（上に, 越えて）
us（形容詞化）
ior（比較級を作る）
&lt;span class="spacer"&gt;&lt;/span&gt;このまま日本語にすると「より上の」となる。物理的な位置関係において、何かよりも上であるということから、能力・品質・地位などが上であることへと発展し、「より優れた」という意味になった。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v>
      </c>
      <c r="S400" s="19" t="str">
        <f>INDEX($L:$L, MATCH("supreme", $B:$B, 0))</f>
        <v>&lt;span class="w"&gt;&lt;b&gt;【1479.supreme：最高の】&lt;/b&gt;&lt;/span&gt;
&lt;span class="ml"&gt;ラテン語に由来する語で、以下の2つの要素から成る。
&lt;span class="spacer"&gt;&lt;/span&gt;super（上に）
emus（最上級を作る）
&lt;span class="spacer"&gt;&lt;/span&gt;これはsuperの最上級と覚えればよい。物理的な位置として最も上にある状態から、地位、権力、品質、程度などが他のすべてよりも上であるという抽象的な意味へと発展して「最高の」という意味になった。&lt;/span&gt;</v>
      </c>
      <c r="AU400" s="15"/>
      <c r="AV400" s="1" t="s">
        <v>1502</v>
      </c>
      <c r="BG400" s="7" t="s">
        <v>1503</v>
      </c>
      <c r="BH400" s="1" t="s">
        <v>1865</v>
      </c>
      <c r="BI400" s="2" t="s">
        <v>3192</v>
      </c>
    </row>
    <row r="401" spans="1:69" ht="409.6" x14ac:dyDescent="0.45">
      <c r="A401" s="5">
        <v>400</v>
      </c>
      <c r="B401" s="8" t="s">
        <v>273</v>
      </c>
      <c r="C401" s="6" t="s">
        <v>6853</v>
      </c>
      <c r="D401" s="7" t="s">
        <v>9752</v>
      </c>
      <c r="E401" s="1" t="s">
        <v>1554</v>
      </c>
      <c r="F401" s="1" t="s">
        <v>1555</v>
      </c>
      <c r="G401" s="1" t="s">
        <v>1556</v>
      </c>
      <c r="J401" s="1" t="s">
        <v>9753</v>
      </c>
      <c r="K401" s="2" t="s">
        <v>8594</v>
      </c>
      <c r="L401" s="9" t="s">
        <v>10513</v>
      </c>
      <c r="P401" s="7" t="s">
        <v>1241</v>
      </c>
      <c r="Q401" s="13" t="str">
        <f>INDEX($L:$L, MATCH("nonetheless", $B:$B, 0))</f>
        <v>&lt;span class="w"&gt;&lt;b&gt;【1000.nonetheless：それにもかかわらず, それでもなお】&lt;/b&gt;&lt;/span&gt;
&lt;span class="ml"&gt;関連語のneverthelessを参照。&lt;/span&gt;</v>
      </c>
      <c r="AU401" s="15"/>
      <c r="AV401" s="1" t="s">
        <v>1502</v>
      </c>
      <c r="BG401" s="7" t="s">
        <v>1503</v>
      </c>
      <c r="BH401" s="1" t="s">
        <v>1863</v>
      </c>
      <c r="BI401" s="2" t="s">
        <v>3193</v>
      </c>
    </row>
    <row r="402" spans="1:69" ht="162" x14ac:dyDescent="0.45">
      <c r="A402" s="5">
        <v>401</v>
      </c>
      <c r="B402" s="8" t="s">
        <v>274</v>
      </c>
      <c r="C402" s="6" t="s">
        <v>1816</v>
      </c>
      <c r="D402" s="7" t="s">
        <v>9752</v>
      </c>
      <c r="E402" s="1" t="s">
        <v>1327</v>
      </c>
      <c r="F402" s="1" t="s">
        <v>1611</v>
      </c>
      <c r="G402" s="1"/>
      <c r="J402" s="1" t="s">
        <v>9753</v>
      </c>
      <c r="K402" s="2" t="s">
        <v>7701</v>
      </c>
      <c r="L402" s="9" t="s">
        <v>8302</v>
      </c>
      <c r="P402" s="7" t="s">
        <v>1241</v>
      </c>
      <c r="AU402" s="15"/>
      <c r="AV402" s="1" t="s">
        <v>1502</v>
      </c>
      <c r="BG402" s="7" t="s">
        <v>1503</v>
      </c>
      <c r="BH402" s="1" t="s">
        <v>2780</v>
      </c>
      <c r="BI402" s="2" t="s">
        <v>3194</v>
      </c>
      <c r="BJ402" s="1" t="s">
        <v>2419</v>
      </c>
      <c r="BK402" s="2" t="s">
        <v>3207</v>
      </c>
    </row>
    <row r="403" spans="1:69" ht="108" x14ac:dyDescent="0.45">
      <c r="A403" s="5">
        <v>402</v>
      </c>
      <c r="B403" s="8" t="s">
        <v>1131</v>
      </c>
      <c r="C403" s="6" t="s">
        <v>1816</v>
      </c>
      <c r="D403" s="7" t="s">
        <v>9752</v>
      </c>
      <c r="E403" s="1" t="s">
        <v>1612</v>
      </c>
      <c r="F403" s="1" t="s">
        <v>1613</v>
      </c>
      <c r="G403" s="1"/>
      <c r="J403" s="1" t="s">
        <v>9753</v>
      </c>
      <c r="K403" s="2" t="s">
        <v>7702</v>
      </c>
      <c r="L403" s="9" t="s">
        <v>8303</v>
      </c>
      <c r="P403" s="7" t="s">
        <v>1241</v>
      </c>
      <c r="AU403" s="15"/>
      <c r="AV403" s="1" t="s">
        <v>1502</v>
      </c>
      <c r="BG403" s="7" t="s">
        <v>1503</v>
      </c>
      <c r="BH403" s="1" t="s">
        <v>1863</v>
      </c>
      <c r="BI403" s="2" t="s">
        <v>7703</v>
      </c>
    </row>
    <row r="404" spans="1:69" ht="198" x14ac:dyDescent="0.45">
      <c r="A404" s="5">
        <v>403</v>
      </c>
      <c r="B404" s="8" t="s">
        <v>1616</v>
      </c>
      <c r="C404" s="6" t="s">
        <v>1816</v>
      </c>
      <c r="D404" s="7" t="s">
        <v>9752</v>
      </c>
      <c r="E404" s="1" t="s">
        <v>1454</v>
      </c>
      <c r="F404" s="1" t="s">
        <v>8945</v>
      </c>
      <c r="G404" s="1"/>
      <c r="J404" s="1" t="s">
        <v>9753</v>
      </c>
      <c r="K404" s="2" t="s">
        <v>7704</v>
      </c>
      <c r="L404" s="4" t="s">
        <v>8304</v>
      </c>
      <c r="M404" s="1" t="s">
        <v>12113</v>
      </c>
      <c r="P404" s="7" t="s">
        <v>1241</v>
      </c>
      <c r="Q404" s="14" t="str">
        <f>INDEX($L:$L, MATCH("produce", $B:$B, 0))</f>
        <v>&lt;span class="w"&gt;&lt;b&gt;【10.produce：～を生産する】&lt;/b&gt;&lt;/span&gt;
&lt;span class="ml"&gt;ラテン語に由来する語で、以下の2つの要素からなる。
&lt;span class="spacer"&gt;&lt;/span&gt;pro（前に）
decere（導く）
&lt;span class="spacer"&gt;&lt;/span&gt;このまま日本語にすると「前に導く」となる。目の前にないものを相手の前に導き出すというイメージから「何かを生産する」という意味になる。&lt;/span&gt;</v>
      </c>
      <c r="R404" s="14" t="str">
        <f>INDEX($L:$L, MATCH("reduce", $B:$B, 0))</f>
        <v>&lt;span class="w"&gt;&lt;b&gt;【20.reduce：～を減らす】&lt;/b&gt;&lt;/span&gt;
&lt;span class="ml"&gt;ラテン語に由来する語で、以下の2つの要素から成る。
&lt;span class="spacer"&gt;&lt;/span&gt;re（元へ, 後ろへ）
ducere（導く）
&lt;span class="spacer"&gt;&lt;/span&gt;このまま日本語にすると「後ろに導く」となる。現状から後ろに下がる、つまりマイナスになるイメージから「減らす」という意味になる。&lt;/span&gt;</v>
      </c>
      <c r="S404" s="14" t="str">
        <f>INDEX($L:$L, MATCH("induce", $B:$B, 0))</f>
        <v>&lt;span class="w"&gt;&lt;b&gt;【1405.induce：〜を引き起こす, 〜を説得する】&lt;/b&gt;&lt;/span&gt;
&lt;span class="ml"&gt;ラテン語に由来する語で、以下の2つの要素から成る。
&lt;span class="spacer"&gt;&lt;/span&gt;in（中に）
ducere（導く）
&lt;span class="spacer"&gt;&lt;/span&gt;このまま日本語にすると「中に導く」となる。特定の考えや行動の中へと人を導くことから「説得する」という意味に、特定の状態へと事態を導くことから「引き起こす」という意味になる。
&lt;div class="sample_image induce"&gt;&lt;/div&gt;&lt;/span&gt;</v>
      </c>
      <c r="T404" s="14" t="str">
        <f>INDEX($L:$L, MATCH("reproduce", $B:$B, 0))</f>
        <v>&lt;span class="w"&gt;&lt;b&gt;【917.reproduce：〜を複製する, 〜を繁殖させる】&lt;/b&gt;&lt;/span&gt;
&lt;span class="ml"&gt;近代英語に由来する語で、以下の2つの要素から成る。
&lt;span class="spacer"&gt;&lt;/span&gt;re（再び）
produce（生産する） 
&lt;span class="spacer"&gt;&lt;/span&gt;このまま日本語にすると「再び生産する」となる。既に存在するオリジナルをもとに再び生産することから、何かを「複製する」という意味になる。また生物学においては、遺伝子を複製して「繁殖させる」という意味になる。&lt;/span&gt;</v>
      </c>
      <c r="U404" s="13" t="str">
        <f>INDEX($L:$L, MATCH("conduct", $B:$B, 0))</f>
        <v>&lt;span class="w"&gt;&lt;b&gt;【210.conduct：実施する, 導く】&lt;/b&gt;&lt;/span&gt;
&lt;span class="ml"&gt;ラテン語に由来する語で、以下の2つの要素から成る。
&lt;span class="spacer"&gt;&lt;/span&gt;com（共に）
ducere（導く）
&lt;span class="spacer"&gt;&lt;/span&gt;このまま日本語にすると「共に導く」となる。ある物事が行われるように導いていくイメージから「実施する, 導く」という意味になる。
&lt;div class="sample_image conduct"&gt;&lt;/div&gt;&lt;/span&gt;</v>
      </c>
      <c r="AU404" s="15"/>
      <c r="AV404" s="1" t="s">
        <v>1502</v>
      </c>
      <c r="BG404" s="7" t="s">
        <v>1503</v>
      </c>
      <c r="BH404" s="1" t="s">
        <v>2780</v>
      </c>
      <c r="BI404" s="2" t="s">
        <v>3195</v>
      </c>
      <c r="BJ404" s="1" t="s">
        <v>3047</v>
      </c>
      <c r="BK404" s="2" t="s">
        <v>3196</v>
      </c>
      <c r="BL404" s="1" t="s">
        <v>1865</v>
      </c>
      <c r="BM404" s="2" t="s">
        <v>3197</v>
      </c>
    </row>
    <row r="405" spans="1:69" ht="180" x14ac:dyDescent="0.45">
      <c r="A405" s="5">
        <v>404</v>
      </c>
      <c r="B405" s="8" t="s">
        <v>1617</v>
      </c>
      <c r="C405" s="6" t="s">
        <v>1816</v>
      </c>
      <c r="D405" s="7" t="s">
        <v>9752</v>
      </c>
      <c r="E405" s="1" t="s">
        <v>8946</v>
      </c>
      <c r="F405" s="1" t="s">
        <v>645</v>
      </c>
      <c r="G405" s="1"/>
      <c r="J405" s="1" t="s">
        <v>9753</v>
      </c>
      <c r="K405" s="2" t="s">
        <v>7705</v>
      </c>
      <c r="L405" s="9" t="s">
        <v>8305</v>
      </c>
      <c r="P405" s="7" t="s">
        <v>1241</v>
      </c>
      <c r="Q405" s="22" t="str">
        <f>INDEX($L:$L, MATCH("chase", $B:$B, 0))</f>
        <v>&lt;span class="w"&gt;&lt;b&gt;【901.chase：〜を追跡する】&lt;/b&gt;&lt;/span&gt;
&lt;span class="ml"&gt;ラテン語capere（取る）の反復形captare（繰り返し取ろうとする）に由来する。
&lt;span class="spacer"&gt;&lt;/span&gt;この語の核は「繰り返し取ろうとする」。ただ追いかけるだけではなく、最終的に捕まえるということを目的にして「追いかける」という意味になる。
&lt;span class="spacer"&gt;&lt;/span&gt;&lt;span class="obsolete"&gt;ラテン語captareからは、追いかけて捕まえるという一連の行為から、追いかけるchaseと捕まえるcatchが生まれた。chaseとcatchは同じ語が2つに分かれてできたもの。&lt;/span&gt;&lt;/span&gt;</v>
      </c>
      <c r="R405" s="15"/>
      <c r="S405" s="15"/>
      <c r="T405" s="15"/>
      <c r="U405" s="15"/>
      <c r="V405" s="15"/>
      <c r="W405" s="15"/>
      <c r="X405" s="15"/>
      <c r="Y405" s="15"/>
      <c r="AA405" s="15"/>
      <c r="AB405" s="15"/>
      <c r="AC405" s="15"/>
      <c r="AD405" s="15"/>
      <c r="AE405" s="15"/>
      <c r="AF405" s="15"/>
      <c r="AG405" s="15"/>
      <c r="AU405" s="15"/>
      <c r="AV405" s="1" t="s">
        <v>1502</v>
      </c>
      <c r="BG405" s="7" t="s">
        <v>1503</v>
      </c>
      <c r="BH405" s="1" t="s">
        <v>2780</v>
      </c>
      <c r="BI405" s="2" t="s">
        <v>3198</v>
      </c>
      <c r="BJ405" s="1" t="s">
        <v>2031</v>
      </c>
      <c r="BK405" s="2" t="s">
        <v>3199</v>
      </c>
      <c r="BL405" s="1" t="s">
        <v>1869</v>
      </c>
      <c r="BM405" s="1" t="s">
        <v>3200</v>
      </c>
      <c r="BN405" s="1" t="s">
        <v>3047</v>
      </c>
      <c r="BO405" s="2" t="s">
        <v>3201</v>
      </c>
    </row>
    <row r="406" spans="1:69" ht="216" x14ac:dyDescent="0.45">
      <c r="A406" s="5">
        <v>405</v>
      </c>
      <c r="B406" s="8" t="s">
        <v>1618</v>
      </c>
      <c r="C406" s="6" t="s">
        <v>1816</v>
      </c>
      <c r="D406" s="7" t="s">
        <v>9752</v>
      </c>
      <c r="E406" s="1" t="s">
        <v>1251</v>
      </c>
      <c r="F406" s="1" t="s">
        <v>1467</v>
      </c>
      <c r="G406" s="1" t="s">
        <v>8947</v>
      </c>
      <c r="J406" s="1" t="s">
        <v>9753</v>
      </c>
      <c r="K406" s="2" t="s">
        <v>7706</v>
      </c>
      <c r="L406" s="4" t="s">
        <v>8306</v>
      </c>
      <c r="P406" s="7" t="s">
        <v>1241</v>
      </c>
      <c r="Q406" s="14" t="str">
        <f>INDEX($L:$L, MATCH("command", $B:$B, 0))</f>
        <v>&lt;span class="w"&gt;&lt;b&gt;【808.command：〜を命じる, 〜を指揮する, （景色）を見渡せる】&lt;/b&gt;&lt;/span&gt;
&lt;span class="ml"&gt;ラテン語に由来する語で、以下の3つの要素から成る。
&lt;span class="spacer"&gt;&lt;/span&gt;com（強意）
manus（手）
dare（与える）
&lt;span class="spacer"&gt;&lt;/span&gt;このまま日本語にすると「しっかり手で与える」となる。もともとは何かを手渡すことや委ねることを表したが、そこから意味が強まって、権力をもって「命じる」という意味になった。また、命令によって他の人や物を動かすことから「指揮する」、軍事において指揮者が戦場全体を見渡すことから、一般的に「景色を見渡す」という意味にもなった。
&lt;div class="sample_image command"&gt;&lt;/div&gt;&lt;/span&gt;</v>
      </c>
      <c r="R406" s="13" t="str">
        <f>INDEX($L:$L, MATCH("demand", $B:$B, 0))</f>
        <v>&lt;span class="w"&gt;&lt;b&gt;【38.demand：～を要求する】&lt;/b&gt;&lt;/span&gt;
&lt;span class="ml"&gt;ラテン語に由来する語で、以下の2つの要素から成る。
&lt;span class="spacer"&gt;&lt;/span&gt;de（完全に）
mandare（命じる, 委ねる）
&lt;span class="spacer"&gt;&lt;/span&gt;このまま日本語にすると「完全に命じる, 委ねる」となる。自分の望みを相手に命じて完全に委ねるイメージから、相手に「要求する」という意味になる。&lt;/span&gt;</v>
      </c>
      <c r="AU406" s="15"/>
      <c r="AV406" s="1" t="s">
        <v>1502</v>
      </c>
      <c r="BG406" s="7" t="s">
        <v>1503</v>
      </c>
      <c r="BH406" s="1" t="s">
        <v>2780</v>
      </c>
      <c r="BI406" s="2" t="s">
        <v>7707</v>
      </c>
      <c r="BJ406" s="1" t="s">
        <v>1980</v>
      </c>
      <c r="BK406" s="2" t="s">
        <v>3202</v>
      </c>
      <c r="BL406" s="1" t="s">
        <v>3047</v>
      </c>
      <c r="BM406" s="2" t="s">
        <v>3208</v>
      </c>
      <c r="BN406" s="1" t="s">
        <v>1865</v>
      </c>
      <c r="BO406" s="2" t="s">
        <v>3203</v>
      </c>
    </row>
    <row r="407" spans="1:69" ht="306" x14ac:dyDescent="0.45">
      <c r="A407" s="5">
        <v>406</v>
      </c>
      <c r="B407" s="8" t="s">
        <v>1132</v>
      </c>
      <c r="C407" s="6" t="s">
        <v>1816</v>
      </c>
      <c r="D407" s="7" t="s">
        <v>9752</v>
      </c>
      <c r="E407" s="1" t="s">
        <v>1459</v>
      </c>
      <c r="F407" s="1" t="s">
        <v>1614</v>
      </c>
      <c r="G407" s="1"/>
      <c r="J407" s="1" t="s">
        <v>9753</v>
      </c>
      <c r="K407" s="2" t="s">
        <v>7708</v>
      </c>
      <c r="L407" s="3" t="s">
        <v>8307</v>
      </c>
      <c r="M407" s="1" t="s">
        <v>12203</v>
      </c>
      <c r="P407" s="7" t="s">
        <v>1241</v>
      </c>
      <c r="Q407" s="14" t="str">
        <f>INDEX($L:$L, MATCH("submit", $B:$B, 0))</f>
        <v>&lt;span class="w"&gt;&lt;b&gt;【928.submit：〜を提出する, submit oneself 従う】&lt;/b&gt;&lt;/span&gt;
&lt;span class="ml"&gt;ラテン語に由来する語で、以下の2つの要素から成る。
&lt;span class="spacer"&gt;&lt;/span&gt;sub（〜の下に）
mittere（送る, 放つ）
&lt;span class="spacer"&gt;&lt;/span&gt;このまま日本語にすると「下に送る」となる。この物理的な下方向への動きから、自分自身を相手の下に置き、相手に「従う」という意味になった。さらに、自分で判断するのではなく他者の判断に従うために、自分の意見や考えなどを差し出すことから、何かを「提出する」という意味にもなった。
&lt;div class="sample_image submit"&gt;&lt;/div&gt;&lt;/span&gt;</v>
      </c>
      <c r="R407" s="14" t="str">
        <f>INDEX($L:$L, MATCH("emit", $B:$B, 0))</f>
        <v>&lt;span class="w"&gt;&lt;b&gt;【1322.emit：（光・熱などを）放つ, 排出する】&lt;/b&gt;&lt;/span&gt;
&lt;span class="ml"&gt;ラテン語に由来する語で、以下の2つの要素から成る。
&lt;span class="spacer"&gt;&lt;/span&gt;ex（外に）
mittere（送る）
&lt;span class="spacer"&gt;&lt;/span&gt;このまま日本語にすると「外に送る」となる。物理的に何かを外へ送り出すという動作から、目に見えないエネルギーや気体などを「放つ, 排出する」という意味になった。
&lt;div class="sample_image emit"&gt;&lt;/div&gt;&lt;/span&gt;</v>
      </c>
      <c r="S407" s="14" t="str">
        <f>INDEX($L:$L, MATCH("commit", $B:$B, 0))</f>
        <v>&lt;span class="w"&gt;&lt;b&gt;【601.commit：（受け身で）献身する, 罪などを犯す】&lt;/b&gt;&lt;/span&gt;
&lt;span class="ml"&gt;ラテン語に由来する語で、以下の2つの要素から成る。
&lt;span class="spacer"&gt;&lt;/span&gt;com（共に）
mittere（送る, 放つ）
&lt;span class="spacer"&gt;&lt;/span&gt;このまま日本語にすると「共に送る」となる。ここから現代英語の「献身する」や「罪などを犯す」という意味への発展経緯は明らかではないため、あくまでイメージで覚えておく。この語の核は「対象の元へ何かをまとめて送る」。
&lt;span class="spacer"&gt;&lt;/span&gt;①まだ実行していないものを現実に送る感じから「何かを行う」となる。特に後戻りできない重大なことを行うことから「罪などを犯す」という意味になる。
&lt;span class="spacer"&gt;&lt;/span&gt;②自分自身や自分の能力、時間、権限など、自分と自分に関するものをまとめて対象に送る感じから「献身する, 専念する」という意味になる。この場合は、commit oneself to A / be committed to Aといった形で使われる。&lt;/span&gt;</v>
      </c>
      <c r="T407" s="14" t="str">
        <f>INDEX($L:$L, MATCH("permit", $B:$B, 0))</f>
        <v>&lt;span class="w"&gt;&lt;b&gt;【628.permit：〜を許可する】&lt;/b&gt;&lt;/span&gt;
&lt;span class="ml"&gt;ラテン語に由来する語で、以下の2つの要素から成る。
&lt;span class="spacer"&gt;&lt;/span&gt;per（前へ, 通って）
mittere（送る, 放つ）
&lt;span class="spacer"&gt;&lt;/span&gt;このまま日本語にすると「通して送る」となる。これは、通過を妨げないで行かせることから「許可する」という意味になる。
&lt;div class="sample_image permit"&gt;&lt;/div&gt;&lt;/span&gt;</v>
      </c>
      <c r="U407" s="14" t="str">
        <f>INDEX($L:$L, MATCH("transmit", $B:$B, 0))</f>
        <v>&lt;span class="w"&gt;&lt;b&gt;【1028.transmit：〜を伝える, （電波や信号など）を送る】&lt;/b&gt;&lt;/span&gt;
&lt;span class="ml"&gt;ラテン語に由来する語で、以下の2つの要素から成る。
&lt;span class="spacer"&gt;&lt;/span&gt;trans（越えて, 向こうへ）
mittere（送る, 放つ）
&lt;span class="spacer"&gt;&lt;/span&gt;このまま日本語にすると「越えて送る」となる。もともとは、何かを隔てた向こう側へ送るという物理的な移動を表した。そこからエネルギーや情報など、空間を越えて「伝える, 送る」という意味になった。
&lt;div class="sample_image transmit"&gt;&lt;/div&gt;&lt;/span&gt;</v>
      </c>
      <c r="V407" s="15"/>
      <c r="W407" s="15"/>
      <c r="AU407" s="15"/>
      <c r="AV407" s="1" t="s">
        <v>1502</v>
      </c>
      <c r="BG407" s="7" t="s">
        <v>1503</v>
      </c>
      <c r="BH407" s="1" t="s">
        <v>2780</v>
      </c>
      <c r="BI407" s="2" t="s">
        <v>3204</v>
      </c>
      <c r="BJ407" s="1" t="s">
        <v>3047</v>
      </c>
      <c r="BK407" s="2" t="s">
        <v>3205</v>
      </c>
    </row>
    <row r="408" spans="1:69" ht="396" x14ac:dyDescent="0.45">
      <c r="A408" s="5">
        <v>407</v>
      </c>
      <c r="B408" s="8" t="s">
        <v>1619</v>
      </c>
      <c r="C408" s="6" t="s">
        <v>1816</v>
      </c>
      <c r="D408" s="7" t="s">
        <v>9752</v>
      </c>
      <c r="E408" s="1" t="s">
        <v>200</v>
      </c>
      <c r="F408" s="1" t="s">
        <v>7709</v>
      </c>
      <c r="G408" s="1"/>
      <c r="J408" s="1" t="s">
        <v>9753</v>
      </c>
      <c r="K408" s="2" t="s">
        <v>7710</v>
      </c>
      <c r="L408" s="4" t="s">
        <v>8308</v>
      </c>
      <c r="M408" s="1" t="s">
        <v>12146</v>
      </c>
      <c r="P408" s="7" t="s">
        <v>1241</v>
      </c>
      <c r="Q408" s="14" t="str">
        <f>INDEX($L:$L, MATCH("native", $B:$B, 0))</f>
        <v>&lt;span class="w"&gt;&lt;b&gt;【94.native：出生地の, 原生の, 生まれつきの】&lt;/b&gt;&lt;/span&gt;
&lt;span class="ml"&gt;印欧祖語*gene-（生む, 生み出す）から派生したラテン語に由来する語で、以下の2つの要素から成る。
&lt;span class="spacer"&gt;&lt;/span&gt;nasci（生まれる）
ivus（形容詞化）
&lt;span class="spacer"&gt;&lt;/span&gt;「生まれる」が形容詞となって「生まれたままの」＝「生まれつきの」という意味になる。
&lt;span class="spacer"&gt;&lt;/span&gt;また生まれた土地と結びついている＝「出生地の, 原生の」という意味になる。&lt;/span&gt;</v>
      </c>
      <c r="R408" s="14" t="str">
        <f>INDEX($L:$L, MATCH("innate", $B:$B, 0))</f>
        <v>&lt;span class="w"&gt;&lt;b&gt;【1290.innate：生まれながらの】&lt;/b&gt;&lt;/span&gt;
&lt;span class="ml"&gt;ラテン語に由来する語で、以下の2つの要素から成る。
&lt;span class="spacer"&gt;&lt;/span&gt;in（中に）
nasci（生まれる）
&lt;span class="spacer"&gt;&lt;/span&gt;このまま日本語にすると「〜の中に生まれる」となる。生まれた時からその人やその動物の中にあることを表して「生まれつきの」という意味になる。
&lt;span class="spacer"&gt;&lt;/span&gt;nate部分は、nativeやnatureと同じイメージ。&lt;/span&gt;</v>
      </c>
      <c r="S408" s="14" t="str">
        <f>INDEX($L:$L, MATCH("indigenous", $B:$B, 0))</f>
        <v>&lt;span class="w"&gt;&lt;b&gt;【1189.indigenous：原産の, 先住の】&lt;/b&gt;&lt;/span&gt;
&lt;span class="ml"&gt;ラテン語に由来する語で、以下の3つの要素から成る。
&lt;span class="spacer"&gt;&lt;/span&gt;indu（中に）
gignere（生む）
us（形容詞化）
&lt;span class="spacer"&gt;&lt;/span&gt;この語の核は「ある環境の中で生まれた」。ある土地に初めから根付いている動植物や人を表して「土着の, 先住の」という意味になった。
&lt;div class="sample_image indigenous"&gt;&lt;/div&gt;&lt;/span&gt;</v>
      </c>
      <c r="T408" s="14" t="str">
        <f>INDEX($L:$L, MATCH("gene", $B:$B, 0))</f>
        <v>&lt;span class="w"&gt;&lt;b&gt;【275.gene：遺伝子】&lt;/b&gt;&lt;/span&gt;
&lt;span class="ml"&gt;印欧祖語*gene-（生む, 産む）から生まれたギリシャ語genea（世代, 人種, 血統）に由来する。
&lt;span class="spacer"&gt;&lt;/span&gt;このギリシャ語をもとに、デンマークの科学者が1905年にドイツ語Gen（遺伝子）を造る。世代を超えて引き継がれるもの, 種族で共通するもの、つまり「遺伝子」を指した。&lt;/span&gt;</v>
      </c>
      <c r="U408" s="14" t="str">
        <f>INDEX($L:$L, MATCH("gender", $B:$B, 0))</f>
        <v>&lt;span class="w"&gt;&lt;b&gt;【370.gender：社会的/文化的な性, 性別】&lt;/b&gt;&lt;/span&gt;
&lt;span class="ml"&gt;ラテン語genus（種族, 血統, 性別）に由来する。
&lt;span class="spacer"&gt;&lt;/span&gt;もともとは種類や文法上の性を表す言葉だったが、次第に人間の種類を分ける性別として使われるようになる。特に生物学的な性別に対し、「社会/文化的な性」として使われる。たとえば社会・文化における性差別をなくすことをジェンダーの平等と言う。&lt;/span&gt;</v>
      </c>
      <c r="V408" s="14" t="str">
        <f>INDEX($L:$L, MATCH("generous", $B:$B, 0))</f>
        <v>&lt;span class="w"&gt;&lt;b&gt;【880.generous：寛大な, 気前のよい】&lt;/b&gt;&lt;/span&gt;
&lt;span class="ml"&gt;ラテン語に由来する語で、以下の2つの要素から成る。
&lt;span class="spacer"&gt;&lt;/span&gt;genus（生まれ, 家系, 血統）
osus（形容詞化：〜に満ちている）
&lt;span class="spacer"&gt;&lt;/span&gt;もともとは、立派な血統に満ちていて高貴な生まれであることを表した。古代や中世には、高貴な人は器が大きく、他者に対して気前よくものを与え、寛大に振る舞うべきであるという価値観があったことから「寛大な, 気前のよい」という意味になった。&lt;/span&gt;</v>
      </c>
      <c r="W408" s="14" t="str">
        <f>INDEX($L:$L, MATCH("genuine", $B:$B, 0))</f>
        <v>&lt;span class="w"&gt;&lt;b&gt;【888.genuine：本物の, 偽りのない】&lt;/b&gt;&lt;/span&gt;
&lt;span class="ml"&gt;ラテン語に由来する語で、以下の2つの要素から成ると考えられる。
&lt;span class="spacer"&gt;&lt;/span&gt;gignere（生む, 産出する）
inus（形容詞化）
&lt;span class="spacer"&gt;&lt;/span&gt;この語の核は「生まれたまま自然な状態」。後から作られた混ぜ物や偽物ではなく、生まれたままであることを表し、「本物の, 偽りのない」という意味になる。
&lt;span class="spacer"&gt;&lt;/span&gt;また別の語源の説では、ラテン語genu（膝）に由来するという考えもある。
&lt;span class="spacer"&gt;&lt;/span&gt;古代ローマでは、赤ん坊が生まれると、父親がその子を自分の膝の上に置くという伝統的な儀式があった。これは単なるスキンシップではなく、「この子は間違いなく自分の血を引く、正式な子供である」と公に認めるための重要な法的手続きだった。そこから「偽りのない, 本物の」という意味になった。&lt;/span&gt;</v>
      </c>
      <c r="X408" s="14" t="str">
        <f>INDEX($L:$L, MATCH("pregnant", $B:$B, 0))</f>
        <v>&lt;span class="w"&gt;&lt;b&gt;【1095.pregnant：妊娠した】&lt;/b&gt;&lt;/span&gt;
&lt;span class="ml"&gt;ラテン語に由来する語で、以下の2つの要素から成る。
&lt;span class="spacer"&gt;&lt;/span&gt;prae（前に）
gnasci（生まれる）
&lt;span class="spacer"&gt;&lt;/span&gt;このまま日本語にすると「生まれる前」となる。そこから子を宿している状態＝「妊娠した」という意味になる。&lt;/span&gt;</v>
      </c>
      <c r="AV408" s="1" t="s">
        <v>1502</v>
      </c>
      <c r="BG408" s="7" t="s">
        <v>1503</v>
      </c>
      <c r="BH408" s="1" t="s">
        <v>2569</v>
      </c>
      <c r="BI408" s="1" t="s">
        <v>2838</v>
      </c>
      <c r="BJ408" s="1" t="s">
        <v>2780</v>
      </c>
      <c r="BK408" s="2" t="s">
        <v>3209</v>
      </c>
      <c r="BL408" s="1" t="s">
        <v>1865</v>
      </c>
      <c r="BM408" s="2" t="s">
        <v>3206</v>
      </c>
    </row>
    <row r="409" spans="1:69" ht="180" x14ac:dyDescent="0.45">
      <c r="A409" s="5">
        <v>408</v>
      </c>
      <c r="B409" s="8" t="s">
        <v>1133</v>
      </c>
      <c r="C409" s="6" t="s">
        <v>1816</v>
      </c>
      <c r="D409" s="7" t="s">
        <v>9752</v>
      </c>
      <c r="E409" s="1" t="s">
        <v>1413</v>
      </c>
      <c r="F409" s="1" t="s">
        <v>1615</v>
      </c>
      <c r="G409" s="1"/>
      <c r="J409" s="1" t="s">
        <v>9753</v>
      </c>
      <c r="K409" s="2" t="s">
        <v>7711</v>
      </c>
      <c r="L409" s="3" t="s">
        <v>8309</v>
      </c>
      <c r="P409" s="7" t="s">
        <v>1241</v>
      </c>
      <c r="AU409" s="15"/>
      <c r="AV409" s="1" t="s">
        <v>1502</v>
      </c>
      <c r="BG409" s="7" t="s">
        <v>1503</v>
      </c>
      <c r="BH409" s="1" t="s">
        <v>2780</v>
      </c>
      <c r="BI409" s="2" t="s">
        <v>3211</v>
      </c>
      <c r="BJ409" s="1" t="s">
        <v>1996</v>
      </c>
      <c r="BK409" s="2" t="s">
        <v>3212</v>
      </c>
      <c r="BL409" s="1" t="s">
        <v>1877</v>
      </c>
      <c r="BM409" s="2" t="s">
        <v>3213</v>
      </c>
    </row>
    <row r="410" spans="1:69" ht="108" x14ac:dyDescent="0.45">
      <c r="A410" s="5">
        <v>409</v>
      </c>
      <c r="B410" s="8" t="s">
        <v>1620</v>
      </c>
      <c r="C410" s="6" t="s">
        <v>1816</v>
      </c>
      <c r="D410" s="7" t="s">
        <v>9752</v>
      </c>
      <c r="E410" s="1" t="s">
        <v>1621</v>
      </c>
      <c r="F410" s="1" t="s">
        <v>1196</v>
      </c>
      <c r="G410" s="1"/>
      <c r="J410" s="1" t="s">
        <v>9753</v>
      </c>
      <c r="K410" s="2" t="s">
        <v>7712</v>
      </c>
      <c r="L410" s="9" t="s">
        <v>8310</v>
      </c>
      <c r="P410" s="7" t="s">
        <v>1241</v>
      </c>
      <c r="AU410" s="15"/>
      <c r="AV410" s="1" t="s">
        <v>1502</v>
      </c>
      <c r="BG410" s="7" t="s">
        <v>1503</v>
      </c>
      <c r="BH410" s="1" t="s">
        <v>1872</v>
      </c>
      <c r="BI410" s="2" t="s">
        <v>7713</v>
      </c>
      <c r="BJ410" s="1" t="s">
        <v>1875</v>
      </c>
      <c r="BK410" s="2" t="s">
        <v>3214</v>
      </c>
      <c r="BL410" s="1" t="s">
        <v>1877</v>
      </c>
      <c r="BM410" s="2" t="s">
        <v>3215</v>
      </c>
    </row>
    <row r="411" spans="1:69" ht="72" x14ac:dyDescent="0.45">
      <c r="A411" s="5">
        <v>410</v>
      </c>
      <c r="B411" s="8" t="s">
        <v>1134</v>
      </c>
      <c r="C411" s="6" t="s">
        <v>1816</v>
      </c>
      <c r="D411" s="7" t="s">
        <v>9752</v>
      </c>
      <c r="E411" s="1" t="s">
        <v>1134</v>
      </c>
      <c r="F411" s="1"/>
      <c r="G411" s="1"/>
      <c r="J411" s="1" t="s">
        <v>9753</v>
      </c>
      <c r="K411" s="2" t="s">
        <v>7714</v>
      </c>
      <c r="L411" s="3" t="s">
        <v>8664</v>
      </c>
      <c r="P411" s="7" t="s">
        <v>1241</v>
      </c>
      <c r="AV411" s="1" t="s">
        <v>1502</v>
      </c>
      <c r="BG411" s="7" t="s">
        <v>1503</v>
      </c>
      <c r="BH411" s="1" t="s">
        <v>1872</v>
      </c>
      <c r="BI411" s="1" t="s">
        <v>3216</v>
      </c>
      <c r="BJ411" s="1" t="s">
        <v>1875</v>
      </c>
      <c r="BK411" s="2" t="s">
        <v>3217</v>
      </c>
    </row>
    <row r="412" spans="1:69" ht="252" x14ac:dyDescent="0.45">
      <c r="A412" s="5">
        <v>411</v>
      </c>
      <c r="B412" s="8" t="s">
        <v>1135</v>
      </c>
      <c r="C412" s="6" t="s">
        <v>1816</v>
      </c>
      <c r="D412" s="7" t="s">
        <v>9752</v>
      </c>
      <c r="E412" s="1" t="s">
        <v>1135</v>
      </c>
      <c r="F412" s="1"/>
      <c r="G412" s="1"/>
      <c r="J412" s="1" t="s">
        <v>9753</v>
      </c>
      <c r="K412" s="2" t="s">
        <v>7715</v>
      </c>
      <c r="L412" s="3" t="s">
        <v>10647</v>
      </c>
      <c r="M412" s="1" t="s">
        <v>12198</v>
      </c>
      <c r="P412" s="7" t="s">
        <v>1241</v>
      </c>
      <c r="Q412" s="14" t="str">
        <f>INDEX($L:$L, MATCH("possess", $B:$B, 0))</f>
        <v>&lt;span class="w"&gt;&lt;b&gt;【701.possess：〜を所有する, 心をとらえる】&lt;/b&gt;&lt;/span&gt;
&lt;span class="ml"&gt;ラテン語に由来する語で、以下の2つの要素から成る。
&lt;span class="spacer"&gt;&lt;/span&gt;potis（力をもつ, 可能な）
sedere（座る）
&lt;span class="spacer"&gt;&lt;/span&gt;このまま日本語にすると「力をもった状態で座る」となる。ある場所に支配的に居座るイメージから、その場所を占有する、そして何かのものを「所有する」という意味になる。
&lt;span class="spacer"&gt;&lt;/span&gt;また比喩的に、相手の心を所有することから「心をとらえる」という意味にもなる。
&lt;div class="sample_image possess"&gt;&lt;/div&gt;&lt;/span&gt;</v>
      </c>
      <c r="R412" s="14" t="str">
        <f>INDEX($L:$L, MATCH("session", $B:$B, 0))</f>
        <v>&lt;span class="w"&gt;&lt;b&gt;【758.session：集まり, 会期, 議会】&lt;/b&gt;&lt;/span&gt;
&lt;span class="ml"&gt;ラテン語に由来する語で、以下の2つの要素から成る。
&lt;span class="spacer"&gt;&lt;/span&gt;sedere（座る）
io（名詞化）
&lt;span class="spacer"&gt;&lt;/span&gt;このまま日本語にすると「座ること」となる。この語の核は「集まって座って何かをすること」。
&lt;span class="spacer"&gt;&lt;/span&gt;もともとは、古代ローマなどにおいて裁判官や議員などの公職者が、話し合いや審議のために所定の席に座ることを表した。そこから、何かの目的のための「集まり」や「議会」、またその期間である「会期」という意味になった。&lt;/span&gt;</v>
      </c>
      <c r="S412" s="13" t="str">
        <f>INDEX($L:$L, MATCH("assess", $B:$B, 0))</f>
        <v>&lt;span class="w"&gt;&lt;b&gt;【801.assess：〜を評価する, 〜を査定する】&lt;/b&gt;&lt;/span&gt;
&lt;span class="ml"&gt;ラテン語に由来する語で、以下の2つの要素から成る。
&lt;span class="spacer"&gt;&lt;/span&gt;ad（〜へ）
sedere（座る）
&lt;span class="spacer"&gt;&lt;/span&gt;このまま日本語にすると「何かのそばへ座る」となる。これは、古代ローマにおいて、特に裁判官のそばに補佐役が座ることを表していた。補佐役の職務のひとつは税額や罰金を定めることだったため、そこから金額を「査定する」という意味になった。また金銭的な査定から意味が広がって何かを「評価する」という意味になった。
&lt;div class="sample_image assess"&gt;&lt;/div&gt;&lt;/span&gt;</v>
      </c>
      <c r="T412" s="13" t="str">
        <f>INDEX($L:$L, MATCH("resident", $B:$B, 0))</f>
        <v>&lt;span class="w"&gt;&lt;b&gt;【353.resident：居住者, 住民】&lt;/b&gt;&lt;/span&gt;
&lt;span class="ml"&gt;ラテン語に由来する語で、以下の2つの要素から成る。
&lt;span class="spacer"&gt;&lt;/span&gt;re（再び）
sedere（座る）
&lt;span class="spacer"&gt;&lt;/span&gt;このまま日本語にすると「再び座る」となる。これは何度も同じ場所に座るということから、ある場所に留まっている＝定住している「居住者, 住民」という意味になる。
&lt;div class="sample_image resident"&gt;&lt;/div&gt;&lt;/span&gt;</v>
      </c>
      <c r="AU412" s="15"/>
      <c r="AV412" s="1" t="s">
        <v>1502</v>
      </c>
      <c r="BG412" s="7" t="s">
        <v>1503</v>
      </c>
      <c r="BH412" s="1" t="s">
        <v>1872</v>
      </c>
      <c r="BI412" s="2" t="s">
        <v>3218</v>
      </c>
      <c r="BJ412" s="1" t="s">
        <v>1875</v>
      </c>
      <c r="BK412" s="1" t="s">
        <v>3219</v>
      </c>
      <c r="BL412" s="1" t="s">
        <v>1877</v>
      </c>
      <c r="BM412" s="2" t="s">
        <v>3220</v>
      </c>
    </row>
    <row r="413" spans="1:69" ht="126" x14ac:dyDescent="0.45">
      <c r="A413" s="5">
        <v>412</v>
      </c>
      <c r="B413" s="8" t="s">
        <v>1136</v>
      </c>
      <c r="C413" s="6" t="s">
        <v>1816</v>
      </c>
      <c r="D413" s="7" t="s">
        <v>9752</v>
      </c>
      <c r="E413" s="1" t="s">
        <v>1622</v>
      </c>
      <c r="F413" s="1" t="s">
        <v>1623</v>
      </c>
      <c r="G413" s="1"/>
      <c r="J413" s="1" t="s">
        <v>9753</v>
      </c>
      <c r="K413" s="2" t="s">
        <v>7716</v>
      </c>
      <c r="L413" s="9" t="s">
        <v>8311</v>
      </c>
      <c r="P413" s="7" t="s">
        <v>1241</v>
      </c>
      <c r="AU413" s="15"/>
      <c r="AV413" s="1" t="s">
        <v>1502</v>
      </c>
      <c r="BG413" s="7" t="s">
        <v>1503</v>
      </c>
      <c r="BH413" s="1" t="s">
        <v>1872</v>
      </c>
      <c r="BI413" s="2" t="s">
        <v>3221</v>
      </c>
      <c r="BJ413" s="1" t="s">
        <v>1875</v>
      </c>
      <c r="BK413" s="2" t="s">
        <v>3222</v>
      </c>
      <c r="BL413" s="1" t="s">
        <v>1877</v>
      </c>
      <c r="BM413" s="2" t="s">
        <v>3223</v>
      </c>
    </row>
    <row r="414" spans="1:69" ht="198" x14ac:dyDescent="0.45">
      <c r="A414" s="5">
        <v>413</v>
      </c>
      <c r="B414" s="8" t="s">
        <v>1624</v>
      </c>
      <c r="C414" s="6" t="s">
        <v>1816</v>
      </c>
      <c r="D414" s="7" t="s">
        <v>9752</v>
      </c>
      <c r="E414" s="1" t="s">
        <v>46</v>
      </c>
      <c r="F414" s="1" t="s">
        <v>44</v>
      </c>
      <c r="G414" s="1"/>
      <c r="J414" s="1" t="s">
        <v>9753</v>
      </c>
      <c r="K414" s="2" t="s">
        <v>7717</v>
      </c>
      <c r="L414" s="3" t="s">
        <v>8312</v>
      </c>
      <c r="M414" s="1" t="s">
        <v>12112</v>
      </c>
      <c r="P414" s="7" t="s">
        <v>1241</v>
      </c>
      <c r="Q414" s="14" t="str">
        <f>INDEX($L:$L, MATCH("include", $B:$B, 0))</f>
        <v>&lt;span class="w"&gt;&lt;b&gt;【6.include：～を含む】&lt;/b&gt;&lt;/span&gt;
&lt;span class="ml"&gt;ラテン語に由来する語で、以下の2つの要素から成る。
&lt;span class="spacer"&gt;&lt;/span&gt;in（中に）
claudare（閉じる）
&lt;span class="spacer"&gt;&lt;/span&gt;このまま日本語にすると「中に閉じ込める」となる。つまりある範囲の中に閉じ込めることから、何かが中にある＝何かを「含む」という意味になる。
&lt;span class="spacer"&gt;&lt;/span&gt;includeの反対は、ex（外に）claudare（閉じる）から成るexclude（外に出して閉じる＝除外する）。
&lt;div class="sample_image include"&gt;&lt;/div&gt;&lt;/span&gt;</v>
      </c>
      <c r="R414" s="14" t="str">
        <f>INDEX($L:$L, MATCH("exclude", $B:$B, 0))</f>
        <v>&lt;span class="w"&gt;&lt;b&gt;【1009.exclude：〜を排除する】&lt;/b&gt;&lt;/span&gt;
&lt;span class="ml"&gt;ラテン語に由来する語で、以下の2つの要素から成る。
&lt;span class="spacer"&gt;&lt;/span&gt;ex（外に）
claudere（閉じる：closeの語源）
&lt;span class="spacer"&gt;&lt;/span&gt;このまま日本語にすると「外に閉じる」となる。何かが外にある、外にいる状態で扉を閉じて、それらが中に入れないようにすることから、何かを「排除する」という意味になる。
&lt;div class="sample_image exclude"&gt;&lt;/div&gt;&lt;/span&gt;</v>
      </c>
      <c r="AU414" s="15"/>
      <c r="AV414" s="1" t="s">
        <v>1502</v>
      </c>
      <c r="BG414" s="7" t="s">
        <v>1503</v>
      </c>
      <c r="BH414" s="1" t="s">
        <v>1947</v>
      </c>
      <c r="BI414" s="2" t="s">
        <v>3224</v>
      </c>
      <c r="BJ414" s="1" t="s">
        <v>1875</v>
      </c>
      <c r="BK414" s="2" t="s">
        <v>3225</v>
      </c>
    </row>
    <row r="415" spans="1:69" ht="252" x14ac:dyDescent="0.45">
      <c r="A415" s="5">
        <v>414</v>
      </c>
      <c r="B415" s="8" t="s">
        <v>1625</v>
      </c>
      <c r="C415" s="6" t="s">
        <v>1816</v>
      </c>
      <c r="D415" s="7" t="s">
        <v>9752</v>
      </c>
      <c r="E415" s="1" t="s">
        <v>1459</v>
      </c>
      <c r="F415" s="1" t="s">
        <v>8948</v>
      </c>
      <c r="G415" s="1"/>
      <c r="J415" s="1" t="s">
        <v>9753</v>
      </c>
      <c r="K415" s="2" t="s">
        <v>7718</v>
      </c>
      <c r="L415" s="3" t="s">
        <v>8313</v>
      </c>
      <c r="M415" s="1" t="s">
        <v>12186</v>
      </c>
      <c r="P415" s="7" t="s">
        <v>1241</v>
      </c>
      <c r="Q415" s="14" t="str">
        <f>INDEX($L:$L, MATCH("universal", $B:$B, 0))</f>
        <v>&lt;span class="w"&gt;&lt;b&gt;【282.universal：普遍的な, 宇宙の】&lt;/b&gt;&lt;/span&gt;
&lt;span class="ml"&gt;ラテン語に由来する語で、以下の3つの要素から成る。
&lt;span class="spacer"&gt;&lt;/span&gt;unus（1つ）
vertere（回す, 向きを変える）
alis（形容詞化）
&lt;span class="spacer"&gt;&lt;/span&gt;このまま日本語にすると「ひとつに回す」となる。回転することで中心に巻き込まれていって全体がひとつになるイメージから、世界全体や宇宙全体に関わる＝「普遍的な, 宇宙の」という意味になる。
普遍的とは広く全体に当てはまるということ。&lt;/span&gt;</v>
      </c>
      <c r="R415" s="14" t="str">
        <f>INDEX($L:$L, MATCH("diversity", $B:$B, 0))</f>
        <v>&lt;span class="w"&gt;&lt;b&gt;【456.diversity：多様性, 相違点】&lt;/b&gt;&lt;/span&gt;
&lt;span class="ml"&gt;ラテン語に由来する語で、以下の3つの要素から成る。
&lt;span class="spacer"&gt;&lt;/span&gt;dis（離れて）
vertere（回す, 向ける）
tas（名詞化）
&lt;span class="spacer"&gt;&lt;/span&gt;このまま日本語にすると「離れた（異なる）方向に向けること」となる。これは、それぞれが異なる方向を向いているイメージ。そこから、物事がさまざまに分かれている状態を表し、「多様性, 相違点」という意味になる。&lt;/span&gt;</v>
      </c>
      <c r="S415" s="14" t="str">
        <f>INDEX($L:$L, MATCH("reverse", $B:$B, 0))</f>
        <v>&lt;span class="w"&gt;&lt;b&gt;【726.reverse：〜を逆転させる, 〜を反対にする】&lt;/b&gt;&lt;/span&gt;
&lt;span class="ml"&gt;ラテン語に由来する語で、以下の2つの要素から成る。
&lt;span class="spacer"&gt;&lt;/span&gt;re（再び, 後ろへ）
vertere（回す, 向ける）
&lt;span class="spacer"&gt;&lt;/span&gt;このまま日本語にすると「後ろへ向ける」や「再び回す」となる。このような向きを変える、ひっくり返す動きから、何かを「逆転させる, 反対にする」という意味になる。&lt;/span&gt;</v>
      </c>
      <c r="T415" s="14" t="str">
        <f>INDEX($L:$L, MATCH("divorce", $B:$B, 0))</f>
        <v>&lt;span class="w"&gt;&lt;b&gt;【764.divorce：離婚, 分離】&lt;/b&gt;&lt;/span&gt;
&lt;span class="ml"&gt;ラテン語に由来する語で、以下の2つの要素から成る。
&lt;span class="spacer"&gt;&lt;/span&gt;dis（離れて）
vertere（向ける）
&lt;span class="spacer"&gt;&lt;/span&gt;このまま日本語にすると「離れた方向に向ける」となる。もともとは何かの「分離」を意味した。そして、人生という道を共にする夫婦が離れた方を向いて行くことから「離婚」という意味になった。
&lt;div class="sample_image divorce"&gt;&lt;/div&gt;&lt;/span&gt;</v>
      </c>
      <c r="U415" s="14" t="str">
        <f>INDEX($L:$L, MATCH("controversy", $B:$B, 0))</f>
        <v>&lt;span class="w"&gt;&lt;b&gt;【1152.controversy：論争】&lt;/b&gt;&lt;/span&gt;
&lt;span class="ml"&gt;ラテン語に由来する語で、以下の3つの要素から成る。
&lt;span class="spacer"&gt;&lt;/span&gt;contra（反対に）
versus（〜の方に向けられた)
ia（名詞化）
&lt;span class="spacer"&gt;&lt;/span&gt;この語の核は「相手と同じ方向ではなく反対に向いていること、向き合っていること」。つまり考えや立場が対立して争っていることを表し、そこから 「論争」という意味になる。
&lt;div class="sample_image controversy"&gt;&lt;/div&gt;&lt;/span&gt;</v>
      </c>
      <c r="V415" s="14" t="str">
        <f>INDEX($L:$L, MATCH("anniversary", $B:$B, 0))</f>
        <v>&lt;span class="w"&gt;&lt;b&gt;【1245.anniversary：〜周年の記念日】&lt;/b&gt;&lt;/span&gt;
&lt;span class="ml"&gt;ラテン語に由来する語で、以下の4つの要素から成る。
&lt;span class="spacer"&gt;&lt;/span&gt;annus（年）
vertere（回す）の過去分詞versus（回された）
arius（形容詞化）
um（名詞化）
&lt;span class="spacer"&gt;&lt;/span&gt;この語の核は「毎年回ってくる日」。
そこから「周年の記念日」という意味になる。&lt;/span&gt;</v>
      </c>
      <c r="W415" s="14" t="str">
        <f>INDEX($L:$L, MATCH("version", $B:$B, 0))</f>
        <v>&lt;span class="w"&gt;&lt;b&gt;【364.version：〜版】&lt;/b&gt;&lt;/span&gt;
&lt;span class="ml"&gt;ラテン語に由来する語で、以下の2つの要素から成る。
&lt;span class="spacer"&gt;&lt;/span&gt;vertere（回す, 向ける）
io（名詞化）
&lt;span class="spacer"&gt;&lt;/span&gt;このまま日本語にすると「回すこと, 向けること」となる。あるものの向きを別の方へ変えるイメージから、既にあるものを元に別の形へ変えること＝「〜版」という意味になる。&lt;/span&gt;</v>
      </c>
      <c r="X415" s="14" t="str">
        <f>INDEX($L:$L, MATCH("versus", $B:$B, 0))</f>
        <v>&lt;span class="w"&gt;&lt;b&gt;【1100.versus：（A versus B）A対B】&lt;/b&gt;&lt;/span&gt;
&lt;span class="ml"&gt;ラテン語vertere（回す, 向ける）の過去分詞versus（〜の方に向けられた, 〜に対して）に由来する。
&lt;span class="spacer"&gt;&lt;/span&gt;何かの方に向けられていることから「対する, A対B」という意味になる。A versus BはAがBの方に向けられているというイメージ。&lt;/span&gt;</v>
      </c>
      <c r="Y415" s="13" t="str">
        <f>INDEX($L:$L, MATCH("vertical", $B:$B, 0))</f>
        <v>&lt;span class="w"&gt;&lt;b&gt;【1188.vertical：垂直の】&lt;/b&gt;&lt;/span&gt;
&lt;span class="ml"&gt;ラテン語に由来する語で、以下の2つの要素から成る。
&lt;span class="spacer"&gt;&lt;/span&gt;vertere（回す）から派生したvertex（回転, 渦, 頂点）
alis（形容詞化）
&lt;span class="spacer"&gt;&lt;/span&gt;この語の核は「回転」。物体の回転や天体の回転、水の渦、髪の渦（つむじ）など、あらゆる回転には中心を通る上下に伸びる軸がある。たとえば天体の回転も、観察者の真上に中心があり、そこを軸として空全体が回転しているように見える。
&lt;span class="spacer"&gt;&lt;/span&gt;そこから、天頂から地平線に対してまっすぐ下ろした線、つまり真上にある頂点から真下へと直角に交わる線へと繋がって「垂直な」という意味になった。
&lt;div class="sample_image vertical"&gt;&lt;/div&gt;&lt;/span&gt;</v>
      </c>
      <c r="Z415" s="13" t="str">
        <f>INDEX($L:$L, MATCH("convert", $B:$B, 0))</f>
        <v>&lt;span class="w"&gt;&lt;b&gt;【820.convert：～を変える, 改宗させる】&lt;/b&gt;&lt;/span&gt;
&lt;span class="ml"&gt;ラテン語に由来する語で、以下の2つの要素から成る。
&lt;span class="spacer"&gt;&lt;/span&gt;com（共に）
vertere（向ける）
&lt;span class="spacer"&gt;&lt;/span&gt;このまま日本語にすると「共に向ける」となる。これは、みんなを同じ方に向けるイメージ。そこから宗教において、同じ対象を信仰するように「改宗させる」という意味になる。また宗教に限らず、形式や用途などを人為的に「変える」という意味になる。
&lt;div class="sample_image convert"&gt;&lt;/div&gt;&lt;/span&gt;</v>
      </c>
      <c r="AU415" s="15"/>
      <c r="AV415" s="1" t="s">
        <v>1502</v>
      </c>
      <c r="BG415" s="7" t="s">
        <v>1503</v>
      </c>
      <c r="BH415" s="1" t="s">
        <v>1947</v>
      </c>
      <c r="BI415" s="2" t="s">
        <v>7719</v>
      </c>
      <c r="BJ415" s="1" t="s">
        <v>1959</v>
      </c>
      <c r="BK415" s="1" t="s">
        <v>3226</v>
      </c>
      <c r="BL415" s="1" t="s">
        <v>1875</v>
      </c>
      <c r="BM415" s="2" t="s">
        <v>3227</v>
      </c>
      <c r="BN415" s="1" t="s">
        <v>1877</v>
      </c>
      <c r="BO415" s="2" t="s">
        <v>3228</v>
      </c>
    </row>
    <row r="416" spans="1:69" ht="198" x14ac:dyDescent="0.45">
      <c r="A416" s="5">
        <v>415</v>
      </c>
      <c r="B416" s="8" t="s">
        <v>275</v>
      </c>
      <c r="C416" s="6" t="s">
        <v>1816</v>
      </c>
      <c r="D416" s="7" t="s">
        <v>9752</v>
      </c>
      <c r="E416" s="1" t="s">
        <v>1447</v>
      </c>
      <c r="F416" s="1" t="s">
        <v>1626</v>
      </c>
      <c r="G416" s="1"/>
      <c r="J416" s="1" t="s">
        <v>9753</v>
      </c>
      <c r="K416" s="2" t="s">
        <v>7720</v>
      </c>
      <c r="L416" s="3" t="s">
        <v>8314</v>
      </c>
      <c r="M416" s="1" t="s">
        <v>12182</v>
      </c>
      <c r="P416" s="7" t="s">
        <v>1241</v>
      </c>
      <c r="Q416" s="14" t="str">
        <f>INDEX($L:$L, MATCH("contrast", $B:$B, 0))</f>
        <v>&lt;span class="w"&gt;&lt;b&gt;【245.contrast：対照】&lt;/b&gt;&lt;/span&gt;
&lt;span class="ml"&gt;ラテン語に由来する語で、以下の2つの要素から成る。
&lt;span class="spacer"&gt;&lt;/span&gt;contra（～に対して）
stare（立つ）
&lt;span class="spacer"&gt;&lt;/span&gt;このまま日本語にすると「反対に立つ」となる。あるものと反対に立つものを比べて違いがはっきりするイメージから「対照」という意味になる。&lt;/span&gt;</v>
      </c>
      <c r="R416" s="14" t="str">
        <f>INDEX($L:$L, MATCH("contrary", $B:$B, 0))</f>
        <v>&lt;span class="w"&gt;&lt;b&gt;【488.contrary：反対の】&lt;/b&gt;&lt;/span&gt;
&lt;span class="ml"&gt;ラテン語に由来する語で、以下の2つの要素から成る。
&lt;span class="spacer"&gt;&lt;/span&gt;contra（〜に対して, 反対に）
arius（形容詞化）
&lt;span class="spacer"&gt;&lt;/span&gt;このまま日本語にすると「反対の」という意味になる。&lt;/span&gt;</v>
      </c>
      <c r="S416" s="14" t="str">
        <f>INDEX($L:$L, MATCH("controversy", $B:$B, 0))</f>
        <v>&lt;span class="w"&gt;&lt;b&gt;【1152.controversy：論争】&lt;/b&gt;&lt;/span&gt;
&lt;span class="ml"&gt;ラテン語に由来する語で、以下の3つの要素から成る。
&lt;span class="spacer"&gt;&lt;/span&gt;contra（反対に）
versus（〜の方に向けられた)
ia（名詞化）
&lt;span class="spacer"&gt;&lt;/span&gt;この語の核は「相手と同じ方向ではなく反対に向いていること、向き合っていること」。つまり考えや立場が対立して争っていることを表し、そこから 「論争」という意味になる。
&lt;div class="sample_image controversy"&gt;&lt;/div&gt;&lt;/span&gt;</v>
      </c>
      <c r="T416" s="13" t="str">
        <f>INDEX($L:$L, MATCH("contradict", $B:$B, 0))</f>
        <v>&lt;span class="w"&gt;&lt;b&gt;【1412.contradict：〜と矛盾する, 〜と反対の意見を言う】&lt;/b&gt;&lt;/span&gt;
&lt;span class="ml"&gt;ラテン語に由来する語で、以下の2つの要素から成る。
&lt;span class="spacer"&gt;&lt;/span&gt;contra（〜に対して）
dicere（言う, 話す）
&lt;span class="spacer"&gt;&lt;/span&gt;相手に反対して話すことから「反対の意見を言う」という意味に、発言や事実と反対のことを言うことから「矛盾する」という意味になる。
&lt;div class="sample_image contradict"&gt;&lt;/div&gt;&lt;/span&gt;</v>
      </c>
      <c r="U416" s="13" t="str">
        <f>INDEX($L:$L, MATCH("counterpart", $B:$B, 0))</f>
        <v>&lt;span class="w"&gt;&lt;b&gt;【969.counterpart：相当する物や人】&lt;/b&gt;&lt;/span&gt;
&lt;span class="ml"&gt;フランス語に由来する語で、以下の2つの要素から成る。
&lt;span class="spacer"&gt;&lt;/span&gt;contra（対して）
partie（分けられたもの, 部分, 写し）
&lt;span class="spacer"&gt;&lt;/span&gt;このまま日本語にすると「何かに対応させて分けられたもの」となる。もともとは法的な文書を写して分けたものを表した。法的文書の写しは元の文書と同等のものであることから、一般的な意味に発展し、何かに「相当する物や人」という意味になった。&lt;/span&gt;</v>
      </c>
      <c r="AU416" s="15"/>
      <c r="AV416" s="1" t="s">
        <v>1502</v>
      </c>
      <c r="BG416" s="7" t="s">
        <v>1503</v>
      </c>
      <c r="BH416" s="1" t="s">
        <v>1947</v>
      </c>
      <c r="BI416" s="2" t="s">
        <v>3229</v>
      </c>
      <c r="BJ416" s="1" t="s">
        <v>2036</v>
      </c>
      <c r="BK416" s="1" t="s">
        <v>3230</v>
      </c>
      <c r="BL416" s="1" t="s">
        <v>1959</v>
      </c>
      <c r="BM416" s="2" t="s">
        <v>3231</v>
      </c>
      <c r="BN416" s="1" t="s">
        <v>1875</v>
      </c>
      <c r="BO416" s="2" t="s">
        <v>3232</v>
      </c>
      <c r="BP416" s="1" t="s">
        <v>1877</v>
      </c>
      <c r="BQ416" s="2" t="s">
        <v>3233</v>
      </c>
    </row>
    <row r="417" spans="1:67" ht="108" x14ac:dyDescent="0.45">
      <c r="A417" s="5">
        <v>416</v>
      </c>
      <c r="B417" s="8" t="s">
        <v>276</v>
      </c>
      <c r="C417" s="6" t="s">
        <v>1816</v>
      </c>
      <c r="D417" s="7" t="s">
        <v>9752</v>
      </c>
      <c r="E417" s="1" t="s">
        <v>1251</v>
      </c>
      <c r="F417" s="1" t="s">
        <v>1627</v>
      </c>
      <c r="G417" s="1"/>
      <c r="J417" s="1" t="s">
        <v>9753</v>
      </c>
      <c r="K417" s="2" t="s">
        <v>7721</v>
      </c>
      <c r="L417" s="9" t="s">
        <v>8315</v>
      </c>
      <c r="M417" s="1" t="s">
        <v>12156</v>
      </c>
      <c r="P417" s="7" t="s">
        <v>1241</v>
      </c>
      <c r="Q417" s="13" t="str">
        <f>INDEX($L:$L, MATCH("mention", $B:$B, 0))</f>
        <v>&lt;span class="w"&gt;&lt;b&gt;【128.mention：～に言及する, ～と言う】&lt;/b&gt;&lt;/span&gt;
&lt;span class="ml"&gt;ラテン語mens（心, 知性）に関連するminisci（思い出す, 考える）に由来する。
&lt;span class="spacer"&gt;&lt;/span&gt;何かを思い出したり考えたりして、それを言葉にすることから「言及する, 言う」という意味になる。&lt;/span&gt;</v>
      </c>
      <c r="R417" s="13" t="str">
        <f>INDEX($L:$L, MATCH("mental", $B:$B, 0))</f>
        <v>&lt;span class="w"&gt;&lt;b&gt;【183.mental：精神の, 頭の中で行う】&lt;/b&gt;&lt;/span&gt;
&lt;span class="ml"&gt;ラテン語に由来する語で、以下の2つの要素から成る。
&lt;span class="spacer"&gt;&lt;/span&gt;mens（心）
alis（形容詞化）
&lt;span class="spacer"&gt;&lt;/span&gt;ラテン語から意味の変化はほとんどなく「心の, 精神の, 頭の中で行う」という意味になる。&lt;/span&gt;</v>
      </c>
      <c r="S417" s="13" t="str">
        <f>INDEX($L:$L, MATCH("dementia", $B:$B, 0))</f>
        <v>&lt;span class="w"&gt;&lt;b&gt;【1064.dementia：認知症】&lt;/b&gt;&lt;/span&gt;
&lt;span class="ml"&gt;ラテン語に由来する語で、以下の3つの要素から成る。
&lt;span class="spacer"&gt;&lt;/span&gt;de（〜から離れて）
mens（心）
ia（名詞化）
&lt;span class="spacer"&gt;&lt;/span&gt;この語の核は「心があるべきところから離れている」。もともとは正気を失っている様子を表したが、そこから医学において、精神機能が極めて低い状態や精神的な能力が欠如した状態である「認知症」という意味になった。
&lt;span class="spacer"&gt;&lt;/span&gt;1800年代の人々は、「認知症」のことを心や精神が失われた状態、精神の病だと考えていたことがわかる。
&lt;div class="sample_image dementia"&gt;&lt;/div&gt;&lt;/span&gt;</v>
      </c>
      <c r="T417" s="13" t="str">
        <f>INDEX($L:$L, MATCH("comment", $B:$B, 0))</f>
        <v>&lt;span class="w"&gt;&lt;b&gt;【441.comment：意見, コメント】&lt;/b&gt;&lt;/span&gt;
&lt;span class="ml"&gt;ラテン語ラテン語に由来する語で、以下の2つの要素から成る。
&lt;span class="spacer"&gt;&lt;/span&gt;com（強意）
mēns（心）に関連する動詞meminisse（思い出す）
&lt;span class="spacer"&gt;&lt;/span&gt;この語の核は、心（mind）で考えること。そこから考え出されたもの＝「意見, コメント」という意味になる。&lt;/span&gt;</v>
      </c>
      <c r="U417" s="13" t="str">
        <f>INDEX($L:$L, MATCH("monument", $B:$B, 0))</f>
        <v>&lt;span class="w"&gt;&lt;b&gt;【1277.monument：記念碑, 遺跡, 金字塔】&lt;/b&gt;&lt;/span&gt;
&lt;span class="ml"&gt;ラテン語に由来する語で、以下の2つの要素から成る。
&lt;span class="spacer"&gt;&lt;/span&gt;monere（思い出させる）
mentum（名詞化）
&lt;span class="spacer"&gt;&lt;/span&gt;この語の核は「人や出来事を思い出させるもの」。そこから、亡くなった人を思い出させるための墓や霊廟、または特定の人物や出来事を記念して建てられた像といった「記念碑, 遺跡」という意味になった。
&lt;span class="spacer"&gt;&lt;/span&gt;また物理的な建造物だけではなく比喩的に、後世に長く語り継がれるべき偉大な業績や不朽の名作を表す「金字塔」という意味でも使われる。
&lt;div class="sample_image monument"&gt;&lt;/div&gt;&lt;/span&gt;</v>
      </c>
      <c r="V417" s="13" t="str">
        <f>INDEX($L:$L, MATCH("monitor", $B:$B, 0))</f>
        <v>&lt;span class="w"&gt;&lt;b&gt;【636.monitor：〜を監視する】&lt;/b&gt;&lt;/span&gt;
&lt;span class="ml"&gt;ラテン語に由来する語で、以下の2つの要素から成る。
&lt;span class="spacer"&gt;&lt;/span&gt;monere（思い出させる, 警告する）
or（〜するもの）
&lt;span class="spacer"&gt;&lt;/span&gt;このまま日本語にすると「警告するもの」となる。これは、問題がないか目を光らせるイメージで。そこから、何かを「監視する」という意味になる。&lt;/span&gt;</v>
      </c>
      <c r="AV417" s="1" t="s">
        <v>1502</v>
      </c>
      <c r="BG417" s="7" t="s">
        <v>1503</v>
      </c>
      <c r="BH417" s="1" t="s">
        <v>1947</v>
      </c>
      <c r="BI417" s="1" t="s">
        <v>3234</v>
      </c>
      <c r="BJ417" s="1" t="s">
        <v>1872</v>
      </c>
      <c r="BK417" s="2" t="s">
        <v>3235</v>
      </c>
      <c r="BL417" s="1" t="s">
        <v>1877</v>
      </c>
      <c r="BM417" s="2" t="s">
        <v>3236</v>
      </c>
    </row>
    <row r="418" spans="1:67" ht="72" x14ac:dyDescent="0.45">
      <c r="A418" s="5">
        <v>417</v>
      </c>
      <c r="B418" s="8" t="s">
        <v>1628</v>
      </c>
      <c r="C418" s="6" t="s">
        <v>1816</v>
      </c>
      <c r="D418" s="7" t="s">
        <v>9752</v>
      </c>
      <c r="E418" s="1" t="s">
        <v>277</v>
      </c>
      <c r="F418" s="1"/>
      <c r="G418" s="1"/>
      <c r="J418" s="1" t="s">
        <v>9753</v>
      </c>
      <c r="K418" s="2" t="s">
        <v>7722</v>
      </c>
      <c r="L418" s="4" t="s">
        <v>8316</v>
      </c>
      <c r="P418" s="7" t="s">
        <v>1241</v>
      </c>
      <c r="Q418" s="15"/>
      <c r="AU418" s="15"/>
      <c r="AV418" s="1" t="s">
        <v>1502</v>
      </c>
      <c r="BG418" s="7" t="s">
        <v>1503</v>
      </c>
      <c r="BH418" s="1" t="s">
        <v>1947</v>
      </c>
      <c r="BI418" s="2" t="s">
        <v>3237</v>
      </c>
      <c r="BJ418" s="1" t="s">
        <v>1877</v>
      </c>
      <c r="BK418" s="2" t="s">
        <v>3238</v>
      </c>
    </row>
    <row r="419" spans="1:67" ht="90" x14ac:dyDescent="0.45">
      <c r="A419" s="5">
        <v>418</v>
      </c>
      <c r="B419" s="8" t="s">
        <v>278</v>
      </c>
      <c r="C419" s="6" t="s">
        <v>1816</v>
      </c>
      <c r="D419" s="7" t="s">
        <v>9752</v>
      </c>
      <c r="E419" s="1" t="s">
        <v>278</v>
      </c>
      <c r="F419" s="1"/>
      <c r="G419" s="1"/>
      <c r="J419" s="1" t="s">
        <v>9753</v>
      </c>
      <c r="K419" s="2" t="s">
        <v>7723</v>
      </c>
      <c r="L419" s="9" t="s">
        <v>8317</v>
      </c>
      <c r="P419" s="7" t="s">
        <v>1241</v>
      </c>
      <c r="AU419" s="15"/>
      <c r="AV419" s="1" t="s">
        <v>1502</v>
      </c>
      <c r="BG419" s="7" t="s">
        <v>1503</v>
      </c>
      <c r="BH419" s="1" t="s">
        <v>1947</v>
      </c>
      <c r="BI419" s="2" t="s">
        <v>3239</v>
      </c>
      <c r="BJ419" s="1" t="s">
        <v>1959</v>
      </c>
      <c r="BK419" s="1" t="s">
        <v>3240</v>
      </c>
      <c r="BL419" s="1" t="s">
        <v>1875</v>
      </c>
      <c r="BM419" s="2" t="s">
        <v>3241</v>
      </c>
    </row>
    <row r="420" spans="1:67" ht="72" x14ac:dyDescent="0.45">
      <c r="A420" s="5">
        <v>419</v>
      </c>
      <c r="B420" s="8" t="s">
        <v>279</v>
      </c>
      <c r="C420" s="6" t="s">
        <v>1816</v>
      </c>
      <c r="D420" s="7" t="s">
        <v>9752</v>
      </c>
      <c r="E420" s="1" t="s">
        <v>279</v>
      </c>
      <c r="F420" s="1"/>
      <c r="G420" s="1"/>
      <c r="J420" s="1" t="s">
        <v>9753</v>
      </c>
      <c r="K420" s="2" t="s">
        <v>3242</v>
      </c>
      <c r="L420" s="9" t="s">
        <v>8318</v>
      </c>
      <c r="P420" s="7" t="s">
        <v>1241</v>
      </c>
      <c r="Q420" s="13" t="str">
        <f>INDEX($L:$L, MATCH("bitter", $B:$B, 0))</f>
        <v>&lt;span class="w"&gt;&lt;b&gt;【1182.bitter：苦い, つらい, 辛辣な】&lt;/b&gt;&lt;/span&gt;
&lt;span class="ml"&gt;印欧祖語*bheid-（裂く, 割る）にさかのぼる。
&lt;span class="spacer"&gt;&lt;/span&gt;この語の核は「舌を切り裂くような鋭い感覚」。そこから口の中に広がる苦味につながり「苦い」という意味になった。また苦味という味覚から発展して、日本語でも「苦い経験」という言葉があるように、物理的・環境的・心理的に「つらい, 辛辣な」という意味にもなった。
&lt;span class="spacer"&gt;&lt;/span&gt;印欧祖語*bheid-（裂く, 割る）からは、bite（噛む）やbit（少し）も生まれている。biteは噛んで切り裂くという行為、bitは噛みちぎったひとかけら＝少量という意味になっている。&lt;/span&gt;</v>
      </c>
      <c r="AV420" s="1" t="s">
        <v>1502</v>
      </c>
      <c r="BG420" s="7" t="s">
        <v>1503</v>
      </c>
      <c r="BH420" s="1" t="s">
        <v>1976</v>
      </c>
      <c r="BI420" s="1" t="s">
        <v>3243</v>
      </c>
      <c r="BJ420" s="1" t="s">
        <v>1872</v>
      </c>
      <c r="BK420" s="1" t="s">
        <v>3244</v>
      </c>
    </row>
    <row r="421" spans="1:67" ht="126" x14ac:dyDescent="0.45">
      <c r="A421" s="5">
        <v>420</v>
      </c>
      <c r="B421" s="8" t="s">
        <v>280</v>
      </c>
      <c r="C421" s="6" t="s">
        <v>1816</v>
      </c>
      <c r="D421" s="7" t="s">
        <v>9752</v>
      </c>
      <c r="E421" s="1" t="s">
        <v>1327</v>
      </c>
      <c r="F421" s="1" t="s">
        <v>1629</v>
      </c>
      <c r="G421" s="1"/>
      <c r="J421" s="1" t="s">
        <v>9753</v>
      </c>
      <c r="K421" s="2" t="s">
        <v>7724</v>
      </c>
      <c r="L421" s="9" t="s">
        <v>8319</v>
      </c>
      <c r="P421" s="7" t="s">
        <v>1241</v>
      </c>
      <c r="Q421" s="19" t="str">
        <f>INDEX($L:$L, MATCH("liberal", $B:$B, 0))</f>
        <v>&lt;span class="w"&gt;&lt;b&gt;【782.liberal：自由主義の, 寛大な, 一般教養の】&lt;/b&gt;&lt;/span&gt;
&lt;span class="ml"&gt;ラテン語に由来する語で、以下の2つの要素から成る。
&lt;span class="spacer"&gt;&lt;/span&gt;liber（自由な）
alis（形容詞化）
&lt;span class="spacer"&gt;&lt;/span&gt;この語は「制限に縛られていなくて余裕がある」というイメージ。
&lt;span class="spacer"&gt;&lt;/span&gt;古代ローマでは、奴隷が行う肉体労働や職人が行う専門的な労働に対して、自由な市民が身につけるべき文法や論理学などの教養をartes liberales（自由人の学芸＝リベラル・アーツ）と呼び、そこからliberalは「一般教養の」という意味になった。
&lt;span class="spacer"&gt;&lt;/span&gt;また自由人は、奴隷や労働者のように生活に縛られているわけではないため、何事にも余裕があり、物惜しみしないことが当然とみなされた。そこから態度やお金に関して「寛大な, 気前のよい」という意味になった。
&lt;span class="spacer"&gt;&lt;/span&gt;さらに近現代では、政治的な意味で、自由で改革に開かれている「自由主義の」という意味になった。&lt;/span&gt;</v>
      </c>
      <c r="AU421" s="15"/>
      <c r="AV421" s="1" t="s">
        <v>1502</v>
      </c>
      <c r="BG421" s="7" t="s">
        <v>1503</v>
      </c>
      <c r="BH421" s="1" t="s">
        <v>1947</v>
      </c>
      <c r="BI421" s="2" t="s">
        <v>3245</v>
      </c>
      <c r="BJ421" s="1" t="s">
        <v>2036</v>
      </c>
      <c r="BK421" s="2" t="s">
        <v>3246</v>
      </c>
      <c r="BL421" s="1" t="s">
        <v>1959</v>
      </c>
      <c r="BM421" s="1" t="s">
        <v>3247</v>
      </c>
      <c r="BN421" s="1" t="s">
        <v>1875</v>
      </c>
      <c r="BO421" s="2" t="s">
        <v>3248</v>
      </c>
    </row>
    <row r="422" spans="1:67" ht="162" x14ac:dyDescent="0.45">
      <c r="A422" s="5">
        <v>421</v>
      </c>
      <c r="B422" s="8" t="s">
        <v>1630</v>
      </c>
      <c r="C422" s="6" t="s">
        <v>1816</v>
      </c>
      <c r="D422" s="7" t="s">
        <v>9752</v>
      </c>
      <c r="E422" s="1" t="s">
        <v>1325</v>
      </c>
      <c r="F422" s="1" t="s">
        <v>6455</v>
      </c>
      <c r="G422" s="1"/>
      <c r="J422" s="1" t="s">
        <v>9753</v>
      </c>
      <c r="K422" s="2" t="s">
        <v>7725</v>
      </c>
      <c r="L422" s="3" t="s">
        <v>8320</v>
      </c>
      <c r="M422" s="1" t="s">
        <v>12204</v>
      </c>
      <c r="P422" s="7" t="s">
        <v>1241</v>
      </c>
      <c r="Q422" s="14" t="str">
        <f>INDEX($L:$L, MATCH("deceive", $B:$B, 0))</f>
        <v>&lt;span class="w"&gt;&lt;b&gt;【1309.deceive：〜をだます】&lt;/b&gt;&lt;/span&gt;
&lt;span class="ml"&gt;ラテン語に由来する語で、以下の2つの要素から成る。
&lt;span class="spacer"&gt;&lt;/span&gt;de（～から）
capere（取る）
&lt;span class="spacer"&gt;&lt;/span&gt;このdeには「悪い方向へ」というニュアンスが含まれ、相手を取って捕まえて、正しいところから悪い方向へ引きずるイメージ。そこから物理的に罠にかける、そして言葉や計略を使って人を「だます」という意味になる。
&lt;div class="sample_image deceive"&gt;&lt;/div&gt;&lt;/span&gt;</v>
      </c>
      <c r="R422" s="15"/>
      <c r="S422" s="15"/>
      <c r="T422" s="15"/>
      <c r="U422" s="15"/>
      <c r="V422" s="15"/>
      <c r="W422" s="15"/>
      <c r="X422" s="15"/>
      <c r="Y422" s="15"/>
      <c r="Z422" s="15"/>
      <c r="AA422" s="15"/>
      <c r="AB422" s="15"/>
      <c r="AC422" s="15"/>
      <c r="AD422" s="15"/>
      <c r="AE422" s="15"/>
      <c r="AF422" s="15"/>
      <c r="AG422" s="15"/>
      <c r="AU422" s="15"/>
      <c r="AV422" s="1" t="s">
        <v>1502</v>
      </c>
      <c r="BG422" s="7" t="s">
        <v>1503</v>
      </c>
      <c r="BH422" s="1" t="s">
        <v>1947</v>
      </c>
      <c r="BI422" s="2" t="s">
        <v>3249</v>
      </c>
      <c r="BJ422" s="1" t="s">
        <v>3250</v>
      </c>
      <c r="BK422" s="1" t="s">
        <v>3251</v>
      </c>
      <c r="BL422" s="1" t="s">
        <v>2114</v>
      </c>
      <c r="BM422" s="1" t="s">
        <v>3252</v>
      </c>
      <c r="BN422" s="1" t="s">
        <v>1875</v>
      </c>
      <c r="BO422" s="2" t="s">
        <v>3253</v>
      </c>
    </row>
    <row r="423" spans="1:67" ht="252" x14ac:dyDescent="0.45">
      <c r="A423" s="5">
        <v>422</v>
      </c>
      <c r="B423" s="8" t="s">
        <v>281</v>
      </c>
      <c r="C423" s="6" t="s">
        <v>1816</v>
      </c>
      <c r="D423" s="7" t="s">
        <v>9752</v>
      </c>
      <c r="E423" s="1" t="s">
        <v>1631</v>
      </c>
      <c r="F423" s="1" t="s">
        <v>1632</v>
      </c>
      <c r="G423" s="1"/>
      <c r="J423" s="1" t="s">
        <v>9753</v>
      </c>
      <c r="K423" s="2" t="s">
        <v>7726</v>
      </c>
      <c r="L423" s="4" t="s">
        <v>8321</v>
      </c>
      <c r="M423" s="1" t="s">
        <v>12192</v>
      </c>
      <c r="P423" s="7" t="s">
        <v>1241</v>
      </c>
      <c r="Q423" s="14" t="str">
        <f>INDEX($L:$L, MATCH("distinct", $B:$B, 0))</f>
        <v>&lt;span class="w"&gt;&lt;b&gt;【582.distinct：明らかに異なる, 明瞭な】&lt;/b&gt;&lt;/span&gt;
&lt;span class="ml"&gt;ラテン語に由来する語で、以下の2つの要素から成る。
&lt;span class="spacer"&gt;&lt;/span&gt;［distinguishの語源］
dis（離れて）
stinguere（突く, 刺激する）
&lt;span class="spacer"&gt;&lt;/span&gt;このまま日本語にすると「突き刺して離す」となる。ここから何かを分ける＝「区別する」という意味になる。
&lt;span class="spacer"&gt;&lt;/span&gt;［disitinctの語源］
動詞distinguishには、中英語期にdistinctenという異なる形があり、この過去分詞からdisitinctという形容詞が生まれた。
&lt;span class="spacer"&gt;&lt;/span&gt;「区別する」の過去分詞「区別された」から、他から切り離されているので他のものとは「明らかに異なる」、違いが「明瞭な」という意味になった。
&lt;div class="sample_image distinct"&gt;&lt;/div&gt;&lt;/span&gt;</v>
      </c>
      <c r="R423" s="14" t="str">
        <f>INDEX($L:$L, MATCH("extinct", $B:$B, 0))</f>
        <v>&lt;span class="w"&gt;&lt;b&gt;【694.extinct：絶滅した, 廃止された】&lt;/b&gt;&lt;/span&gt;
&lt;span class="ml"&gt;ラテン語に由来する語で、以下の2つの要素から成る。
&lt;span class="spacer"&gt;&lt;/span&gt;ex（外に）
stinguere（消す, 突き刺す）
&lt;span class="spacer"&gt;&lt;/span&gt;ロウソクの火を指でつまんで消す時の突き刺すような痛みや、棒で突いて火を消すという動作のイメージから「突き刺す」が「火を消す」になる。
&lt;span class="spacer"&gt;&lt;/span&gt;そして実際に火が消えることから、比喩的に命の火が消えて絶えることを表すようになり、「絶滅した」という意味になった。&lt;/span&gt;</v>
      </c>
      <c r="S423" s="13" t="str">
        <f>INDEX($L:$L, MATCH("instinct", $B:$B, 0))</f>
        <v>&lt;span class="w"&gt;&lt;b&gt;【856.instinct：本能, 直感, 自然に起こる衝動】&lt;/b&gt;&lt;/span&gt;
&lt;span class="ml"&gt;ラテン語に由来する語で、以下の2つの要素から成る。
&lt;span class="spacer"&gt;&lt;/span&gt;in（中に）
stinguere（刺す, 駆り立てる）
&lt;span class="spacer"&gt;&lt;/span&gt;このまま日本語にすると「中に刺す」となる。刺激されて内部から突き動かされるように、自分の意識や思考とは関係なく動くことから「本能, 直感, 自然に起こる衝動」といった意味になる。&lt;span&gt;</v>
      </c>
      <c r="T423" s="13" t="str">
        <f>INDEX($L:$L, MATCH("stimulate", $B:$B, 0))</f>
        <v>&lt;span class="w"&gt;&lt;b&gt;【602.stimulate：〜を刺激する】&lt;/b&gt;&lt;/span&gt;
&lt;span class="ml"&gt;ラテン語stimulus（突き棒）に由来する。
&lt;span class="spacer"&gt;&lt;/span&gt;突き棒で突くことから「刺激する」という意味になる。
&lt;span class="spacer"&gt;&lt;/span&gt;stimulateのsti部分は、おそらくstick（棒）と関わっているため、stimulateとstickを関連させて覚える。&lt;/span&gt;</v>
      </c>
      <c r="U423" s="13" t="str">
        <f>INDEX($L:$L, MATCH("stick", $B:$B, 0))</f>
        <v>&lt;span class="w"&gt;&lt;b&gt;【304.stick：〜を動けなくする, 〜を突き刺す, くっつく】&lt;/b&gt;&lt;/span&gt;
&lt;span class="ml"&gt;古英語stician（突き刺す）にさかのぼる語。
&lt;span class="spacer"&gt;&lt;/span&gt;stick（スティック）は日本語でも「棒, 突き刺す棒」を指す。この名詞と関連させて「突き刺す」という動詞を覚えればよい。また突き刺すことによって固定することから「動けなくする, くっつく」という意味にもなる。&lt;/span&gt;</v>
      </c>
      <c r="AU423" s="15"/>
      <c r="AV423" s="1" t="s">
        <v>1502</v>
      </c>
      <c r="BG423" s="7" t="s">
        <v>1503</v>
      </c>
      <c r="BH423" s="1" t="s">
        <v>1947</v>
      </c>
      <c r="BI423" s="2" t="s">
        <v>3254</v>
      </c>
      <c r="BJ423" s="1" t="s">
        <v>1959</v>
      </c>
      <c r="BK423" s="1" t="s">
        <v>3255</v>
      </c>
      <c r="BL423" s="1" t="s">
        <v>1875</v>
      </c>
      <c r="BM423" s="2" t="s">
        <v>3256</v>
      </c>
      <c r="BN423" s="1" t="s">
        <v>1877</v>
      </c>
      <c r="BO423" s="2" t="s">
        <v>3257</v>
      </c>
    </row>
    <row r="424" spans="1:67" ht="324" x14ac:dyDescent="0.45">
      <c r="A424" s="5">
        <v>423</v>
      </c>
      <c r="B424" s="8" t="s">
        <v>1633</v>
      </c>
      <c r="C424" s="6" t="s">
        <v>1816</v>
      </c>
      <c r="D424" s="7" t="s">
        <v>9752</v>
      </c>
      <c r="E424" s="1" t="s">
        <v>29</v>
      </c>
      <c r="F424" s="1" t="s">
        <v>1330</v>
      </c>
      <c r="G424" s="1"/>
      <c r="J424" s="1" t="s">
        <v>9753</v>
      </c>
      <c r="K424" s="2" t="s">
        <v>7727</v>
      </c>
      <c r="L424" s="3" t="s">
        <v>8322</v>
      </c>
      <c r="M424" s="1" t="s">
        <v>12155</v>
      </c>
      <c r="P424" s="7" t="s">
        <v>1241</v>
      </c>
      <c r="Q424" s="14" t="str">
        <f>INDEX($L:$L, MATCH("apply", $B:$B, 0))</f>
        <v>&lt;span class="w"&gt;&lt;b&gt;【127.apply：～を適用する, 申し込む】&lt;/b&gt;&lt;/span&gt;
&lt;span class="ml"&gt;ラテン語に由来する語で、以下の2つの要素から成る。
&lt;span class="spacer"&gt;&lt;/span&gt;ad（～へ）
plicare（折る）
&lt;span class="spacer"&gt;&lt;/span&gt;このまま日本語にすると「〜へ折り重ねる」となる。apply A to Bは、AをBにぴったり折り重ねるイメージから「AをBに適用する」となる。
&lt;span class="spacer"&gt;&lt;/span&gt;同様に、
S apply for 求めるもの
S apply to 求める相手
これでSを求めるものや求める相手に折り重ねるイメージから「Sは〜に申し込む」という意味になる。
&lt;div class="sample_image apply"&gt;&lt;/div&gt;&lt;/span&gt;</v>
      </c>
      <c r="R424" s="14" t="str">
        <f>INDEX($L:$L, MATCH("employ", $B:$B, 0))</f>
        <v>&lt;span class="w"&gt;&lt;b&gt;【517.employ：〜を雇う】&lt;/b&gt;&lt;/span&gt;
&lt;span class="ml"&gt;ラテン語に由来する語で、以下の2つの要素から成る。
&lt;span class="spacer"&gt;&lt;/span&gt;in（中に）
plicare（折る）
&lt;span class="spacer"&gt;&lt;/span&gt;このまま日本語にすると「中に折る」となる。これは、中に入れた状態で折りたたむイメージ。そこから、何らかの目的に巻き込む、事業に巻き込むことへと発展し、「雇う」という意味になった。
&lt;div class="sample_image employ"&gt;&lt;/div&gt;
&lt;span class="spacer"&gt;&lt;/span&gt;employは、implyと同じ語源にさかのぼる。
imply（暗に意味する）は中に折り込むという元のイメージをより保っている。
&lt;span class="spacer"&gt;&lt;/span&gt;employは元のイメージから発展して事業に巻き込む＝「雇う」になった。&lt;/span&gt;</v>
      </c>
      <c r="S424" s="14" t="str">
        <f>INDEX($L:$L, MATCH("exploit", $B:$B, 0))</f>
        <v>&lt;span class="w"&gt;&lt;b&gt;【1237.exploit：〜を活用する, 〜を搾取する, 〜を開発する】&lt;/b&gt;&lt;/span&gt;
&lt;span class="ml"&gt;ラテン語に由来する語で、以下の2つの要素から成る。
&lt;span class="spacer"&gt;&lt;/span&gt;ex（外に）
plicare（折る）
&lt;span class="spacer"&gt;&lt;/span&gt;もともとは、折りたたまれているものを外へ開くことを表した。そこから、まだ手がつけられていない土地や、眠っている天然資源（鉱山など）を広げて展開し、目に見える形にして役立てる＝「開発する, 活用する」という意味になった。
&lt;span class="spacer"&gt;&lt;/span&gt;さらに、利益のために土地を開発して資源を活用するという言葉が、人間に対して使われるようになり、利益のために人々を使う＝「搾取する」というネガティブな意味にもなった。
&lt;div class="sample_image exploit"&gt;&lt;/div&gt;&lt;/span&gt;</v>
      </c>
      <c r="T424" s="14" t="str">
        <f>INDEX($L:$L, MATCH("display", $B:$B, 0))</f>
        <v>&lt;span class="w"&gt;&lt;b&gt;【230.display：～を示す, ～を展示する】&lt;/b&gt;&lt;/span&gt;
&lt;span class="ml"&gt;ラテン語に由来する語で、以下の2つの要素から成る。
&lt;span class="spacer"&gt;&lt;/span&gt;dis（離れて）
plicare（折る）
&lt;span class="spacer"&gt;&lt;/span&gt;このまま日本語にすると「折られたものを離す」となる。折り紙を広げるようなイメージから、何かを展開する＝広げて見せる＝「展示する, 示す」という意味になる。&lt;/span&gt;</v>
      </c>
      <c r="U424" s="14" t="str">
        <f>INDEX($L:$L, MATCH("complicate", $B:$B, 0))</f>
        <v>&lt;span class="w"&gt;&lt;b&gt;【1036.complicate：複雑にする】&lt;/b&gt;&lt;/span&gt;
&lt;span class="ml"&gt;ラテン語に由来する語で、以下の2つの要素から成る。
&lt;span class="spacer"&gt;&lt;/span&gt;com（共に）
plicare（折る）
&lt;span class="spacer"&gt;&lt;/span&gt;このまま日本語にすると「共に折る」となる。様々なものを一緒にして折り込むことで単純ではなく「複雑にする」という意味になる。&lt;/span&gt;</v>
      </c>
      <c r="V424" s="14" t="str">
        <f>INDEX($L:$L, MATCH("complex", $B:$B, 0))</f>
        <v>&lt;span class="w"&gt;&lt;b&gt;【181.complex：複雑な】&lt;/b&gt;&lt;/span&gt;
&lt;span class="ml"&gt;ラテン語に由来する語で、以下の2つの要素から成る。
&lt;span class="spacer"&gt;&lt;/span&gt;com（共に）
plectere（編む）
&lt;span class="spacer"&gt;&lt;/span&gt;このまま日本語にすると「共に編む」となる。複数の要素が編み込まれて入り組んでいるイメージから「複雑な」という意味になる。
&lt;div class="sample_image complex"&gt;&lt;/div&gt;&lt;/span&gt;</v>
      </c>
      <c r="W424" s="14" t="str">
        <f>INDEX($L:$L, MATCH("multiple", $B:$B, 0))</f>
        <v>&lt;span class="w"&gt;&lt;b&gt;【479.multiple：多様な】&lt;/b&gt;&lt;/span&gt;
&lt;span class="ml"&gt;ラテン語に由来する語で、以下の2つの要素から成る。
&lt;span class="spacer"&gt;&lt;/span&gt;multi（多数の）
plus（n倍, n重）
&lt;span class="spacer"&gt;&lt;/span&gt;このまま日本語にすると「多重の」となる。たくさん折り重なっているイメージから「多様な」という意味になる。
&lt;span class="spacer"&gt;&lt;/span&gt;-plus（n倍の, n重の）はラテン語plicare（折る, 重ねる）と関係がある。折り重ねることからn重という意味になる。ラテン語-plusは、以下の英語にも見られる。
&lt;span class="spacer"&gt;&lt;/span&gt;double（2倍, 2重）
dou（2）ble（-plus）
&lt;span class="spacer"&gt;&lt;/span&gt;triple（3倍, 3重）
tri（3）ple（-plus）&lt;/span&gt;</v>
      </c>
      <c r="X424" s="15"/>
      <c r="Y424" s="15"/>
      <c r="AU424" s="15"/>
      <c r="AV424" s="1" t="s">
        <v>1502</v>
      </c>
      <c r="BG424" s="7" t="s">
        <v>1503</v>
      </c>
      <c r="BH424" s="1" t="s">
        <v>1947</v>
      </c>
      <c r="BI424" s="2" t="s">
        <v>3258</v>
      </c>
      <c r="BJ424" s="1" t="s">
        <v>1959</v>
      </c>
      <c r="BK424" s="1" t="s">
        <v>3259</v>
      </c>
      <c r="BL424" s="1" t="s">
        <v>1875</v>
      </c>
      <c r="BM424" s="2" t="s">
        <v>3260</v>
      </c>
      <c r="BN424" s="1" t="s">
        <v>1877</v>
      </c>
      <c r="BO424" s="2" t="s">
        <v>3261</v>
      </c>
    </row>
    <row r="425" spans="1:67" ht="90" x14ac:dyDescent="0.45">
      <c r="A425" s="5">
        <v>424</v>
      </c>
      <c r="B425" s="8" t="s">
        <v>282</v>
      </c>
      <c r="C425" s="6" t="s">
        <v>1816</v>
      </c>
      <c r="D425" s="7" t="s">
        <v>9752</v>
      </c>
      <c r="E425" s="1" t="s">
        <v>1634</v>
      </c>
      <c r="F425" s="1" t="s">
        <v>1635</v>
      </c>
      <c r="G425" s="1"/>
      <c r="J425" s="1" t="s">
        <v>9753</v>
      </c>
      <c r="K425" s="2" t="s">
        <v>7728</v>
      </c>
      <c r="L425" s="9" t="s">
        <v>8323</v>
      </c>
      <c r="P425" s="7" t="s">
        <v>1241</v>
      </c>
      <c r="Q425" s="19" t="str">
        <f>INDEX($L:$L, MATCH("manage", $B:$B, 0))</f>
        <v>&lt;span class="w"&gt;&lt;b&gt;【204.manage：～をなんとか成し遂げる, ～を管理する, （to do）なんとかやっていく】&lt;/b&gt;&lt;/span&gt;
&lt;span class="ml"&gt;ラテン語manus（手）に由来する。
&lt;span class="spacer"&gt;&lt;/span&gt;何かを手で扱うことからコントロールする＝「管理する」という意味になる。
&lt;span class="spacer"&gt;&lt;/span&gt;またなんとか管理して事を運ぶことから「なんとかやっていく」、その結果「なんとか成し遂げる」という意味になる（manage to do）。&lt;/span&gt;</v>
      </c>
      <c r="R425" s="19" t="str">
        <f>INDEX($L:$L, MATCH("manner", $B:$B, 0))</f>
        <v>&lt;span class="w"&gt;&lt;b&gt;【351.manner：作法, 方法】&lt;/b&gt;&lt;/span&gt;
&lt;span class="ml"&gt;ラテン語manus（手）に由来する。
&lt;span class="spacer"&gt;&lt;/span&gt;「手」というのは、何らかの作業や何かを扱うことと結びつきやすい。いまのような機械がなく、手作業・手仕事だったからである。
&lt;span class="spacer"&gt;&lt;/span&gt;こうした手作業においては、そのやり方や扱い方が固定化していく。ここから何かの「方法, 作法」という意味になる。&lt;/span&gt;</v>
      </c>
      <c r="S425" s="19" t="str">
        <f>INDEX($L:$L, MATCH("command", $B:$B, 0))</f>
        <v>&lt;span class="w"&gt;&lt;b&gt;【808.command：〜を命じる, 〜を指揮する, （景色）を見渡せる】&lt;/b&gt;&lt;/span&gt;
&lt;span class="ml"&gt;ラテン語に由来する語で、以下の3つの要素から成る。
&lt;span class="spacer"&gt;&lt;/span&gt;com（強意）
manus（手）
dare（与える）
&lt;span class="spacer"&gt;&lt;/span&gt;このまま日本語にすると「しっかり手で与える」となる。もともとは何かを手渡すことや委ねることを表したが、そこから意味が強まって、権力をもって「命じる」という意味になった。また、命令によって他の人や物を動かすことから「指揮する」、軍事において指揮者が戦場全体を見渡すことから、一般的に「景色を見渡す」という意味にもなった。
&lt;div class="sample_image command"&gt;&lt;/div&gt;&lt;/span&gt;</v>
      </c>
      <c r="T425" s="19" t="str">
        <f>INDEX($L:$L, MATCH("manual", $B:$B, 0))</f>
        <v>&lt;span class="w"&gt;&lt;b&gt;【889.manual：手（体）を使う, 手の, 手動の】&lt;/b&gt;&lt;/span&gt;
&lt;span class="ml"&gt;ラテン語に由来する語で、以下の2つの要素から成る。
&lt;span class="spacer"&gt;&lt;/span&gt;manus（手）
alis（形容詞化）
&lt;span class="spacer"&gt;&lt;/span&gt;このまま日本語にすると「手の, 手を使う, 手動の」という意味になる。&lt;/span&gt;</v>
      </c>
      <c r="U425" s="19" t="str">
        <f>INDEX($L:$L, MATCH("mankind", $B:$B, 0))</f>
        <v>&lt;span class="w"&gt;&lt;b&gt;【1147.mankind：人類】&lt;/b&gt;&lt;/span&gt;
&lt;span class="ml"&gt;中英語にさかのぼり、以下の2つの要素から成る。
&lt;span class="spacer"&gt;&lt;/span&gt;man（人）
kende（種類, 種族）
&lt;span class="spacer"&gt;&lt;/span&gt;このまま日本語にすると「人という種類」となり、そこから「人類」という意味になった。&lt;/span&gt;</v>
      </c>
      <c r="V425" s="19" t="str">
        <f>INDEX($L:$L, MATCH("manipulate", $B:$B, 0))</f>
        <v>&lt;span class="w"&gt;&lt;b&gt;【1310.manipulate：〜を（巧みに）操る】&lt;/b&gt;&lt;/span&gt;
&lt;span class="ml"&gt;ラテン語に由来する語で、以下の2つの要素から成る。
&lt;span class="spacer"&gt;&lt;/span&gt;manus（手）
plere（満たす）
&lt;span class="spacer"&gt;&lt;/span&gt;このまま日本語にすると「手を満たす」となる。もともとは一握りでつかめる量を表し、薬の計量単位としても使われた。そこから何かを手で扱うということへと発展し、何かを巧みに「操る」という意味になった。
&lt;span class="spacer"&gt;&lt;/span&gt;このmani部分は、manual（手の, 取扱説明書, 手引書, 操作手順書）のmanuと同じで「手」を意味することを覚えておく。&lt;/span&gt;</v>
      </c>
      <c r="AU425" s="15"/>
      <c r="AV425" s="1" t="s">
        <v>1502</v>
      </c>
      <c r="BG425" s="7" t="s">
        <v>1503</v>
      </c>
      <c r="BH425" s="1" t="s">
        <v>1872</v>
      </c>
      <c r="BI425" s="2" t="s">
        <v>3262</v>
      </c>
      <c r="BJ425" s="1" t="s">
        <v>1875</v>
      </c>
      <c r="BK425" s="1" t="s">
        <v>3263</v>
      </c>
      <c r="BL425" s="1" t="s">
        <v>1877</v>
      </c>
      <c r="BM425" s="1" t="s">
        <v>3264</v>
      </c>
    </row>
    <row r="426" spans="1:67" ht="198" x14ac:dyDescent="0.45">
      <c r="A426" s="5">
        <v>425</v>
      </c>
      <c r="B426" s="8" t="s">
        <v>1636</v>
      </c>
      <c r="C426" s="6" t="s">
        <v>1816</v>
      </c>
      <c r="D426" s="7" t="s">
        <v>9752</v>
      </c>
      <c r="E426" s="1" t="s">
        <v>283</v>
      </c>
      <c r="F426" s="1"/>
      <c r="G426" s="1"/>
      <c r="J426" s="1" t="s">
        <v>9753</v>
      </c>
      <c r="K426" s="2" t="s">
        <v>7729</v>
      </c>
      <c r="L426" s="3" t="s">
        <v>8324</v>
      </c>
      <c r="M426" s="1" t="s">
        <v>12196</v>
      </c>
      <c r="P426" s="7" t="s">
        <v>1241</v>
      </c>
      <c r="Q426" s="14" t="str">
        <f>INDEX($L:$L, MATCH("appreciate", $B:$B, 0))</f>
        <v>&lt;span class="w"&gt;&lt;b&gt;【340.appreciate：〜を正当に評価する, 〜を鑑賞する, 〜を感謝する】&lt;/b&gt;&lt;/span&gt;
&lt;span class="ml"&gt;ラテン語に由来する語で、以下の2つの要素から成る。
&lt;span class="spacer"&gt;&lt;/span&gt;ad（～へ）
pretium（価格：priceの語源）
&lt;span class="spacer"&gt;&lt;/span&gt;このまま日本語にすると「何かへ価格をつける」となる。価格をつけるということは、価値あるものを「正当に評価する」という意味に繋がる。そして高い価値を認めたものを目にしたり耳にしたりする＝「鑑賞する」となり、価値ある物事を享受できることに対して「感謝する」という意味になる。
&lt;div class="sample_image appreciate"&gt;&lt;/div&gt;&lt;/span&gt;</v>
      </c>
      <c r="R426" s="14" t="str">
        <f>INDEX($L:$L, MATCH("precious", $B:$B, 0))</f>
        <v>&lt;span class="w"&gt;&lt;b&gt;【879.precious：貴重な, 高価な】&lt;/b&gt;&lt;/span&gt;
&lt;span class="ml"&gt;ラテン語に由来する語で、以下の2つの要素から成る。
&lt;span class="spacer"&gt;&lt;/span&gt;pretium（価値, 価格）
osus（形容詞化：〜に満ちている）
&lt;span class="spacer"&gt;&lt;/span&gt;price（価格, 価値）が形容詞となったと考えればよい。価値や価格で満ちているということから 「貴重な, 高価な」という意味になる。&lt;/span&gt;</v>
      </c>
      <c r="AU426" s="15"/>
      <c r="AV426" s="1" t="s">
        <v>1502</v>
      </c>
      <c r="BG426" s="7" t="s">
        <v>1503</v>
      </c>
      <c r="BH426" s="1" t="s">
        <v>1947</v>
      </c>
      <c r="BI426" s="2" t="s">
        <v>3265</v>
      </c>
      <c r="BJ426" s="1" t="s">
        <v>2036</v>
      </c>
      <c r="BK426" s="2" t="s">
        <v>3266</v>
      </c>
      <c r="BL426" s="1" t="s">
        <v>1959</v>
      </c>
      <c r="BM426" s="1" t="s">
        <v>3267</v>
      </c>
      <c r="BN426" s="1" t="s">
        <v>1875</v>
      </c>
      <c r="BO426" s="2" t="s">
        <v>3268</v>
      </c>
    </row>
    <row r="427" spans="1:67" ht="234" x14ac:dyDescent="0.45">
      <c r="A427" s="5">
        <v>426</v>
      </c>
      <c r="B427" s="8" t="s">
        <v>284</v>
      </c>
      <c r="C427" s="6" t="s">
        <v>1816</v>
      </c>
      <c r="D427" s="7" t="s">
        <v>9752</v>
      </c>
      <c r="E427" s="1" t="s">
        <v>1329</v>
      </c>
      <c r="F427" s="1" t="s">
        <v>1637</v>
      </c>
      <c r="G427" s="1"/>
      <c r="J427" s="1" t="s">
        <v>9753</v>
      </c>
      <c r="K427" s="2" t="s">
        <v>7730</v>
      </c>
      <c r="L427" s="9" t="s">
        <v>8325</v>
      </c>
      <c r="P427" s="7" t="s">
        <v>1241</v>
      </c>
      <c r="Q427" s="14" t="str">
        <f>INDEX($L:$L, MATCH("impulse", $B:$B, 0))</f>
        <v>&lt;span class="w"&gt;&lt;b&gt;【1243.impulse：衝動】&lt;/b&gt;&lt;/span&gt;
&lt;span class="ml"&gt;ラテン語に由来する語で、以下の2つの要素から成る。
&lt;span class="spacer"&gt;&lt;/span&gt;in（中に）
pellere（押す）
&lt;span class="spacer"&gt;&lt;/span&gt;このまま日本語にすると「中に押し込む」となる。もともとは物理的な押し込む力を表したが、そこから心理面において心を突き動かす力、すなわち「衝動」という意味になった。&lt;/span&gt;</v>
      </c>
      <c r="R427" s="14" t="str">
        <f>INDEX($L:$L, MATCH("compel", $B:$B, 0))</f>
        <v>&lt;span class="w"&gt;&lt;b&gt;【1304.compel：〜に強いる】&lt;/b&gt;&lt;/span&gt;
&lt;span class="ml"&gt;ラテン語に由来する語で、以下の2つの要素から成る。
&lt;span class="spacer"&gt;&lt;/span&gt;com（共に）
pellere（駆り立てる）
&lt;span class="spacer"&gt;&lt;/span&gt;このまま日本語にすると「一緒に駆り立てる」となる。もともとは、家畜の群れをを一箇所に追い立てることを表した。そこから、次第に人に対して使われるようになり、人がやりたくないことを力や権威によって「強いる」という心理的・社会的な強制力を表す意味になった。
&lt;div class="sample_image compel"&gt;&lt;/div&gt;&lt;/span&gt;</v>
      </c>
      <c r="S427" s="13" t="str">
        <f>INDEX($L:$L, MATCH("compulsory", $B:$B, 0))</f>
        <v>&lt;span class="w"&gt;&lt;b&gt;【1384.compulsory：義務的な, 強制的な】&lt;/b&gt;&lt;/span&gt;
&lt;span class="ml"&gt;ラテン語に由来する語で、以下の3つの要素から成る。
&lt;span class="spacer"&gt;&lt;/span&gt;com（共に）
pellere（追う, 駆り立てる）
orius（形容詞化）
&lt;span class="spacer"&gt;&lt;/span&gt;これは動詞compel（強制する）が形容詞になったと覚えればよい。
&lt;span class="spacer"&gt;&lt;/span&gt;［動詞compel］
家畜の群れを一箇所に追い立てて集める様子から、人がやりたくないことを力や権威によって「強いる」という意味になった。
&lt;span class="spacer"&gt;&lt;/span&gt;［形容詞compulsory］
そして強制するという動詞が形容詞となって「義務的な, 強制的な」という意味になった。&lt;/span&gt;</v>
      </c>
      <c r="AU427" s="15"/>
      <c r="AV427" s="1" t="s">
        <v>1502</v>
      </c>
      <c r="BG427" s="7" t="s">
        <v>1503</v>
      </c>
      <c r="BH427" s="1" t="s">
        <v>1947</v>
      </c>
      <c r="BI427" s="2" t="s">
        <v>3269</v>
      </c>
      <c r="BJ427" s="1" t="s">
        <v>1959</v>
      </c>
      <c r="BK427" s="1" t="s">
        <v>3270</v>
      </c>
      <c r="BL427" s="1" t="s">
        <v>2114</v>
      </c>
      <c r="BM427" s="1" t="s">
        <v>3271</v>
      </c>
      <c r="BN427" s="1" t="s">
        <v>1875</v>
      </c>
      <c r="BO427" s="2" t="s">
        <v>3272</v>
      </c>
    </row>
    <row r="428" spans="1:67" ht="198" x14ac:dyDescent="0.45">
      <c r="A428" s="5">
        <v>427</v>
      </c>
      <c r="B428" s="8" t="s">
        <v>1638</v>
      </c>
      <c r="C428" s="6" t="s">
        <v>1816</v>
      </c>
      <c r="D428" s="7" t="s">
        <v>9752</v>
      </c>
      <c r="E428" s="1" t="s">
        <v>27</v>
      </c>
      <c r="F428" s="1" t="s">
        <v>4275</v>
      </c>
      <c r="G428" s="1"/>
      <c r="J428" s="1" t="s">
        <v>9753</v>
      </c>
      <c r="K428" s="2" t="s">
        <v>7731</v>
      </c>
      <c r="L428" s="3" t="s">
        <v>8326</v>
      </c>
      <c r="M428" s="1" t="s">
        <v>12126</v>
      </c>
      <c r="P428" s="7" t="s">
        <v>1241</v>
      </c>
      <c r="Q428" s="14" t="str">
        <f>INDEX($L:$L, MATCH("exist", $B:$B, 0))</f>
        <v>&lt;span class="w"&gt;&lt;b&gt;【33.exist：存在する】&lt;/b&gt;&lt;/span&gt;
&lt;span class="ml"&gt;ラテン語に由来する語で、以下の2つの要素から成る。
&lt;span class="spacer"&gt;&lt;/span&gt;ex（外に）
sistere（立たせる）
&lt;span class="spacer"&gt;&lt;/span&gt;このまま日本語にすると「外側に立たせる」となる。見えないところから外側に出て立たせる。その結果、目の前に現れて「存在する」という意味になる。
&lt;div class="sample_image exist"&gt;&lt;/div&gt;&lt;/span&gt;</v>
      </c>
      <c r="R428" s="14" t="str">
        <f>INDEX($L:$L, MATCH("resist", $B:$B, 0))</f>
        <v>&lt;span class="w"&gt;&lt;b&gt;【727.resist：〜に抵抗する】&lt;/b&gt;&lt;/span&gt;
&lt;span class="ml"&gt;ラテン語に由来する語で、以下の2つの要素から成る。
&lt;span class="spacer"&gt;&lt;/span&gt;re（対して）
sistere（立たせる）
&lt;span class="spacer"&gt;&lt;/span&gt;このまま日本語にすると「何かに対して立たせる」となる。これは、向かってくる力に対して立ち向かうというイメージで、そこから「抵抗する」という意味になる。
&lt;div class="sample_image resist"&gt;&lt;/div&gt;&lt;/span&gt;</v>
      </c>
      <c r="S428" s="14" t="str">
        <f>INDEX($L:$L, MATCH("assist", $B:$B, 0))</f>
        <v>&lt;span class="w"&gt;&lt;b&gt;【730.assist：〜を援助する, 〜を手伝う】&lt;/b&gt;&lt;/span&gt;
&lt;span class="ml"&gt;ラテン語に由来する語で、以下の2つの要素から成る。
&lt;span class="spacer"&gt;&lt;/span&gt;ad（〜へ）
sistere（立たせる）
&lt;span class="spacer"&gt;&lt;/span&gt;このまま日本語にすると「〜のそばへ立たせる」となる。これは、物理的に相手の隣に立つということから、相手を支える＝「手伝う, 支援する」という意味になった。&lt;/span&gt;</v>
      </c>
      <c r="T428" s="14" t="str">
        <f>INDEX($L:$L, MATCH("persist", $B:$B, 0))</f>
        <v>&lt;span class="w"&gt;&lt;b&gt;【1038.persist：続く, 固執する】&lt;/b&gt;&lt;/span&gt;
&lt;span class="ml"&gt;ラテン語に由来する語で、以下の2つの要素から成る。
&lt;span class="spacer"&gt;&lt;/span&gt;per（完全に）
sistere（立つ）
&lt;span class="spacer"&gt;&lt;/span&gt;このまま日本語にすると「完全に立つ」となる。何があっても立ち続け、その場から動かないイメージから、その状態や行動が「続く」、何かに「固執する」という意味になる。
&lt;div class="sample_image persist"&gt;&lt;/div&gt;&lt;/span&gt;</v>
      </c>
      <c r="U428" s="13" t="str">
        <f>INDEX($L:$L, MATCH("consist", $B:$B, 0))</f>
        <v>&lt;span class="w"&gt;&lt;b&gt;【440.consist：(of ~)～から成る, (in ~)～にある】&lt;/b&gt;&lt;/span&gt;
&lt;span class="ml"&gt;ラテン語に由来する語で、以下の2つの要素から成る。
&lt;span class="spacer"&gt;&lt;/span&gt;com（強意）
sistere（立たせる）
&lt;span class="spacer"&gt;&lt;/span&gt;このまま日本語にすると「しっかり立たせる」となる。
&lt;span class="spacer"&gt;&lt;/span&gt;［S consist &lt;strong&gt;of&lt;/strong&gt; A］
これは「Sは、Aがあることでしっかり立っていられる」というイメージ。逆に言えば、AがなければSは成り立たない。そこから、「SはAから成る」という意味になる。
このofは、be made of（〜でできている）と同じ。
&lt;span class="spacer"&gt;&lt;/span&gt;［S consist &lt;strong&gt;in&lt;/strong&gt; A］
これは「Sが、Aの中にしっかり立っている」というイメージ。そこから、「SはA（の中）にある」という意味になる。&lt;/span&gt;</v>
      </c>
      <c r="AU428" s="15"/>
      <c r="AV428" s="1" t="s">
        <v>1502</v>
      </c>
      <c r="BG428" s="7" t="s">
        <v>1503</v>
      </c>
      <c r="BH428" s="1" t="s">
        <v>1947</v>
      </c>
      <c r="BI428" s="2" t="s">
        <v>3273</v>
      </c>
      <c r="BJ428" s="1" t="s">
        <v>1959</v>
      </c>
      <c r="BK428" s="1" t="s">
        <v>3274</v>
      </c>
      <c r="BL428" s="1" t="s">
        <v>1877</v>
      </c>
      <c r="BM428" s="2" t="s">
        <v>3275</v>
      </c>
    </row>
    <row r="429" spans="1:67" ht="198" x14ac:dyDescent="0.45">
      <c r="A429" s="5">
        <v>428</v>
      </c>
      <c r="B429" s="8" t="s">
        <v>1639</v>
      </c>
      <c r="C429" s="6" t="s">
        <v>1816</v>
      </c>
      <c r="D429" s="7" t="s">
        <v>9752</v>
      </c>
      <c r="E429" s="1" t="s">
        <v>1467</v>
      </c>
      <c r="F429" s="1" t="s">
        <v>8855</v>
      </c>
      <c r="G429" s="1"/>
      <c r="J429" s="1" t="s">
        <v>9753</v>
      </c>
      <c r="K429" s="2" t="s">
        <v>7732</v>
      </c>
      <c r="L429" s="4" t="s">
        <v>8327</v>
      </c>
      <c r="P429" s="7" t="s">
        <v>1241</v>
      </c>
      <c r="Q429" s="14" t="str">
        <f>INDEX($L:$L, MATCH("repeat", $B:$B, 0))</f>
        <v>&lt;span class="w"&gt;&lt;b&gt;【319.repeat：～を繰り返す, 〜を復唱する】&lt;/b&gt;&lt;/span&gt;
&lt;span class="ml"&gt;ラテン語に由来する語で、以下の2つの要素から成る。
&lt;span class="spacer"&gt;&lt;/span&gt;re（再び）
petere（向かう, 求める）
&lt;span class="spacer"&gt;&lt;/span&gt;このまま日本語にすると「再び向かう, 再び求める」となる。同じ行為を何度も行うことから、何かを「繰り返す, 復唱する」という意味になる。&lt;/span&gt;</v>
      </c>
      <c r="R429" s="14" t="str">
        <f>INDEX($L:$L, MATCH("appetite", $B:$B, 0))</f>
        <v>&lt;span class="w"&gt;&lt;b&gt;【1242.appetite：食欲, 欲求】&lt;/b&gt;&lt;/span&gt;
&lt;span class="ml"&gt;ラテン語に由来する語で、以下の2つの要素から成る。
&lt;span class="spacer"&gt;&lt;/span&gt;ad（〜へ）
petere（求める）
&lt;span class="spacer"&gt;&lt;/span&gt;この語の核は「何かへ向かって求める」。この語の根本にあるのは対象に向かう「欲求」。特にその中でも食べ物を求める「食欲」という意味で使われるようになった。
&lt;div class="sample_image appetite"&gt;&lt;/div&gt;&lt;/span&gt;</v>
      </c>
      <c r="S429" s="13" t="str">
        <f>INDEX($L:$L, MATCH("competent", $B:$B, 0))</f>
        <v>&lt;span class="w"&gt;&lt;b&gt;【1280.competent：有能な, 適任の】&lt;/b&gt;&lt;/span&gt;
&lt;span class="ml"&gt;ラテン語に由来する語で、以下の2つの要素から成る。
&lt;span class="spacer"&gt;&lt;/span&gt;com（共に）
petere（求める, 向かう）
&lt;span class="spacer"&gt;&lt;/span&gt;このまま日本語にすると「共に求める」となる。これは、仕事などで求められている基準と、その人の持つ能力がピタリと一致するイメージ。そこから要件を十分に満たしている状態を表して「適任の, 有能な」という意味になる。
&lt;div class="sample_image competent"&gt;&lt;/div&gt;&lt;/span&gt;</v>
      </c>
      <c r="AU429" s="15"/>
      <c r="AV429" s="1" t="s">
        <v>1502</v>
      </c>
      <c r="BG429" s="7" t="s">
        <v>1503</v>
      </c>
      <c r="BH429" s="1" t="s">
        <v>1947</v>
      </c>
      <c r="BI429" s="2" t="s">
        <v>3276</v>
      </c>
      <c r="BJ429" s="1" t="s">
        <v>2036</v>
      </c>
      <c r="BK429" s="1" t="s">
        <v>3277</v>
      </c>
      <c r="BL429" s="1" t="s">
        <v>1959</v>
      </c>
      <c r="BM429" s="1" t="s">
        <v>3278</v>
      </c>
      <c r="BN429" s="1" t="s">
        <v>1877</v>
      </c>
      <c r="BO429" s="2" t="s">
        <v>3279</v>
      </c>
    </row>
    <row r="430" spans="1:67" ht="90" x14ac:dyDescent="0.45">
      <c r="A430" s="5">
        <v>429</v>
      </c>
      <c r="B430" s="8" t="s">
        <v>285</v>
      </c>
      <c r="C430" s="6" t="s">
        <v>1816</v>
      </c>
      <c r="D430" s="7" t="s">
        <v>9752</v>
      </c>
      <c r="E430" s="1" t="s">
        <v>285</v>
      </c>
      <c r="F430" s="1"/>
      <c r="G430" s="1"/>
      <c r="J430" s="1" t="s">
        <v>9753</v>
      </c>
      <c r="K430" s="2" t="s">
        <v>7733</v>
      </c>
      <c r="L430" s="4" t="s">
        <v>8328</v>
      </c>
      <c r="P430" s="7" t="s">
        <v>1241</v>
      </c>
      <c r="AV430" s="1" t="s">
        <v>1502</v>
      </c>
      <c r="BG430" s="7" t="s">
        <v>1503</v>
      </c>
      <c r="BH430" s="1" t="s">
        <v>2268</v>
      </c>
      <c r="BI430" s="1" t="s">
        <v>3280</v>
      </c>
      <c r="BJ430" s="1" t="s">
        <v>1959</v>
      </c>
      <c r="BK430" s="1" t="s">
        <v>3281</v>
      </c>
      <c r="BL430" s="1" t="s">
        <v>1875</v>
      </c>
      <c r="BM430" s="2" t="s">
        <v>3282</v>
      </c>
      <c r="BN430" s="1" t="s">
        <v>1877</v>
      </c>
      <c r="BO430" s="2" t="s">
        <v>3283</v>
      </c>
    </row>
    <row r="431" spans="1:67" ht="108" x14ac:dyDescent="0.45">
      <c r="A431" s="5">
        <v>430</v>
      </c>
      <c r="B431" s="8" t="s">
        <v>286</v>
      </c>
      <c r="C431" s="6" t="s">
        <v>1816</v>
      </c>
      <c r="D431" s="7" t="s">
        <v>9752</v>
      </c>
      <c r="E431" s="1" t="s">
        <v>1327</v>
      </c>
      <c r="F431" s="1" t="s">
        <v>1640</v>
      </c>
      <c r="G431" s="1"/>
      <c r="J431" s="1" t="s">
        <v>9753</v>
      </c>
      <c r="K431" s="2" t="s">
        <v>7734</v>
      </c>
      <c r="L431" s="9" t="s">
        <v>8329</v>
      </c>
      <c r="P431" s="7" t="s">
        <v>1241</v>
      </c>
      <c r="Q431" s="13" t="str">
        <f>INDEX($L:$L, MATCH("negative", $B:$B, 0))</f>
        <v>&lt;span class="w"&gt;&lt;b&gt;【180.negative：否定的な, 消極的な, （検査で）陰性の】&lt;/b&gt;&lt;/span&gt;
&lt;span class="ml"&gt;ラテン語に由来する語で、以下の2つの要素から成る。
&lt;span class="spacer"&gt;&lt;/span&gt;negare（否定する）の過去分詞negatus（否定された）
ivus（形容詞化）
&lt;span class="spacer"&gt;&lt;/span&gt;「否定された」ということから「否定的な, 消極的な, 陰性の」という意味になる。&lt;/span&gt;</v>
      </c>
      <c r="AU431" s="15"/>
      <c r="AV431" s="1" t="s">
        <v>1502</v>
      </c>
      <c r="BG431" s="7" t="s">
        <v>1503</v>
      </c>
      <c r="BH431" s="1" t="s">
        <v>1947</v>
      </c>
      <c r="BI431" s="2" t="s">
        <v>3284</v>
      </c>
      <c r="BJ431" s="1" t="s">
        <v>1959</v>
      </c>
      <c r="BK431" s="1" t="s">
        <v>3285</v>
      </c>
      <c r="BL431" s="1" t="s">
        <v>1875</v>
      </c>
      <c r="BM431" s="2" t="s">
        <v>3286</v>
      </c>
    </row>
    <row r="432" spans="1:67" ht="198" x14ac:dyDescent="0.45">
      <c r="A432" s="5">
        <v>431</v>
      </c>
      <c r="B432" s="8" t="s">
        <v>1641</v>
      </c>
      <c r="C432" s="6" t="s">
        <v>1816</v>
      </c>
      <c r="D432" s="7" t="s">
        <v>9752</v>
      </c>
      <c r="E432" s="1" t="s">
        <v>1251</v>
      </c>
      <c r="F432" s="1" t="s">
        <v>8853</v>
      </c>
      <c r="G432" s="1"/>
      <c r="J432" s="1" t="s">
        <v>9753</v>
      </c>
      <c r="K432" s="2" t="s">
        <v>7735</v>
      </c>
      <c r="L432" s="3" t="s">
        <v>8330</v>
      </c>
      <c r="M432" s="1" t="s">
        <v>12128</v>
      </c>
      <c r="P432" s="7" t="s">
        <v>1241</v>
      </c>
      <c r="Q432" s="14" t="str">
        <f>INDEX($L:$L, MATCH("object", $B:$B, 0))</f>
        <v>&lt;span class="w"&gt;&lt;b&gt;【37.object：反対する】&lt;/b&gt;&lt;/span&gt;
&lt;span class="ml"&gt;ラテン語に由来する語で、以下の2つの要素から成る。
&lt;span class="spacer"&gt;&lt;/span&gt;ob（～に対して）
icere（投げる）
&lt;span class="spacer"&gt;&lt;/span&gt;このまま日本語にすると「何かに対して投げつける」となる。行為・提案・決定・状況などを受け入れるのではなく、それに対して投げつけるというイメージから「反対する」という意味になる。
&lt;div class="sample_image object"&gt;&lt;/div&gt;&lt;/span&gt;</v>
      </c>
      <c r="R432" s="14" t="str">
        <f>INDEX($L:$L, MATCH("project", $B:$B, 0))</f>
        <v>&lt;span class="w"&gt;&lt;b&gt;【68.project：計画】&lt;/b&gt;&lt;/span&gt;
&lt;span class="ml"&gt;ラテン語に由来する語で、以下の2つの要素から成る。
&lt;span class="spacer"&gt;&lt;/span&gt;pro（前方に）
icere（投げる）
&lt;span class="spacer"&gt;&lt;/span&gt;このまま日本語にすると「前方に投げる」となる。この「前方」とは時間的な前方＝未来のことで、未来に投げられたもの＝「計画」という意味になる。&lt;/span&gt;</v>
      </c>
      <c r="S432" s="14" t="str">
        <f>INDEX($L:$L, MATCH("subject", $B:$B, 0))</f>
        <v>&lt;span class="w"&gt;&lt;b&gt;【67.subject：話題, 科目, 主語, 被験者】&lt;/b&gt;&lt;/span&gt;
&lt;span class="ml"&gt;ラテン語に由来する語で、以下の2つの要素から成る。
&lt;span class="spacer"&gt;&lt;/span&gt;sub（下に）
icere（投げる）
&lt;span class="spacer"&gt;&lt;/span&gt;このまま日本語にすると「下に投げる」となる。これは「上下関係の下に位置する」というイメージで、subjectは下記の下段のような意味になる。
&lt;span class="spacer"&gt;&lt;/span&gt;上位［会話］［教科］［一文］
下位［話題］［科目］［主語］&lt;/span&gt;</v>
      </c>
      <c r="AU432" s="15"/>
      <c r="AV432" s="1" t="s">
        <v>1502</v>
      </c>
      <c r="BG432" s="7" t="s">
        <v>1503</v>
      </c>
      <c r="BH432" s="1" t="s">
        <v>1947</v>
      </c>
      <c r="BI432" s="2" t="s">
        <v>3287</v>
      </c>
      <c r="BJ432" s="1" t="s">
        <v>1959</v>
      </c>
      <c r="BK432" s="1" t="s">
        <v>3288</v>
      </c>
      <c r="BL432" s="1" t="s">
        <v>1875</v>
      </c>
      <c r="BM432" s="2" t="s">
        <v>3289</v>
      </c>
      <c r="BN432" s="1" t="s">
        <v>1877</v>
      </c>
      <c r="BO432" s="2" t="s">
        <v>3290</v>
      </c>
    </row>
    <row r="433" spans="1:67" ht="270" x14ac:dyDescent="0.45">
      <c r="A433" s="5">
        <v>432</v>
      </c>
      <c r="B433" s="8" t="s">
        <v>1642</v>
      </c>
      <c r="C433" s="6" t="s">
        <v>1816</v>
      </c>
      <c r="D433" s="7" t="s">
        <v>9752</v>
      </c>
      <c r="E433" s="1" t="s">
        <v>27</v>
      </c>
      <c r="F433" s="1" t="s">
        <v>54</v>
      </c>
      <c r="G433" s="1"/>
      <c r="J433" s="1" t="s">
        <v>9753</v>
      </c>
      <c r="K433" s="2" t="s">
        <v>7140</v>
      </c>
      <c r="L433" s="3" t="s">
        <v>8331</v>
      </c>
      <c r="M433" s="1" t="s">
        <v>12117</v>
      </c>
      <c r="P433" s="7" t="s">
        <v>1241</v>
      </c>
      <c r="Q433" s="14" t="str">
        <f>INDEX($L:$L, MATCH("tend", $B:$B, 0))</f>
        <v>&lt;span class="w"&gt;&lt;b&gt;【16.tend：傾向がある】&lt;/b&gt;&lt;/span&gt;
&lt;span class="ml"&gt;ラテン語tendere（伸ばす, 引っ張る）に由来する。
&lt;span class="spacer"&gt;&lt;/span&gt;心や注意をある対象に向かって「伸ばす」というイメージから、ある対象の方へ向かいやすい＝「傾向がある」という意味になる。
&lt;span class="spacer"&gt;&lt;/span&gt;tend to do Aは、（他のことではなく）Aする方へ心や注意が伸びる＝「Aしがち, Aする傾向がある」という意味になる。&lt;/span&gt;</v>
      </c>
      <c r="R433" s="14" t="str">
        <f>INDEX($L:$L, MATCH("attend", $B:$B, 0))</f>
        <v>&lt;span class="w"&gt;&lt;b&gt;【205.attend：～を世話をする, ～を対処する, ～を出席する】&lt;/b&gt;&lt;/span&gt;
&lt;span class="ml"&gt;ラテン語に由来する語で、以下の2つの要素から成る。
&lt;span class="spacer"&gt;&lt;/span&gt;ad（～へ）
tendere（伸ばす）
&lt;span class="spacer"&gt;&lt;/span&gt;このまま日本語にすると「何かへ伸ばす」となる。心や労力を相手へ伸ばすことから「世話をする」という意味になる。
&lt;span class="spacer"&gt;&lt;/span&gt;また、世話をするために付き添う＝一緒にどこかへ行くということから発展して、「出席する」という意味になる。
&lt;span class="spacer"&gt;&lt;/span&gt;そして労力を問題へ伸ばすことから「対処する」という意味になる。
&lt;div class="sample_image attend"&gt;&lt;/div&gt;&lt;/span&gt;</v>
      </c>
      <c r="S433" s="14" t="str">
        <f>INDEX($L:$L, MATCH("extend", $B:$B, 0))</f>
        <v>&lt;span class="w"&gt;&lt;b&gt;【339.extend：～を伸ばす, ～を延ばす】&lt;/b&gt;&lt;/span&gt;
&lt;span class="ml"&gt;ラテン語に由来する語で、以下の2つの要素から成る。
&lt;span class="spacer"&gt;&lt;/span&gt;ex（外に）
tendere（伸ばす）
&lt;span class="spacer"&gt;&lt;/span&gt;このまま日本語にすると「外に伸ばす」となる。ここから「伸ばす, 延ばす」という意味になる。&lt;/span&gt;</v>
      </c>
      <c r="T433" s="14" t="str">
        <f>INDEX($L:$L, MATCH("pretend", $B:$B, 0))</f>
        <v>&lt;span class="w"&gt;&lt;b&gt;【724.pretend：ふりをする】&lt;/b&gt;&lt;/span&gt;
&lt;span class="ml"&gt;ラテン語に由来する語で、以下の2つの要素から成る。
&lt;span class="spacer"&gt;&lt;/span&gt;prae（前に）
tendere（伸ばす）
&lt;span class="spacer"&gt;&lt;/span&gt;このまま日本語にすると「前に伸ばす」となる。この動きから、相手の前に何かを差し出す・提示するとなる。さらに自分の中にある真実や本心を隠すために、偽りの理由や態度を前に差し出す、つまり「〜のふりをする」という意味になった。
&lt;span class="spacer"&gt;&lt;/span&gt;pretend to do（〜するふりをする）
これはto do（〜する）を相手の前に出すけど、自分はそれを実際には行わないというイメージ。
&lt;div class="sample_image pretend"&gt;&lt;/div&gt;&lt;/span&gt;</v>
      </c>
      <c r="U433" s="14" t="str">
        <f>INDEX($L:$L, MATCH("tense", $B:$B, 0))</f>
        <v>&lt;span class="w"&gt;&lt;b&gt;【1187.tense：緊張した, 張り詰めた】&lt;/b&gt;&lt;/span&gt;
&lt;span class="ml"&gt;ラテン語tendere（伸ばす, 張る）に由来する。
&lt;span class="spacer"&gt;&lt;/span&gt;この語の核は「糸やロープが両端から引っ張られている状態」。この物理的な緊張から、心理的な緊張状態や状況の緊張状態にも広がって「張り詰めた, 緊張した」という意味になった。&lt;/span&gt;
&lt;div class="animation tense"&gt;&lt;/div&gt;</v>
      </c>
      <c r="V433" s="14" t="str">
        <f>INDEX($L:$L, MATCH("intense", $B:$B, 0))</f>
        <v>&lt;span class="w"&gt;&lt;b&gt;【691.intense：強烈な, 激しい】&lt;/b&gt;&lt;/span&gt;
&lt;span class="ml"&gt;ラテン語に由来する語で、以下の2つの要素から成る。
&lt;span class="spacer"&gt;&lt;/span&gt;in（方向）
tendere（伸ばす）
&lt;span class="spacer"&gt;&lt;/span&gt;このまま日本語にすると「ある方向へ伸ばす」となる。もともとは、物理的に弓や弦などが限界まで伸ばされた状態を表していた。
&lt;span class="spacer"&gt;&lt;/span&gt;ここから比喩的に程度を表す言葉へと変化し、限界まで張り詰めた状態から「強烈な, 激しい」という意味になった。
&lt;div class="sample_image intense"&gt;&lt;/div&gt;&lt;/span&gt;</v>
      </c>
      <c r="AU433" s="15"/>
      <c r="AV433" s="1" t="s">
        <v>1502</v>
      </c>
      <c r="BG433" s="7" t="s">
        <v>1503</v>
      </c>
      <c r="BH433" s="1" t="s">
        <v>1947</v>
      </c>
      <c r="BI433" s="2" t="s">
        <v>3291</v>
      </c>
      <c r="BJ433" s="1" t="s">
        <v>1959</v>
      </c>
      <c r="BK433" s="1" t="s">
        <v>3292</v>
      </c>
      <c r="BL433" s="1" t="s">
        <v>1875</v>
      </c>
      <c r="BM433" s="2" t="s">
        <v>3293</v>
      </c>
    </row>
    <row r="434" spans="1:67" ht="409.6" x14ac:dyDescent="0.45">
      <c r="A434" s="5">
        <v>433</v>
      </c>
      <c r="B434" s="8" t="s">
        <v>1643</v>
      </c>
      <c r="C434" s="6" t="s">
        <v>1816</v>
      </c>
      <c r="D434" s="7" t="s">
        <v>9752</v>
      </c>
      <c r="E434" s="1" t="s">
        <v>1413</v>
      </c>
      <c r="F434" s="1" t="s">
        <v>4639</v>
      </c>
      <c r="G434" s="1"/>
      <c r="J434" s="1" t="s">
        <v>9753</v>
      </c>
      <c r="K434" s="2" t="s">
        <v>7736</v>
      </c>
      <c r="L434" s="3" t="s">
        <v>8332</v>
      </c>
      <c r="M434" s="1" t="s">
        <v>12153</v>
      </c>
      <c r="P434" s="7" t="s">
        <v>1241</v>
      </c>
      <c r="Q434" s="14" t="str">
        <f>INDEX($L:$L, MATCH("pose", $B:$B, 0))</f>
        <v>&lt;span class="w"&gt;&lt;b&gt;【804.pose：（危険）を引き起こす, （問題など）を提起する, ポーズをとる, 装う】&lt;/b&gt;&lt;/span&gt;
&lt;span class="ml"&gt;ラテン語に由来する語で、以下の2つの要素から成る。
&lt;span class="spacer"&gt;&lt;/span&gt;pausere（止まる, 休む, 休ませる）
ponere（置く）
&lt;span class="spacer"&gt;&lt;/span&gt;この語の核は「何かを置く」。問題や危険を置くことから「問題を提起する, 危険を引き起こす」という意味になる。またある態度や性格に身を置くことから、態度や性格を「装う」、またモデルなどが「ポーズをとる」という意味になる。
&lt;span class="spacer"&gt;&lt;/span&gt;poseの目的語にくるものを「置く」ことから文に合った訳を考えればよい。
&lt;div class="sample_image pose"&gt;&lt;/div&gt;&lt;/span&gt;</v>
      </c>
      <c r="R434" s="14" t="str">
        <f>INDEX($L:$L, MATCH("impose", $B:$B, 0))</f>
        <v>&lt;span class="w"&gt;&lt;b&gt;【826.impose：〜を課す, 〜を押し付ける】&lt;/b&gt;&lt;/span&gt;
&lt;span class="ml"&gt;古フランス語に由来する語で、以下の2つの要素から成る。
&lt;span class="spacer"&gt;&lt;/span&gt;in（中に）
poser（置く）
&lt;span class="spacer"&gt;&lt;/span&gt;このまま日本語にすると「中に置く」となる。相手の領域の中に押し込んで置くイメージから、対象に何かを「押し付ける, 課す」という意味になる。
&lt;div class="sample_image impose"&gt;&lt;/div&gt;&lt;/span&gt;</v>
      </c>
      <c r="S434" s="14" t="str">
        <f>INDEX($L:$L, MATCH("propose", $B:$B, 0))</f>
        <v>&lt;span class="w"&gt;&lt;b&gt;【436.propose：〜を提案する】&lt;/b&gt;&lt;/span&gt;
&lt;span class="ml"&gt;ラテン語に由来する語で、以下の2つの要素から成る。
&lt;span class="spacer"&gt;&lt;/span&gt;pro（前へ）
ponere（置く）
&lt;span class="spacer"&gt;&lt;/span&gt;このまま日本語にすると「前に置く」となる。意見や考えを相手の前に置くイメージから「提案する」という意味になる。&lt;/span&gt;</v>
      </c>
      <c r="T434" s="14" t="str">
        <f>INDEX($L:$L, MATCH("oppose", $B:$B, 0))</f>
        <v>&lt;span class="w"&gt;&lt;b&gt;【513.oppose：〜に反対する, 〜を対抗させる】&lt;/b&gt;&lt;/span&gt;
&lt;span class="ml"&gt;ラテン語に由来する語で、以下の2つの要素から成る。
&lt;span class="spacer"&gt;&lt;/span&gt;ob（〜に対して）
ponere（置く）
&lt;span class="spacer"&gt;&lt;/span&gt;このまま日本語にすると「～に対して置く」となる。相手に対して自分を置く、つまり相手と自分が向かい合うように置くイメージから「反対する, 対抗させる」という意味になる。
&lt;div class="sample_image oppose"&gt;&lt;/div&gt;&lt;/span&gt;</v>
      </c>
      <c r="U434" s="14" t="str">
        <f>INDEX($L:$L, MATCH("dispose", $B:$B, 0))</f>
        <v>&lt;span class="w"&gt;&lt;b&gt;【1435.dispose：（of ~）〜を処分する, （dispose ~ to do）〜する気にさせる】&lt;/b&gt;&lt;/span&gt;
&lt;span class="ml"&gt;ラテン語に由来する語で、以下の2つの要素から成る。
&lt;span class="spacer"&gt;&lt;/span&gt;dis（離れて）
ponere（置く）
&lt;span class="spacer"&gt;&lt;/span&gt;このまま日本語にすると「離して置く」となるが、この語の核は「ごちゃごちゃしたものをそれぞれ離して整理し、あるべき位置へ置く」イメージ。
&lt;span class="spacer"&gt;&lt;/span&gt;不要なもの・問題などを整理して、それがあるべき場所へ置くことから「処分する」という意味になる。
&lt;span class="spacer"&gt;&lt;/span&gt;また相手の気持ちを整理して進むべき方向へ置くことから「何かをする気にさせる」となる。
&lt;span class="spacer"&gt;&lt;/span&gt;dispose 人 to do
人 be disposed to do
&lt;div class="sample_image dispose"&gt;&lt;/div&gt;&lt;/span&gt;</v>
      </c>
      <c r="V434" s="14" t="str">
        <f>INDEX($L:$L, MATCH("compose", $B:$B, 0))</f>
        <v>&lt;span class="w"&gt;&lt;b&gt;【833.compose：～を構成する, ～を創作する】&lt;/b&gt;&lt;/span&gt;
&lt;span class="ml"&gt;ラテン語に由来する語で、以下の2つの要素から成る。
&lt;span class="spacer"&gt;&lt;/span&gt;com（共に）
ponere（置く）
&lt;span class="spacer"&gt;&lt;/span&gt;このまま日本語にすると「共に置く」となる。2つ以上のものを一緒に置いて全体を形作ることから、構成要素となって全体を作り上げる＝「構成する, 創作する」という意味になる。
&lt;div class="sample_image compose"&gt;&lt;/div&gt;&lt;/span&gt;</v>
      </c>
      <c r="W434" s="14" t="str">
        <f>INDEX($L:$L, MATCH("suppose", $B:$B, 0))</f>
        <v>&lt;span class="w"&gt;&lt;b&gt;【121.suppose：～と仮定する, と思う】&lt;/b&gt;&lt;/span&gt;
&lt;span class="ml"&gt;ラテン語に由来する語で、以下の2つの要素から成る。
&lt;span class="spacer"&gt;&lt;/span&gt;sub（下に）
ponere（置く）
&lt;span class="spacer"&gt;&lt;/span&gt;このまま日本語にすると「下に置く」となる。思考において、何かを既にあるものとして土台に置くイメージから、何かを前提として置く＝「仮定する」という意味になる。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&lt;div class="sample_image suppose"&gt;&lt;/div&gt;
&lt;span class="spacer"&gt;&lt;/span&gt;supposeを「前提に置く」というイメージで覚えておけば、be supposed to do A（Aすることになっている）は、要は「Aするということが前提として置かれている」だけだと理解できる。&lt;/span&gt;</v>
      </c>
      <c r="X434" s="14" t="str">
        <f>INDEX($L:$L, MATCH("positive", $B:$B, 0))</f>
        <v>&lt;span class="w"&gt;&lt;b&gt;【179.positive：肯定的な, 確信して, （検査で）陽性の】&lt;/b&gt;&lt;/span&gt;
&lt;span class="ml"&gt;ラテン語に由来する語で、以下の2つの要素から成る。
&lt;span class="spacer"&gt;&lt;/span&gt;ponere（置く）の過去分詞positus（置かれる）
ivus（形容詞化）
&lt;span class="spacer"&gt;&lt;/span&gt;もともとは法律用語。法や権威あるものによって置かれる、つまり法や権威によって定められて否定のしようがないという意味で使われた。ここから「肯定的な, 確信して, 陽性の」という意味になる。&lt;/span&gt;</v>
      </c>
      <c r="Y434" s="14" t="str">
        <f>INDEX($L:$L, MATCH("deposit", $B:$B, 0))</f>
        <v>&lt;span class="w"&gt;&lt;b&gt;【1315.deposit：〜を置く, 〜を預ける】&lt;/b&gt;&lt;/span&gt;
&lt;span class="ml"&gt;ラテン語に由来する語で、以下の2つの要素から成る。
&lt;span class="spacer"&gt;&lt;/span&gt;de（離れて, 下に）
ponere（置く）
&lt;span class="spacer"&gt;&lt;/span&gt;このまま日本語にすると「離れて置く, 下に置く」となる。物理的に何かを「置く」という意味もあるが、金銭や貴重品を離れた場所に「預ける」という意味にもなる。
&lt;span class="spacer"&gt;&lt;/span&gt;depositのposit部分は、positionと同じなので、そこから「置く」というイメージ持っておくとよい。
&lt;div class="sample_image deposit"&gt;&lt;/div&gt;&lt;/span&gt;</v>
      </c>
      <c r="Z434" s="14" t="str">
        <f>INDEX($L:$L, MATCH("compound", $B:$B, 0))</f>
        <v>&lt;span class="w"&gt;&lt;b&gt;【1129.compound：〜を悪化させる, 〜を合成する, 〜を混合する】&lt;/b&gt;&lt;/span&gt;
&lt;span class="ml"&gt;ラテン語に由来する語で、以下の2つの要素から成る。
&lt;span class="spacer"&gt;&lt;/span&gt;com（共に）
ponere（置く）
&lt;span class="spacer"&gt;&lt;/span&gt;このまま日本語にすると「共に置く」となる。複数のものを一緒にすることから、何かを「合成する, 混合する, 調合する」といった意味になる。さらに、問題や困難などがどんどん一緒に置かれて積もっていくことから、状況や問題などを「悪化させる」という意味にもなる。
&lt;div class="sample_image compound"&gt;&lt;/div&gt;&lt;/span&gt;</v>
      </c>
      <c r="AA434" s="14" t="str">
        <f>INDEX($L:$L, MATCH("postpone", $B:$B, 0))</f>
        <v>&lt;span class="w"&gt;&lt;b&gt;【1134.postpone：〜を延期する】&lt;/b&gt;&lt;/span&gt;
&lt;span class="ml"&gt;ラテン語に由来する語で、以下の2つの要素から成る。
&lt;span class="spacer"&gt;&lt;/span&gt;post（後に）
ponere（置く）
&lt;span class="spacer"&gt;&lt;/span&gt;このまま日本語にすると「後に置く」となる。予定や物事を時間的に後に置くことから「延期する」という意味になる。&lt;/span&gt;
&lt;div class="animation postpone"&gt;&lt;/div&gt;</v>
      </c>
      <c r="AB434" s="14" t="str">
        <f>INDEX($L:$L, MATCH("component", $B:$B, 0))</f>
        <v>&lt;span class="w"&gt;&lt;b&gt;【677.component：構成要素, 部品】&lt;/b&gt;&lt;/span&gt;
&lt;span class="ml"&gt;ラテン語に由来する語で、以下の2つの要素から成る。
&lt;span class="spacer"&gt;&lt;/span&gt;com（共に）
ponere（置く）
&lt;span class="spacer"&gt;&lt;/span&gt;このまま日本語にすると「共に置く」となる。いくつかの部分を一緒に置くことで全体が構成されることから、全体の「構成要素, 部品」という意味になる。
&lt;div class="sample_image component"&gt;&lt;/div&gt;&lt;/span&gt;</v>
      </c>
      <c r="AC434" s="14" t="str">
        <f>INDEX($L:$L, MATCH("opponent", $B:$B, 0))</f>
        <v>&lt;span class="w"&gt;&lt;b&gt;【762.opponent：（試合や論争などの）相手, 反対者】&lt;/b&gt;&lt;/span&gt;
&lt;span class="ml"&gt;ラテン語に由来する語で、以下の3つの要素から成る。
&lt;span class="spacer"&gt;&lt;/span&gt;ob（前に, 対して）
ponere（置く）
ens（現在分詞を作る：〜しているもの）
&lt;span class="spacer"&gt;&lt;/span&gt;この語の核は「何かに対立する位置に置いてあるもの」。ここから「対戦相手, 反対者」という意味になる。
&lt;div class="sample_image opponent"&gt;&lt;/div&gt;&lt;/span&gt;</v>
      </c>
      <c r="AD434" s="14" t="str">
        <f>INDEX($L:$L, MATCH("posture", $B:$B, 0))</f>
        <v>&lt;span class="w"&gt;&lt;b&gt;【1451.posture：姿勢, 心構え】&lt;/b&gt;&lt;/span&gt;
&lt;span class="ml"&gt;ラテン語に由来する語で、以下の2つの要素から成る。
&lt;span class="spacer"&gt;&lt;/span&gt;ponere（置く）の過去分詞positus
ura（名詞化）
&lt;span class="spacer"&gt;&lt;/span&gt;このまま日本語にすると「置かれた状態」となる。これは何かの位置や配置を表したが、特に身体の各パーツの位置を指すようになり、そこから身体のポジション＝「姿勢」という意味になった。
&lt;span class="spacer"&gt;&lt;/span&gt;さらにそこから比喩的に、状況に対する心理的な姿勢＝「心構え」という意味にもなった。&lt;/span&gt;</v>
      </c>
      <c r="AE434" s="14" t="str">
        <f>INDEX($L:$L, MATCH("puzzle", $B:$B, 0))</f>
        <v>&lt;span class="w"&gt;&lt;b&gt;【624.puzzle：〜を当惑させる, 〜を困惑させる】&lt;/b&gt;&lt;/span&gt;
&lt;span class="ml"&gt;近代英語pose（難しい問題や質問で当惑させる）にさかのぼる。
&lt;span class="spacer"&gt;&lt;/span&gt;この語はパズルのように「頭に引っかかって前に進めない状態にする」というイメージ。ここから「当惑させる, 困惑させる」という意味になる。
&lt;span class="spacer"&gt;&lt;/span&gt;もともとはposeという形だったが、反復・継続を表すpuzzleという形になった。これにより困惑や当惑が反復・継続している状態、つまり頭の中がぐるぐる回るような状態を表した。&lt;/span&gt;</v>
      </c>
      <c r="AF434" s="15"/>
      <c r="AG434" s="15"/>
      <c r="AU434" s="15"/>
      <c r="AV434" s="1" t="s">
        <v>1502</v>
      </c>
      <c r="BG434" s="7" t="s">
        <v>1503</v>
      </c>
      <c r="BH434" s="1" t="s">
        <v>1947</v>
      </c>
      <c r="BI434" s="2" t="s">
        <v>3294</v>
      </c>
      <c r="BJ434" s="1" t="s">
        <v>1959</v>
      </c>
      <c r="BK434" s="2" t="s">
        <v>3367</v>
      </c>
      <c r="BL434" s="1" t="s">
        <v>1875</v>
      </c>
      <c r="BM434" s="2" t="s">
        <v>3295</v>
      </c>
      <c r="BN434" s="1" t="s">
        <v>1877</v>
      </c>
      <c r="BO434" s="2" t="s">
        <v>3296</v>
      </c>
    </row>
    <row r="435" spans="1:67" ht="108" x14ac:dyDescent="0.45">
      <c r="A435" s="5">
        <v>434</v>
      </c>
      <c r="B435" s="8" t="s">
        <v>287</v>
      </c>
      <c r="C435" s="6" t="s">
        <v>1816</v>
      </c>
      <c r="D435" s="7" t="s">
        <v>9752</v>
      </c>
      <c r="E435" s="1" t="s">
        <v>287</v>
      </c>
      <c r="F435" s="1"/>
      <c r="G435" s="1"/>
      <c r="J435" s="1" t="s">
        <v>9753</v>
      </c>
      <c r="K435" s="2" t="s">
        <v>7737</v>
      </c>
      <c r="L435" s="9" t="s">
        <v>8333</v>
      </c>
      <c r="P435" s="7" t="s">
        <v>1241</v>
      </c>
      <c r="AU435" s="15"/>
      <c r="AV435" s="1" t="s">
        <v>1502</v>
      </c>
      <c r="BG435" s="7" t="s">
        <v>1503</v>
      </c>
      <c r="BH435" s="1" t="s">
        <v>1947</v>
      </c>
      <c r="BI435" s="2" t="s">
        <v>3297</v>
      </c>
      <c r="BJ435" s="1" t="s">
        <v>1959</v>
      </c>
      <c r="BK435" s="1" t="s">
        <v>3298</v>
      </c>
      <c r="BL435" s="1" t="s">
        <v>1875</v>
      </c>
      <c r="BM435" s="2" t="s">
        <v>3299</v>
      </c>
    </row>
    <row r="436" spans="1:67" ht="162" x14ac:dyDescent="0.45">
      <c r="A436" s="5">
        <v>435</v>
      </c>
      <c r="B436" s="8" t="s">
        <v>288</v>
      </c>
      <c r="C436" s="6" t="s">
        <v>1816</v>
      </c>
      <c r="D436" s="7" t="s">
        <v>9752</v>
      </c>
      <c r="E436" s="1" t="s">
        <v>27</v>
      </c>
      <c r="F436" s="1" t="s">
        <v>1644</v>
      </c>
      <c r="G436" s="1"/>
      <c r="J436" s="1" t="s">
        <v>9753</v>
      </c>
      <c r="K436" s="2" t="s">
        <v>7738</v>
      </c>
      <c r="L436" s="9" t="s">
        <v>8334</v>
      </c>
      <c r="P436" s="7" t="s">
        <v>1241</v>
      </c>
      <c r="Q436" s="14" t="str">
        <f>INDEX($L:$L, MATCH("spiritual", $B:$B, 0))</f>
        <v>&lt;span class="w"&gt;&lt;b&gt;【997.spiritual：精神の, 霊的な】&lt;/b&gt;&lt;/span&gt;
&lt;span class="ml"&gt;ラテン語に由来する語で、以下の2つの要素から成る。
&lt;span class="spacer"&gt;&lt;/span&gt;spiritus（息, 呼吸, 神の息吹, 生命の息吹, 生命）
alis（形容詞化）
&lt;span class="spacer"&gt;&lt;/span&gt;息は生命の象徴であり、神が息を吹き込んで生命を与えるという考えが古代の宗教に見られる。生命とは物質である肉体を生かし、動かし、行動させる原動力のようなもの。その非物質的なものは精神、神による働きかけだと考えられたことから、息から「精神の, 霊的な」という意味になった。&lt;/span&gt;</v>
      </c>
      <c r="R436" s="15"/>
      <c r="AU436" s="15"/>
      <c r="AV436" s="1" t="s">
        <v>1502</v>
      </c>
      <c r="BG436" s="7" t="s">
        <v>1503</v>
      </c>
      <c r="BH436" s="1" t="s">
        <v>1947</v>
      </c>
      <c r="BI436" s="2" t="s">
        <v>3300</v>
      </c>
      <c r="BJ436" s="1" t="s">
        <v>1959</v>
      </c>
      <c r="BK436" s="1" t="s">
        <v>3301</v>
      </c>
      <c r="BL436" s="1" t="s">
        <v>1875</v>
      </c>
      <c r="BM436" s="2" t="s">
        <v>3302</v>
      </c>
    </row>
    <row r="437" spans="1:67" ht="409.6" x14ac:dyDescent="0.45">
      <c r="A437" s="5">
        <v>436</v>
      </c>
      <c r="B437" s="8" t="s">
        <v>1645</v>
      </c>
      <c r="C437" s="6" t="s">
        <v>1816</v>
      </c>
      <c r="D437" s="7" t="s">
        <v>9752</v>
      </c>
      <c r="E437" s="1" t="s">
        <v>31</v>
      </c>
      <c r="F437" s="1" t="s">
        <v>4639</v>
      </c>
      <c r="G437" s="1"/>
      <c r="J437" s="1" t="s">
        <v>9753</v>
      </c>
      <c r="K437" s="2" t="s">
        <v>7739</v>
      </c>
      <c r="L437" s="4" t="s">
        <v>8335</v>
      </c>
      <c r="M437" s="1" t="s">
        <v>12153</v>
      </c>
      <c r="P437" s="7" t="s">
        <v>1241</v>
      </c>
      <c r="Q437" s="14" t="str">
        <f>INDEX($L:$L, MATCH("pose", $B:$B, 0))</f>
        <v>&lt;span class="w"&gt;&lt;b&gt;【804.pose：（危険）を引き起こす, （問題など）を提起する, ポーズをとる, 装う】&lt;/b&gt;&lt;/span&gt;
&lt;span class="ml"&gt;ラテン語に由来する語で、以下の2つの要素から成る。
&lt;span class="spacer"&gt;&lt;/span&gt;pausere（止まる, 休む, 休ませる）
ponere（置く）
&lt;span class="spacer"&gt;&lt;/span&gt;この語の核は「何かを置く」。問題や危険を置くことから「問題を提起する, 危険を引き起こす」という意味になる。またある態度や性格に身を置くことから、態度や性格を「装う」、またモデルなどが「ポーズをとる」という意味になる。
&lt;span class="spacer"&gt;&lt;/span&gt;poseの目的語にくるものを「置く」ことから文に合った訳を考えればよい。
&lt;div class="sample_image pose"&gt;&lt;/div&gt;&lt;/span&gt;</v>
      </c>
      <c r="R437" s="14" t="str">
        <f>INDEX($L:$L, MATCH("expose", $B:$B, 0))</f>
        <v>&lt;span class="w"&gt;&lt;b&gt;【433.expose：～をさらす, 〜を暴露する】&lt;/b&gt;&lt;/span&gt;
&lt;span class="ml"&gt;ラテン語に由来する語で、以下の2つの要素から成る。
&lt;span class="spacer"&gt;&lt;/span&gt;ex（外に）
ponere（置く）
&lt;span class="spacer"&gt;&lt;/span&gt;このまま日本語にすると「外に置く」となる。これは、内側にあるものを外側に置くイメージ。そこから何かを「さらす, 暴露する」という意味になる。
&lt;div class="sample_image expose"&gt;&lt;/div&gt;&lt;/span&gt;</v>
      </c>
      <c r="S437" s="14" t="str">
        <f>INDEX($L:$L, MATCH("impose", $B:$B, 0))</f>
        <v>&lt;span class="w"&gt;&lt;b&gt;【826.impose：〜を課す, 〜を押し付ける】&lt;/b&gt;&lt;/span&gt;
&lt;span class="ml"&gt;古フランス語に由来する語で、以下の2つの要素から成る。
&lt;span class="spacer"&gt;&lt;/span&gt;in（中に）
poser（置く）
&lt;span class="spacer"&gt;&lt;/span&gt;このまま日本語にすると「中に置く」となる。相手の領域の中に押し込んで置くイメージから、対象に何かを「押し付ける, 課す」という意味になる。
&lt;div class="sample_image impose"&gt;&lt;/div&gt;&lt;/span&gt;</v>
      </c>
      <c r="T437" s="14" t="str">
        <f>INDEX($L:$L, MATCH("oppose", $B:$B, 0))</f>
        <v>&lt;span class="w"&gt;&lt;b&gt;【513.oppose：〜に反対する, 〜を対抗させる】&lt;/b&gt;&lt;/span&gt;
&lt;span class="ml"&gt;ラテン語に由来する語で、以下の2つの要素から成る。
&lt;span class="spacer"&gt;&lt;/span&gt;ob（〜に対して）
ponere（置く）
&lt;span class="spacer"&gt;&lt;/span&gt;このまま日本語にすると「～に対して置く」となる。相手に対して自分を置く、つまり相手と自分が向かい合うように置くイメージから「反対する, 対抗させる」という意味になる。
&lt;div class="sample_image oppose"&gt;&lt;/div&gt;&lt;/span&gt;</v>
      </c>
      <c r="U437" s="14" t="str">
        <f>INDEX($L:$L, MATCH("dispose", $B:$B, 0))</f>
        <v>&lt;span class="w"&gt;&lt;b&gt;【1435.dispose：（of ~）〜を処分する, （dispose ~ to do）〜する気にさせる】&lt;/b&gt;&lt;/span&gt;
&lt;span class="ml"&gt;ラテン語に由来する語で、以下の2つの要素から成る。
&lt;span class="spacer"&gt;&lt;/span&gt;dis（離れて）
ponere（置く）
&lt;span class="spacer"&gt;&lt;/span&gt;このまま日本語にすると「離して置く」となるが、この語の核は「ごちゃごちゃしたものをそれぞれ離して整理し、あるべき位置へ置く」イメージ。
&lt;span class="spacer"&gt;&lt;/span&gt;不要なもの・問題などを整理して、それがあるべき場所へ置くことから「処分する」という意味になる。
&lt;span class="spacer"&gt;&lt;/span&gt;また相手の気持ちを整理して進むべき方向へ置くことから「何かをする気にさせる」となる。
&lt;span class="spacer"&gt;&lt;/span&gt;dispose 人 to do
人 be disposed to do
&lt;div class="sample_image dispose"&gt;&lt;/div&gt;&lt;/span&gt;</v>
      </c>
      <c r="V437" s="14" t="str">
        <f>INDEX($L:$L, MATCH("compose", $B:$B, 0))</f>
        <v>&lt;span class="w"&gt;&lt;b&gt;【833.compose：～を構成する, ～を創作する】&lt;/b&gt;&lt;/span&gt;
&lt;span class="ml"&gt;ラテン語に由来する語で、以下の2つの要素から成る。
&lt;span class="spacer"&gt;&lt;/span&gt;com（共に）
ponere（置く）
&lt;span class="spacer"&gt;&lt;/span&gt;このまま日本語にすると「共に置く」となる。2つ以上のものを一緒に置いて全体を形作ることから、構成要素となって全体を作り上げる＝「構成する, 創作する」という意味になる。
&lt;div class="sample_image compose"&gt;&lt;/div&gt;&lt;/span&gt;</v>
      </c>
      <c r="W437" s="14" t="str">
        <f>INDEX($L:$L, MATCH("suppose", $B:$B, 0))</f>
        <v>&lt;span class="w"&gt;&lt;b&gt;【121.suppose：～と仮定する, と思う】&lt;/b&gt;&lt;/span&gt;
&lt;span class="ml"&gt;ラテン語に由来する語で、以下の2つの要素から成る。
&lt;span class="spacer"&gt;&lt;/span&gt;sub（下に）
ponere（置く）
&lt;span class="spacer"&gt;&lt;/span&gt;このまま日本語にすると「下に置く」となる。思考において、何かを既にあるものとして土台に置くイメージから、何かを前提として置く＝「仮定する」という意味になる。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&lt;div class="sample_image suppose"&gt;&lt;/div&gt;
&lt;span class="spacer"&gt;&lt;/span&gt;supposeを「前提に置く」というイメージで覚えておけば、be supposed to do A（Aすることになっている）は、要は「Aするということが前提として置かれている」だけだと理解できる。&lt;/span&gt;</v>
      </c>
      <c r="X437" s="14" t="str">
        <f>INDEX($L:$L, MATCH("positive", $B:$B, 0))</f>
        <v>&lt;span class="w"&gt;&lt;b&gt;【179.positive：肯定的な, 確信して, （検査で）陽性の】&lt;/b&gt;&lt;/span&gt;
&lt;span class="ml"&gt;ラテン語に由来する語で、以下の2つの要素から成る。
&lt;span class="spacer"&gt;&lt;/span&gt;ponere（置く）の過去分詞positus（置かれる）
ivus（形容詞化）
&lt;span class="spacer"&gt;&lt;/span&gt;もともとは法律用語。法や権威あるものによって置かれる、つまり法や権威によって定められて否定のしようがないという意味で使われた。ここから「肯定的な, 確信して, 陽性の」という意味になる。&lt;/span&gt;</v>
      </c>
      <c r="Y437" s="14" t="str">
        <f>INDEX($L:$L, MATCH("deposit", $B:$B, 0))</f>
        <v>&lt;span class="w"&gt;&lt;b&gt;【1315.deposit：〜を置く, 〜を預ける】&lt;/b&gt;&lt;/span&gt;
&lt;span class="ml"&gt;ラテン語に由来する語で、以下の2つの要素から成る。
&lt;span class="spacer"&gt;&lt;/span&gt;de（離れて, 下に）
ponere（置く）
&lt;span class="spacer"&gt;&lt;/span&gt;このまま日本語にすると「離れて置く, 下に置く」となる。物理的に何かを「置く」という意味もあるが、金銭や貴重品を離れた場所に「預ける」という意味にもなる。
&lt;span class="spacer"&gt;&lt;/span&gt;depositのposit部分は、positionと同じなので、そこから「置く」というイメージ持っておくとよい。
&lt;div class="sample_image deposit"&gt;&lt;/div&gt;&lt;/span&gt;</v>
      </c>
      <c r="Z437" s="14" t="str">
        <f>INDEX($L:$L, MATCH("compound", $B:$B, 0))</f>
        <v>&lt;span class="w"&gt;&lt;b&gt;【1129.compound：〜を悪化させる, 〜を合成する, 〜を混合する】&lt;/b&gt;&lt;/span&gt;
&lt;span class="ml"&gt;ラテン語に由来する語で、以下の2つの要素から成る。
&lt;span class="spacer"&gt;&lt;/span&gt;com（共に）
ponere（置く）
&lt;span class="spacer"&gt;&lt;/span&gt;このまま日本語にすると「共に置く」となる。複数のものを一緒にすることから、何かを「合成する, 混合する, 調合する」といった意味になる。さらに、問題や困難などがどんどん一緒に置かれて積もっていくことから、状況や問題などを「悪化させる」という意味にもなる。
&lt;div class="sample_image compound"&gt;&lt;/div&gt;&lt;/span&gt;</v>
      </c>
      <c r="AA437" s="14" t="str">
        <f>INDEX($L:$L, MATCH("postpone", $B:$B, 0))</f>
        <v>&lt;span class="w"&gt;&lt;b&gt;【1134.postpone：〜を延期する】&lt;/b&gt;&lt;/span&gt;
&lt;span class="ml"&gt;ラテン語に由来する語で、以下の2つの要素から成る。
&lt;span class="spacer"&gt;&lt;/span&gt;post（後に）
ponere（置く）
&lt;span class="spacer"&gt;&lt;/span&gt;このまま日本語にすると「後に置く」となる。予定や物事を時間的に後に置くことから「延期する」という意味になる。&lt;/span&gt;
&lt;div class="animation postpone"&gt;&lt;/div&gt;</v>
      </c>
      <c r="AB437" s="14" t="str">
        <f>INDEX($L:$L, MATCH("component", $B:$B, 0))</f>
        <v>&lt;span class="w"&gt;&lt;b&gt;【677.component：構成要素, 部品】&lt;/b&gt;&lt;/span&gt;
&lt;span class="ml"&gt;ラテン語に由来する語で、以下の2つの要素から成る。
&lt;span class="spacer"&gt;&lt;/span&gt;com（共に）
ponere（置く）
&lt;span class="spacer"&gt;&lt;/span&gt;このまま日本語にすると「共に置く」となる。いくつかの部分を一緒に置くことで全体が構成されることから、全体の「構成要素, 部品」という意味になる。
&lt;div class="sample_image component"&gt;&lt;/div&gt;&lt;/span&gt;</v>
      </c>
      <c r="AC437" s="14" t="str">
        <f>INDEX($L:$L, MATCH("opponent", $B:$B, 0))</f>
        <v>&lt;span class="w"&gt;&lt;b&gt;【762.opponent：（試合や論争などの）相手, 反対者】&lt;/b&gt;&lt;/span&gt;
&lt;span class="ml"&gt;ラテン語に由来する語で、以下の3つの要素から成る。
&lt;span class="spacer"&gt;&lt;/span&gt;ob（前に, 対して）
ponere（置く）
ens（現在分詞を作る：〜しているもの）
&lt;span class="spacer"&gt;&lt;/span&gt;この語の核は「何かに対立する位置に置いてあるもの」。ここから「対戦相手, 反対者」という意味になる。
&lt;div class="sample_image opponent"&gt;&lt;/div&gt;&lt;/span&gt;</v>
      </c>
      <c r="AD437" s="14" t="str">
        <f>INDEX($L:$L, MATCH("posture", $B:$B, 0))</f>
        <v>&lt;span class="w"&gt;&lt;b&gt;【1451.posture：姿勢, 心構え】&lt;/b&gt;&lt;/span&gt;
&lt;span class="ml"&gt;ラテン語に由来する語で、以下の2つの要素から成る。
&lt;span class="spacer"&gt;&lt;/span&gt;ponere（置く）の過去分詞positus
ura（名詞化）
&lt;span class="spacer"&gt;&lt;/span&gt;このまま日本語にすると「置かれた状態」となる。これは何かの位置や配置を表したが、特に身体の各パーツの位置を指すようになり、そこから身体のポジション＝「姿勢」という意味になった。
&lt;span class="spacer"&gt;&lt;/span&gt;さらにそこから比喩的に、状況に対する心理的な姿勢＝「心構え」という意味にもなった。&lt;/span&gt;</v>
      </c>
      <c r="AE437" s="14" t="str">
        <f>INDEX($L:$L, MATCH("puzzle", $B:$B, 0))</f>
        <v>&lt;span class="w"&gt;&lt;b&gt;【624.puzzle：〜を当惑させる, 〜を困惑させる】&lt;/b&gt;&lt;/span&gt;
&lt;span class="ml"&gt;近代英語pose（難しい問題や質問で当惑させる）にさかのぼる。
&lt;span class="spacer"&gt;&lt;/span&gt;この語はパズルのように「頭に引っかかって前に進めない状態にする」というイメージ。ここから「当惑させる, 困惑させる」という意味になる。
&lt;span class="spacer"&gt;&lt;/span&gt;もともとはposeという形だったが、反復・継続を表すpuzzleという形になった。これにより困惑や当惑が反復・継続している状態、つまり頭の中がぐるぐる回るような状態を表した。&lt;/span&gt;</v>
      </c>
      <c r="AF437" s="15"/>
      <c r="AG437" s="15"/>
      <c r="AU437" s="15"/>
      <c r="AV437" s="1" t="s">
        <v>1502</v>
      </c>
      <c r="BG437" s="7" t="s">
        <v>1503</v>
      </c>
      <c r="BH437" s="1" t="s">
        <v>1947</v>
      </c>
      <c r="BI437" s="2" t="s">
        <v>3303</v>
      </c>
      <c r="BJ437" s="1" t="s">
        <v>1959</v>
      </c>
      <c r="BK437" s="2" t="s">
        <v>3368</v>
      </c>
      <c r="BL437" s="1" t="s">
        <v>1875</v>
      </c>
      <c r="BM437" s="2" t="s">
        <v>3304</v>
      </c>
      <c r="BN437" s="1" t="s">
        <v>1877</v>
      </c>
      <c r="BO437" s="2" t="s">
        <v>3305</v>
      </c>
    </row>
    <row r="438" spans="1:67" ht="90" x14ac:dyDescent="0.45">
      <c r="A438" s="5">
        <v>437</v>
      </c>
      <c r="B438" s="8" t="s">
        <v>289</v>
      </c>
      <c r="C438" s="6" t="s">
        <v>1816</v>
      </c>
      <c r="D438" s="7" t="s">
        <v>9752</v>
      </c>
      <c r="E438" s="1" t="s">
        <v>289</v>
      </c>
      <c r="F438" s="1"/>
      <c r="G438" s="1"/>
      <c r="J438" s="1" t="s">
        <v>9753</v>
      </c>
      <c r="K438" s="2" t="s">
        <v>1646</v>
      </c>
      <c r="L438" s="9" t="s">
        <v>8336</v>
      </c>
      <c r="P438" s="7" t="s">
        <v>1241</v>
      </c>
      <c r="AV438" s="1" t="s">
        <v>1502</v>
      </c>
      <c r="BG438" s="7" t="s">
        <v>1503</v>
      </c>
      <c r="BH438" s="1" t="s">
        <v>1959</v>
      </c>
      <c r="BI438" s="1" t="s">
        <v>3306</v>
      </c>
      <c r="BJ438" s="1" t="s">
        <v>2114</v>
      </c>
      <c r="BK438" s="1" t="s">
        <v>3307</v>
      </c>
      <c r="BL438" s="1" t="s">
        <v>1875</v>
      </c>
      <c r="BM438" s="2" t="s">
        <v>3308</v>
      </c>
      <c r="BN438" s="1" t="s">
        <v>1877</v>
      </c>
      <c r="BO438" s="2" t="s">
        <v>3309</v>
      </c>
    </row>
    <row r="439" spans="1:67" ht="72" x14ac:dyDescent="0.45">
      <c r="A439" s="5">
        <v>438</v>
      </c>
      <c r="B439" s="8" t="s">
        <v>290</v>
      </c>
      <c r="C439" s="6" t="s">
        <v>1816</v>
      </c>
      <c r="D439" s="7" t="s">
        <v>9752</v>
      </c>
      <c r="E439" s="6" t="s">
        <v>290</v>
      </c>
      <c r="F439" s="1"/>
      <c r="G439" s="1"/>
      <c r="J439" s="1" t="s">
        <v>9753</v>
      </c>
      <c r="K439" s="2" t="s">
        <v>7740</v>
      </c>
      <c r="L439" s="9" t="s">
        <v>8337</v>
      </c>
      <c r="P439" s="7" t="s">
        <v>1241</v>
      </c>
      <c r="AV439" s="1" t="s">
        <v>1502</v>
      </c>
      <c r="BG439" s="7" t="s">
        <v>1503</v>
      </c>
      <c r="BH439" s="1" t="s">
        <v>1872</v>
      </c>
      <c r="BI439" s="1" t="s">
        <v>3310</v>
      </c>
      <c r="BJ439" s="1" t="s">
        <v>1875</v>
      </c>
      <c r="BK439" s="2" t="s">
        <v>3311</v>
      </c>
    </row>
    <row r="440" spans="1:67" ht="409.6" x14ac:dyDescent="0.45">
      <c r="A440" s="5">
        <v>439</v>
      </c>
      <c r="B440" s="8" t="s">
        <v>1647</v>
      </c>
      <c r="C440" s="6" t="s">
        <v>1816</v>
      </c>
      <c r="D440" s="7" t="s">
        <v>9752</v>
      </c>
      <c r="E440" s="1" t="s">
        <v>1251</v>
      </c>
      <c r="F440" s="1" t="s">
        <v>8949</v>
      </c>
      <c r="G440" s="1"/>
      <c r="J440" s="1" t="s">
        <v>9753</v>
      </c>
      <c r="K440" s="2" t="s">
        <v>7741</v>
      </c>
      <c r="L440" s="4" t="s">
        <v>8338</v>
      </c>
      <c r="P440" s="7" t="s">
        <v>1241</v>
      </c>
      <c r="Q440" s="14" t="str">
        <f>INDEX($L:$L, MATCH("prepare", $B:$B, 0))</f>
        <v>&lt;span class="w"&gt;&lt;b&gt;【116.prepare：～を準備する】&lt;/b&gt;&lt;/span&gt;
&lt;span class="ml"&gt;ラテン語に由来する語で、以下の2つの要素から成る。
&lt;span class="spacer"&gt;&lt;/span&gt;prae（前に）
parare（整える, 用意する）
&lt;span class="spacer"&gt;&lt;/span&gt;このまま日本語にすると「前に整える」となる。つまり前もって（あらかじめ）整えておくことから「準備する」という意味になる。&lt;/span&gt;</v>
      </c>
      <c r="R440" s="14" t="str">
        <f>INDEX($L:$L, MATCH("imperial", $B:$B, 0))</f>
        <v>&lt;span class="w"&gt;&lt;b&gt;【1394.imperial：帝国の, 皇帝の】&lt;/b&gt;&lt;/span&gt;
&lt;span class="ml"&gt;ラテン語に由来する語で、以下の3つの要素から成る。
&lt;span class="spacer"&gt;&lt;/span&gt;in（〜に向けて）
parare（準備する, 整える）
ium（名詞化）
alis（形容詞化）
&lt;span class="spacer"&gt;&lt;/span&gt;ラテン語inとperareから、対象に何かを準備させる、つまり何かを命じるという行為を表すようになった。
&lt;span class="spacer"&gt;&lt;/span&gt;そしてそこに名詞を作るiumが付いて、絶対的な命令権や、その命令権を持つ皇帝、命令が及ぶ帝国を表すようになった。
&lt;span class="spacer"&gt;&lt;/span&gt;さらにこれが形容詞化して「帝国の, 皇帝の」という意味になった。
&lt;span class="spacer"&gt;&lt;/span&gt;皇帝のことを英語でemperor（エンペラー）と言うが、これはimperialと全く同じ語源に由来する（ラテン語imparare）。emperorは、英語に入るまでに経由したフランス語の音声変化によって、最初の音と文字がeになった。一方でimperialは、ラテン語の音と文字を保持していたので、最初の文字がiになっている。&lt;/span&gt;</v>
      </c>
      <c r="S440" s="15"/>
      <c r="AU440" s="15"/>
      <c r="AV440" s="1" t="s">
        <v>1502</v>
      </c>
      <c r="BG440" s="7" t="s">
        <v>1503</v>
      </c>
      <c r="BH440" s="1" t="s">
        <v>1947</v>
      </c>
      <c r="BI440" s="2" t="s">
        <v>3312</v>
      </c>
      <c r="BJ440" s="1" t="s">
        <v>1959</v>
      </c>
      <c r="BK440" s="1" t="s">
        <v>3313</v>
      </c>
      <c r="BL440" s="1" t="s">
        <v>1875</v>
      </c>
      <c r="BM440" s="2" t="s">
        <v>3314</v>
      </c>
    </row>
    <row r="441" spans="1:67" ht="216" x14ac:dyDescent="0.45">
      <c r="A441" s="5">
        <v>440</v>
      </c>
      <c r="B441" s="8" t="s">
        <v>1648</v>
      </c>
      <c r="C441" s="6" t="s">
        <v>1816</v>
      </c>
      <c r="D441" s="7" t="s">
        <v>9752</v>
      </c>
      <c r="E441" s="1" t="s">
        <v>46</v>
      </c>
      <c r="F441" s="1" t="s">
        <v>4275</v>
      </c>
      <c r="G441" s="1"/>
      <c r="J441" s="1" t="s">
        <v>9753</v>
      </c>
      <c r="K441" s="2" t="s">
        <v>7742</v>
      </c>
      <c r="L441" s="4" t="s">
        <v>11727</v>
      </c>
      <c r="M441" s="1" t="s">
        <v>12126</v>
      </c>
      <c r="P441" s="7" t="s">
        <v>1241</v>
      </c>
      <c r="Q441" s="14" t="str">
        <f>INDEX($L:$L, MATCH("exist", $B:$B, 0))</f>
        <v>&lt;span class="w"&gt;&lt;b&gt;【33.exist：存在する】&lt;/b&gt;&lt;/span&gt;
&lt;span class="ml"&gt;ラテン語に由来する語で、以下の2つの要素から成る。
&lt;span class="spacer"&gt;&lt;/span&gt;ex（外に）
sistere（立たせる）
&lt;span class="spacer"&gt;&lt;/span&gt;このまま日本語にすると「外側に立たせる」となる。見えないところから外側に出て立たせる。その結果、目の前に現れて「存在する」という意味になる。
&lt;div class="sample_image exist"&gt;&lt;/div&gt;&lt;/span&gt;</v>
      </c>
      <c r="R441" s="14" t="str">
        <f>INDEX($L:$L, MATCH("resist", $B:$B, 0))</f>
        <v>&lt;span class="w"&gt;&lt;b&gt;【727.resist：〜に抵抗する】&lt;/b&gt;&lt;/span&gt;
&lt;span class="ml"&gt;ラテン語に由来する語で、以下の2つの要素から成る。
&lt;span class="spacer"&gt;&lt;/span&gt;re（対して）
sistere（立たせる）
&lt;span class="spacer"&gt;&lt;/span&gt;このまま日本語にすると「何かに対して立たせる」となる。これは、向かってくる力に対して立ち向かうというイメージで、そこから「抵抗する」という意味になる。
&lt;div class="sample_image resist"&gt;&lt;/div&gt;&lt;/span&gt;</v>
      </c>
      <c r="S441" s="14" t="str">
        <f>INDEX($L:$L, MATCH("assist", $B:$B, 0))</f>
        <v>&lt;span class="w"&gt;&lt;b&gt;【730.assist：〜を援助する, 〜を手伝う】&lt;/b&gt;&lt;/span&gt;
&lt;span class="ml"&gt;ラテン語に由来する語で、以下の2つの要素から成る。
&lt;span class="spacer"&gt;&lt;/span&gt;ad（〜へ）
sistere（立たせる）
&lt;span class="spacer"&gt;&lt;/span&gt;このまま日本語にすると「〜のそばへ立たせる」となる。これは、物理的に相手の隣に立つということから、相手を支える＝「手伝う, 支援する」という意味になった。&lt;/span&gt;</v>
      </c>
      <c r="T441" s="14" t="str">
        <f>INDEX($L:$L, MATCH("persist", $B:$B, 0))</f>
        <v>&lt;span class="w"&gt;&lt;b&gt;【1038.persist：続く, 固執する】&lt;/b&gt;&lt;/span&gt;
&lt;span class="ml"&gt;ラテン語に由来する語で、以下の2つの要素から成る。
&lt;span class="spacer"&gt;&lt;/span&gt;per（完全に）
sistere（立つ）
&lt;span class="spacer"&gt;&lt;/span&gt;このまま日本語にすると「完全に立つ」となる。何があっても立ち続け、その場から動かないイメージから、その状態や行動が「続く」、何かに「固執する」という意味になる。
&lt;div class="sample_image persist"&gt;&lt;/div&gt;&lt;/span&gt;</v>
      </c>
      <c r="U441" s="13" t="str">
        <f>INDEX($L:$L, MATCH("insist", $B:$B, 0))</f>
        <v>&lt;span class="w"&gt;&lt;b&gt;【427.insist：主張する】&lt;/b&gt;&lt;/span&gt;
&lt;span class="ml"&gt;ラテン語に由来する語で、以下の2つの要素から成る。
&lt;span class="spacer"&gt;&lt;/span&gt;in（中に, 上に）
sistere（立たせる）
&lt;span class="spacer"&gt;&lt;/span&gt;このまま日本語にすると「上に立たせる」となる。これは、ある場所や立場にしっかり立たせるイメージ。そこから、自分の立場にしっかり立って動かないことを表し、「強く主張する」という意味になる。
&lt;div class="sample_image insist"&gt;&lt;/div&gt;&lt;/span&gt;</v>
      </c>
      <c r="AU441" s="15"/>
      <c r="AV441" s="1" t="s">
        <v>1502</v>
      </c>
      <c r="BG441" s="7" t="s">
        <v>1503</v>
      </c>
      <c r="BH441" s="1" t="s">
        <v>1947</v>
      </c>
      <c r="BI441" s="2" t="s">
        <v>3315</v>
      </c>
      <c r="BJ441" s="1" t="s">
        <v>1959</v>
      </c>
      <c r="BK441" s="1" t="s">
        <v>3316</v>
      </c>
      <c r="BL441" s="1" t="s">
        <v>1877</v>
      </c>
      <c r="BM441" s="2" t="s">
        <v>3317</v>
      </c>
    </row>
    <row r="442" spans="1:67" ht="162" x14ac:dyDescent="0.45">
      <c r="A442" s="5">
        <v>441</v>
      </c>
      <c r="B442" s="8" t="s">
        <v>291</v>
      </c>
      <c r="C442" s="6" t="s">
        <v>6850</v>
      </c>
      <c r="D442" s="7" t="s">
        <v>9752</v>
      </c>
      <c r="E442" s="1" t="s">
        <v>1467</v>
      </c>
      <c r="F442" s="1" t="s">
        <v>1517</v>
      </c>
      <c r="G442" s="1"/>
      <c r="J442" s="1" t="s">
        <v>9753</v>
      </c>
      <c r="K442" s="2" t="s">
        <v>7743</v>
      </c>
      <c r="L442" s="4" t="s">
        <v>8339</v>
      </c>
      <c r="M442" s="1" t="s">
        <v>12156</v>
      </c>
      <c r="P442" s="7" t="s">
        <v>1241</v>
      </c>
      <c r="Q442" s="14" t="str">
        <f>INDEX($L:$L, MATCH("mention", $B:$B, 0))</f>
        <v>&lt;span class="w"&gt;&lt;b&gt;【128.mention：～に言及する, ～と言う】&lt;/b&gt;&lt;/span&gt;
&lt;span class="ml"&gt;ラテン語mens（心, 知性）に関連するminisci（思い出す, 考える）に由来する。
&lt;span class="spacer"&gt;&lt;/span&gt;何かを思い出したり考えたりして、それを言葉にすることから「言及する, 言う」という意味になる。&lt;/span&gt;</v>
      </c>
      <c r="R442" s="14" t="str">
        <f>INDEX($L:$L, MATCH("mental", $B:$B, 0))</f>
        <v>&lt;span class="w"&gt;&lt;b&gt;【183.mental：精神の, 頭の中で行う】&lt;/b&gt;&lt;/span&gt;
&lt;span class="ml"&gt;ラテン語に由来する語で、以下の2つの要素から成る。
&lt;span class="spacer"&gt;&lt;/span&gt;mens（心）
alis（形容詞化）
&lt;span class="spacer"&gt;&lt;/span&gt;ラテン語から意味の変化はほとんどなく「心の, 精神の, 頭の中で行う」という意味になる。&lt;/span&gt;</v>
      </c>
      <c r="S442" s="13" t="str">
        <f>INDEX($L:$L, MATCH("dementia", $B:$B, 0))</f>
        <v>&lt;span class="w"&gt;&lt;b&gt;【1064.dementia：認知症】&lt;/b&gt;&lt;/span&gt;
&lt;span class="ml"&gt;ラテン語に由来する語で、以下の3つの要素から成る。
&lt;span class="spacer"&gt;&lt;/span&gt;de（〜から離れて）
mens（心）
ia（名詞化）
&lt;span class="spacer"&gt;&lt;/span&gt;この語の核は「心があるべきところから離れている」。もともとは正気を失っている様子を表したが、そこから医学において、精神機能が極めて低い状態や精神的な能力が欠如した状態である「認知症」という意味になった。
&lt;span class="spacer"&gt;&lt;/span&gt;1800年代の人々は、「認知症」のことを心や精神が失われた状態、精神の病だと考えていたことがわかる。
&lt;div class="sample_image dementia"&gt;&lt;/div&gt;&lt;/span&gt;</v>
      </c>
      <c r="T442" s="13" t="str">
        <f>INDEX($L:$L, MATCH("remind", $B:$B, 0))</f>
        <v>&lt;span class="w"&gt;&lt;b&gt;【416.remind：〜に思い出させる】&lt;/b&gt;&lt;/span&gt;
&lt;span class="ml"&gt;近代英語にさかのぼり、以下の2つの要素から成る。
&lt;span class="spacer"&gt;&lt;/span&gt;re（再び）
mind（心にとめる）
&lt;span class="spacer"&gt;&lt;/span&gt;このまま日本語にすると「再び心にとめる」となる。誰かに対してもう一度心にとめさせることから、「思い出させる」という意味になる。&lt;/span&gt;</v>
      </c>
      <c r="U442" s="13" t="str">
        <f>INDEX($L:$L, MATCH("monument", $B:$B, 0))</f>
        <v>&lt;span class="w"&gt;&lt;b&gt;【1277.monument：記念碑, 遺跡, 金字塔】&lt;/b&gt;&lt;/span&gt;
&lt;span class="ml"&gt;ラテン語に由来する語で、以下の2つの要素から成る。
&lt;span class="spacer"&gt;&lt;/span&gt;monere（思い出させる）
mentum（名詞化）
&lt;span class="spacer"&gt;&lt;/span&gt;この語の核は「人や出来事を思い出させるもの」。そこから、亡くなった人を思い出させるための墓や霊廟、または特定の人物や出来事を記念して建てられた像といった「記念碑, 遺跡」という意味になった。
&lt;span class="spacer"&gt;&lt;/span&gt;また物理的な建造物だけではなく比喩的に、後世に長く語り継がれるべき偉大な業績や不朽の名作を表す「金字塔」という意味でも使われる。
&lt;div class="sample_image monument"&gt;&lt;/div&gt;&lt;/span&gt;</v>
      </c>
      <c r="V442" s="13" t="str">
        <f>INDEX($L:$L, MATCH("monitor", $B:$B, 0))</f>
        <v>&lt;span class="w"&gt;&lt;b&gt;【636.monitor：〜を監視する】&lt;/b&gt;&lt;/span&gt;
&lt;span class="ml"&gt;ラテン語に由来する語で、以下の2つの要素から成る。
&lt;span class="spacer"&gt;&lt;/span&gt;monere（思い出させる, 警告する）
or（〜するもの）
&lt;span class="spacer"&gt;&lt;/span&gt;このまま日本語にすると「警告するもの」となる。これは、問題がないか目を光らせるイメージで。そこから、何かを「監視する」という意味になる。&lt;/span&gt;</v>
      </c>
      <c r="AU442" s="15"/>
      <c r="AV442" s="1" t="s">
        <v>1502</v>
      </c>
      <c r="BG442" s="7" t="s">
        <v>1503</v>
      </c>
      <c r="BH442" s="1" t="s">
        <v>1947</v>
      </c>
      <c r="BI442" s="2" t="s">
        <v>7744</v>
      </c>
      <c r="BJ442" s="1" t="s">
        <v>2036</v>
      </c>
      <c r="BK442" s="1" t="s">
        <v>3318</v>
      </c>
      <c r="BL442" s="1" t="s">
        <v>1959</v>
      </c>
      <c r="BM442" s="2" t="s">
        <v>3319</v>
      </c>
      <c r="BN442" s="1" t="s">
        <v>1875</v>
      </c>
      <c r="BO442" s="2" t="s">
        <v>3320</v>
      </c>
    </row>
    <row r="443" spans="1:67" ht="234" x14ac:dyDescent="0.45">
      <c r="A443" s="5">
        <v>442</v>
      </c>
      <c r="B443" s="8" t="s">
        <v>1649</v>
      </c>
      <c r="C443" s="6" t="s">
        <v>6850</v>
      </c>
      <c r="D443" s="7" t="s">
        <v>9752</v>
      </c>
      <c r="E443" s="1" t="s">
        <v>27</v>
      </c>
      <c r="F443" s="1" t="s">
        <v>7745</v>
      </c>
      <c r="G443" s="1" t="s">
        <v>1584</v>
      </c>
      <c r="J443" s="1" t="s">
        <v>9753</v>
      </c>
      <c r="K443" s="2" t="s">
        <v>7746</v>
      </c>
      <c r="L443" s="4" t="s">
        <v>8340</v>
      </c>
      <c r="M443" s="1" t="s">
        <v>12162</v>
      </c>
      <c r="P443" s="7" t="s">
        <v>1241</v>
      </c>
      <c r="Q443" s="14" t="str">
        <f>INDEX($L:$L, MATCH("structure", $B:$B, 0))</f>
        <v>&lt;span class="w"&gt;&lt;b&gt;【175.structure：構造, 体系, 構造物】&lt;/b&gt;&lt;/span&gt;
&lt;span class="ml"&gt;ラテン語に由来する語で、以下の2つの要素から成る。
&lt;span class="spacer"&gt;&lt;/span&gt;struere（積み上げる）の過去分詞structus
ura（名詞化）
&lt;span class="spacer"&gt;&lt;/span&gt;このまま日本語にすると「積み上げられたもの」となる。ここから「構造物, 構造, 体系」といった意味になる。
&lt;div class="sample_image structure"&gt;&lt;/div&gt;&lt;/span&gt;</v>
      </c>
      <c r="R443" s="14" t="str">
        <f>INDEX($L:$L, MATCH("infrastructure", $B:$B, 0))</f>
        <v>&lt;span class="w"&gt;&lt;b&gt;【1046.infrastructure：インフラ, 基本的施設, 基盤】&lt;/b&gt;&lt;/span&gt;
&lt;span class="ml"&gt;フランス語に由来する語で、以下の2つの要素から成る。
&lt;span class="spacer"&gt;&lt;/span&gt;infra（下の）
structure（構造）
&lt;span class="spacer"&gt;&lt;/span&gt;このまま日本語にすると「下にある構造」となる。そこから物事の支えとなる「基盤」や、社会や経済に必要な「基本的施設」という意味になった。これらを「インフラ」と呼ぶ。&lt;/span&gt;</v>
      </c>
      <c r="S443" s="14" t="str">
        <f>INDEX($L:$L, MATCH("construct", $B:$B, 0))</f>
        <v>&lt;span class="w"&gt;&lt;b&gt;【520.construct：〜を建設する, 〜を構成する】&lt;/b&gt;&lt;/span&gt;
&lt;span class="ml"&gt;ラテン語に由来する語で、以下の2つの要素から成る。
&lt;span class="spacer"&gt;&lt;/span&gt;com（共に）
struere（積み上げる）
&lt;span class="spacer"&gt;&lt;/span&gt;このまま日本語にすると「共に積み上げる」となる。パーツを一緒にして積み上げるイメージから「建設する, 構成する」という意味になる。
&lt;div class="sample_image construct"&gt;&lt;/div&gt;&lt;/span&gt;</v>
      </c>
      <c r="T443" s="14" t="str">
        <f>INDEX($L:$L, MATCH("instrument", $B:$B, 0))</f>
        <v>&lt;span class="w"&gt;&lt;b&gt;【449.instrument：器具, 道具,  楽器】&lt;/b&gt;&lt;/span&gt;
&lt;span class="ml"&gt;ラテン語に由来する語で、以下の3つの要素から成る。
&lt;span class="spacer"&gt;&lt;/span&gt;in（中に）
struere（積み上げる）
mentum（名詞化）
&lt;span class="spacer"&gt;&lt;/span&gt;このまま日本語にすると「中に積み上げるもの」となる。これは、何かを秩序立てて築き上げるための手段というイメージ。そこから、何かを作り上げる・目的を達成するため手段＝「器具, 道具」という意味になり、音楽を作り上げるためのものなら「楽器」という意味になる。
&lt;div class="sample_image instrument"&gt;&lt;/div&gt;&lt;/span&gt;</v>
      </c>
      <c r="U443" s="13" t="str">
        <f>INDEX($L:$L, MATCH("industry", $B:$B, 0))</f>
        <v>&lt;span class="w"&gt;&lt;b&gt;【143.industry：産業, 勤勉】&lt;/b&gt;&lt;/span&gt;
&lt;span class="ml"&gt;ラテン語に由来する語で、以下の2つの要素から成る。
&lt;span class="spacer"&gt;&lt;/span&gt;indu（中に）
struere（積み上げる, 築く）
&lt;span class="spacer"&gt;&lt;/span&gt;このまま日本語にすると「中に積み上げる」となる。コツコツと努力して積み上げていくイメージから「勤勉」という意味になる。そして「勤勉」から勤勉な労働、仕事、仕事の分野と広がっていき、「産業」という意味になる。&lt;/span&gt;</v>
      </c>
      <c r="V443" s="13" t="str">
        <f>INDEX($L:$L, MATCH("destroy", $B:$B, 0))</f>
        <v>&lt;span class="w"&gt;&lt;b&gt;【326.destroy：～を破壊する】&lt;/b&gt;&lt;/span&gt;
&lt;span class="ml"&gt;ラテン語に由来する語で、以下の2つの要素から成る。
&lt;span class="spacer"&gt;&lt;/span&gt;de（下へ, 反対）
struere（積み上げる, 築く）
&lt;span class="spacer"&gt;&lt;/span&gt;これは積み上げるの反対なので、積み上げられたものを「破壊する」という意味になる。&lt;/span&gt;</v>
      </c>
      <c r="AU443" s="15"/>
      <c r="AV443" s="1" t="s">
        <v>1502</v>
      </c>
      <c r="BG443" s="7" t="s">
        <v>1503</v>
      </c>
      <c r="BH443" s="1" t="s">
        <v>1947</v>
      </c>
      <c r="BI443" s="2" t="s">
        <v>3321</v>
      </c>
      <c r="BJ443" s="1" t="s">
        <v>2036</v>
      </c>
      <c r="BK443" s="2" t="s">
        <v>3322</v>
      </c>
      <c r="BL443" s="1" t="s">
        <v>1959</v>
      </c>
      <c r="BM443" s="1" t="s">
        <v>3323</v>
      </c>
      <c r="BN443" s="1" t="s">
        <v>1875</v>
      </c>
      <c r="BO443" s="2" t="s">
        <v>3324</v>
      </c>
    </row>
    <row r="444" spans="1:67" ht="234" x14ac:dyDescent="0.45">
      <c r="A444" s="5">
        <v>443</v>
      </c>
      <c r="B444" s="8" t="s">
        <v>1650</v>
      </c>
      <c r="C444" s="6" t="s">
        <v>6850</v>
      </c>
      <c r="D444" s="7" t="s">
        <v>9752</v>
      </c>
      <c r="E444" s="1" t="s">
        <v>1251</v>
      </c>
      <c r="F444" s="1" t="s">
        <v>8950</v>
      </c>
      <c r="G444" s="1" t="s">
        <v>1584</v>
      </c>
      <c r="J444" s="1" t="s">
        <v>9753</v>
      </c>
      <c r="K444" s="2" t="s">
        <v>7747</v>
      </c>
      <c r="L444" s="3" t="s">
        <v>8341</v>
      </c>
      <c r="P444" s="7" t="s">
        <v>1241</v>
      </c>
      <c r="Q444" s="14" t="str">
        <f>INDEX($L:$L, MATCH("rely", $B:$B, 0))</f>
        <v>&lt;span class="w"&gt;&lt;b&gt;【311.rely：頼る】&lt;/b&gt;&lt;/span&gt;
&lt;span class="ml"&gt;ラテン語に由来する語で、以下の2つの要素から成る。
&lt;span class="spacer"&gt;&lt;/span&gt;re（強意）
ligare（結ぶ）
&lt;span class="spacer"&gt;&lt;/span&gt;このまま日本語にすると「しっかりと結びつく」となる。対象に結びついていくイメージから対象に「頼る」という意味になる。
&lt;div class="sample_image rely"&gt;&lt;/div&gt;&lt;/span&gt;</v>
      </c>
      <c r="R444" s="14" t="str">
        <f>INDEX($L:$L, MATCH("league", $B:$B, 0))</f>
        <v>&lt;span class="w"&gt;&lt;b&gt;【759.league：（競技）連盟, 同盟】&lt;/b&gt;&lt;/span&gt;
&lt;span class="ml"&gt;ラテン語ligare（縛る）に由来する。
&lt;span class="spacer"&gt;&lt;/span&gt;この語の核は「結びついているもの」。そこから複数の団体や国が結びついている「連盟, 同盟」という意味になる。&lt;/span&gt;</v>
      </c>
      <c r="S444" s="14" t="str">
        <f>INDEX($L:$L, MATCH("oblige", $B:$B, 0))</f>
        <v>&lt;span class="w"&gt;&lt;b&gt;【1421.oblige：〜に義務付ける, 〜に恩恵を施す】&lt;/b&gt;&lt;/span&gt;
&lt;span class="ml"&gt;ラテン語に由来する語で、以下の2つの要素から成る。
&lt;span class="spacer"&gt;&lt;/span&gt;ob（〜に対して）
ligare（縛る, 結ぶ）
&lt;span class="spacer"&gt;&lt;/span&gt;このまま日本語にすると「何かに対して縛り付ける」となる。約束に縛り付けて、その約束を守る義務を課すことから、何かを「義務付ける」という意味になる。
&lt;span class="spacer"&gt;&lt;/span&gt;また相手の望むことに応じて、相手を恩義と結びつけることから、相手の望むことをして「恩恵を施す」という意味にもなる。
&lt;div class="sample_image oblige"&gt;&lt;/div&gt;&lt;/span&gt;</v>
      </c>
      <c r="T444" s="13" t="str">
        <f>INDEX($L:$L, MATCH("ally", $B:$B, 0))</f>
        <v>&lt;span class="w"&gt;&lt;b&gt;【1464.ally：同盟国, 援助者】&lt;/b&gt;&lt;/span&gt;
&lt;span class="ml"&gt;ラテン語に由来する語で、以下の2つの要素から成る。
&lt;span class="spacer"&gt;&lt;/span&gt;に由来する語で、以下の2つの要素から成る。
&lt;span class="spacer"&gt;&lt;/span&gt;ad（〜へ）
ligare（結ぶ, 縛る）
&lt;span class="spacer"&gt;&lt;/span&gt;この語の核は「何かへ結びつける」。中世では、結婚によってお互いの家を結びつけて政治的・経済的に強固にすることを表した。そこから婚姻関係による家同士の結びつきに限らず、国家間の同盟へと発展して「同盟国」という意味になった。
&lt;span class="spacer"&gt;&lt;/span&gt;また相手と結びついて助けるということから「援助者」という意味にもなった。
&lt;div class="sample_image ally"&gt;&lt;/div&gt;&lt;/span&gt;</v>
      </c>
      <c r="AU444" s="15"/>
      <c r="AV444" s="1" t="s">
        <v>1502</v>
      </c>
      <c r="BG444" s="7" t="s">
        <v>1503</v>
      </c>
      <c r="BH444" s="1" t="s">
        <v>1947</v>
      </c>
      <c r="BI444" s="2" t="s">
        <v>5078</v>
      </c>
      <c r="BJ444" s="1" t="s">
        <v>1959</v>
      </c>
      <c r="BK444" s="2" t="s">
        <v>3325</v>
      </c>
      <c r="BL444" s="1" t="s">
        <v>1875</v>
      </c>
      <c r="BM444" s="2" t="s">
        <v>3326</v>
      </c>
    </row>
    <row r="445" spans="1:67" ht="216" x14ac:dyDescent="0.45">
      <c r="A445" s="5">
        <v>444</v>
      </c>
      <c r="B445" s="8" t="s">
        <v>292</v>
      </c>
      <c r="C445" s="6" t="s">
        <v>6850</v>
      </c>
      <c r="D445" s="7" t="s">
        <v>9752</v>
      </c>
      <c r="E445" s="1" t="s">
        <v>1651</v>
      </c>
      <c r="F445" s="1" t="s">
        <v>1652</v>
      </c>
      <c r="G445" s="1" t="s">
        <v>1653</v>
      </c>
      <c r="J445" s="1" t="s">
        <v>9753</v>
      </c>
      <c r="K445" s="2" t="s">
        <v>7748</v>
      </c>
      <c r="L445" s="9" t="s">
        <v>8342</v>
      </c>
      <c r="P445" s="7" t="s">
        <v>1241</v>
      </c>
      <c r="AU445" s="15"/>
      <c r="AV445" s="1" t="s">
        <v>1502</v>
      </c>
      <c r="BG445" s="7" t="s">
        <v>1503</v>
      </c>
      <c r="BH445" s="1" t="s">
        <v>1872</v>
      </c>
      <c r="BI445" s="2" t="s">
        <v>3327</v>
      </c>
      <c r="BJ445" s="1" t="s">
        <v>1875</v>
      </c>
      <c r="BK445" s="2" t="s">
        <v>3328</v>
      </c>
      <c r="BL445" s="1" t="s">
        <v>1877</v>
      </c>
      <c r="BM445" s="2" t="s">
        <v>3329</v>
      </c>
    </row>
    <row r="446" spans="1:67" ht="126" x14ac:dyDescent="0.45">
      <c r="A446" s="5">
        <v>445</v>
      </c>
      <c r="B446" s="8" t="s">
        <v>293</v>
      </c>
      <c r="C446" s="6" t="s">
        <v>6850</v>
      </c>
      <c r="D446" s="7" t="s">
        <v>9752</v>
      </c>
      <c r="E446" s="6" t="s">
        <v>3330</v>
      </c>
      <c r="F446" s="1" t="s">
        <v>3331</v>
      </c>
      <c r="G446" s="1"/>
      <c r="J446" s="1" t="s">
        <v>9753</v>
      </c>
      <c r="K446" s="2" t="s">
        <v>7749</v>
      </c>
      <c r="L446" s="9" t="s">
        <v>8343</v>
      </c>
      <c r="P446" s="7" t="s">
        <v>1241</v>
      </c>
      <c r="Q446" s="15"/>
      <c r="AU446" s="15"/>
      <c r="AV446" s="1" t="s">
        <v>1502</v>
      </c>
      <c r="BG446" s="7" t="s">
        <v>1503</v>
      </c>
      <c r="BH446" s="1" t="s">
        <v>1947</v>
      </c>
      <c r="BI446" s="2" t="s">
        <v>7750</v>
      </c>
      <c r="BJ446" s="1" t="s">
        <v>1967</v>
      </c>
      <c r="BK446" s="2" t="s">
        <v>3332</v>
      </c>
      <c r="BL446" s="1" t="s">
        <v>1877</v>
      </c>
      <c r="BM446" s="2" t="s">
        <v>3333</v>
      </c>
    </row>
    <row r="447" spans="1:67" ht="270" x14ac:dyDescent="0.45">
      <c r="A447" s="5">
        <v>446</v>
      </c>
      <c r="B447" s="8" t="s">
        <v>1654</v>
      </c>
      <c r="C447" s="6" t="s">
        <v>6850</v>
      </c>
      <c r="D447" s="7" t="s">
        <v>9752</v>
      </c>
      <c r="E447" s="1" t="s">
        <v>1338</v>
      </c>
      <c r="F447" s="1" t="s">
        <v>8951</v>
      </c>
      <c r="G447" s="1"/>
      <c r="J447" s="1" t="s">
        <v>9753</v>
      </c>
      <c r="K447" s="2" t="s">
        <v>7751</v>
      </c>
      <c r="L447" s="4" t="s">
        <v>8344</v>
      </c>
      <c r="P447" s="7" t="s">
        <v>1241</v>
      </c>
      <c r="Q447" s="14" t="str">
        <f>INDEX($L:$L, MATCH("essential", $B:$B, 0))</f>
        <v>&lt;span class="w"&gt;&lt;b&gt;【186.essential：必要不可欠な, 本質的な】&lt;/b&gt;&lt;/span&gt;
&lt;span class="ml"&gt;ラテン語に由来する語で、以下の3つの要素から成る。
&lt;span class="spacer"&gt;&lt;/span&gt;esse（存在する）
ia（名詞化）
alis（形容詞化）
&lt;span class="spacer"&gt;&lt;/span&gt;このまま日本語にすると「存在することに関する」となる。ここで言う「存在に関する」とは、たとえば人を人として存在させているような「根本的な性質に関する」ということ。ここから「本質的な」という意味になる。また本質は、なくてはならないものなので「必要不可欠な」という意味になる。&lt;/span&gt;</v>
      </c>
      <c r="R447" s="14" t="str">
        <f>INDEX($L:$L, MATCH("interest", $B:$B, 0))</f>
        <v>&lt;span class="w"&gt;&lt;b&gt;【44.interest：興味, 利子, 利害】&lt;/b&gt;&lt;/span&gt;
&lt;span class="ml"&gt;ラテン語に由来する語で、以下の2つの要素から成る。
&lt;span class="spacer"&gt;&lt;/span&gt;inter（間に）
esse（存在する）
&lt;span class="spacer"&gt;&lt;/span&gt;このまま日本語にすると「間に存在する」となる。自分と対象の間に存在する重要なことで、特に自分の利益や損害に関わることを指した。ここから「利害, 利子」という意味になる。
&lt;span class="spacer"&gt;&lt;/span&gt;そして自分の利益に関わることには興味がわくので「興味」という意味へと発展する。
&lt;span class="spacer"&gt;&lt;/span&gt;interestは経済的な意味の「利害, 利子」が先に存在し、そこから個人の心理的な「興味」へと発展した。&lt;/span&gt;</v>
      </c>
      <c r="S447" s="14" t="str">
        <f>INDEX($L:$L, MATCH("represent", $B:$B, 0))</f>
        <v>&lt;span class="w"&gt;&lt;b&gt;【202.represent：～を表す, ～を代表する】&lt;/b&gt;&lt;/span&gt;
&lt;span class="ml"&gt;ラテン語に由来する語で、以下の3つの要素から成る。
&lt;span class="spacer"&gt;&lt;/span&gt;re（強意）
prae（前に）
esse（存在する）
&lt;span class="spacer"&gt;&lt;/span&gt;このまま日本語にすると「まさに目の前に存在する」「他の者よりも前に存在する」となる。目の前に存在するということから、何かを「示す, 表す」という意味になる。また他の者よりも前にいるということから「代表する」という意味になる。
&lt;div class="sample_image represent"&gt;&lt;/div&gt;&lt;/span&gt;</v>
      </c>
      <c r="AU447" s="15"/>
      <c r="AV447" s="1" t="s">
        <v>1502</v>
      </c>
      <c r="BG447" s="7" t="s">
        <v>1503</v>
      </c>
      <c r="BH447" s="1" t="s">
        <v>1947</v>
      </c>
      <c r="BI447" s="2" t="s">
        <v>3334</v>
      </c>
      <c r="BJ447" s="1" t="s">
        <v>1959</v>
      </c>
      <c r="BK447" s="2" t="s">
        <v>3335</v>
      </c>
      <c r="BL447" s="1" t="s">
        <v>1875</v>
      </c>
      <c r="BM447" s="2" t="s">
        <v>3336</v>
      </c>
    </row>
    <row r="448" spans="1:67" ht="108" x14ac:dyDescent="0.45">
      <c r="A448" s="5">
        <v>447</v>
      </c>
      <c r="B448" s="8" t="s">
        <v>294</v>
      </c>
      <c r="C448" s="6" t="s">
        <v>6850</v>
      </c>
      <c r="D448" s="7" t="s">
        <v>9752</v>
      </c>
      <c r="E448" s="1" t="s">
        <v>46</v>
      </c>
      <c r="F448" s="1" t="s">
        <v>1655</v>
      </c>
      <c r="G448" s="1"/>
      <c r="J448" s="1" t="s">
        <v>9753</v>
      </c>
      <c r="K448" s="2"/>
      <c r="L448" s="9" t="s">
        <v>8345</v>
      </c>
      <c r="P448" s="7" t="s">
        <v>1241</v>
      </c>
      <c r="Q448" s="13" t="str">
        <f>INDEX($L:$L, MATCH("faith", $B:$B, 0))</f>
        <v>&lt;span class="w"&gt;&lt;b&gt;【857.faith：信頼, 信仰】&lt;/b&gt;&lt;/span&gt;
&lt;span class="ml"&gt;ラテン語fidere（信頼する）に由来する。
&lt;span class="spacer"&gt;&lt;/span&gt;根拠や証明よりも、相手や対象に対する信頼に基づいて真実だと受け入れることを表し、そこから「信頼」や、特に宗教における「信仰」という意味になった。&lt;/span&gt;</v>
      </c>
      <c r="R448" s="13" t="str">
        <f>INDEX($L:$L, MATCH("federal", $B:$B, 0))</f>
        <v>&lt;span class="w"&gt;&lt;b&gt;【785.federal：連邦（政府）の】&lt;/b&gt;&lt;/span&gt;
&lt;span class="ml"&gt;ラテン語
foedus（契約, 条約）
&lt;span class="spacer"&gt;&lt;/span&gt;もともとは、神学的な「神との契約に関する」という意味や、独立した国家間の「同盟や条約に関する」という意味で使われた。
&lt;span class="spacer"&gt;&lt;/span&gt;その後、1787年のアメリカ合衆国憲法制定の際に、独立した各州が盟約（foedus）を結び、強力な中央政府を形成する体制を連邦制（federalism）と呼び、それを支持する人々がフェデラリストと名乗ったことで、単なる同盟ではなく「連邦政府の」という意味が定着した。&lt;/span&gt;</v>
      </c>
      <c r="AU448" s="15"/>
      <c r="AV448" s="1" t="s">
        <v>1502</v>
      </c>
      <c r="BG448" s="7" t="s">
        <v>1503</v>
      </c>
      <c r="BH448" s="1" t="s">
        <v>1947</v>
      </c>
      <c r="BI448" s="2" t="s">
        <v>3337</v>
      </c>
      <c r="BJ448" s="1" t="s">
        <v>1959</v>
      </c>
      <c r="BK448" s="2" t="s">
        <v>294</v>
      </c>
      <c r="BL448" s="1" t="s">
        <v>1875</v>
      </c>
      <c r="BM448" s="2" t="s">
        <v>3338</v>
      </c>
      <c r="BN448" s="1" t="s">
        <v>1877</v>
      </c>
      <c r="BO448" s="2" t="s">
        <v>3339</v>
      </c>
    </row>
    <row r="449" spans="1:69" ht="72" x14ac:dyDescent="0.45">
      <c r="A449" s="5">
        <v>448</v>
      </c>
      <c r="B449" s="8" t="s">
        <v>295</v>
      </c>
      <c r="C449" s="6" t="s">
        <v>6850</v>
      </c>
      <c r="D449" s="7" t="s">
        <v>9752</v>
      </c>
      <c r="E449" s="1" t="s">
        <v>295</v>
      </c>
      <c r="F449" s="1"/>
      <c r="G449" s="1"/>
      <c r="J449" s="1" t="s">
        <v>9753</v>
      </c>
      <c r="K449" s="2" t="s">
        <v>7752</v>
      </c>
      <c r="L449" s="9" t="s">
        <v>8346</v>
      </c>
      <c r="P449" s="7" t="s">
        <v>1241</v>
      </c>
      <c r="AV449" s="1" t="s">
        <v>1502</v>
      </c>
      <c r="BG449" s="7" t="s">
        <v>1503</v>
      </c>
      <c r="BH449" s="1" t="s">
        <v>1872</v>
      </c>
      <c r="BI449" s="1" t="s">
        <v>3340</v>
      </c>
    </row>
    <row r="450" spans="1:69" ht="180" x14ac:dyDescent="0.45">
      <c r="A450" s="5">
        <v>449</v>
      </c>
      <c r="B450" s="8" t="s">
        <v>1656</v>
      </c>
      <c r="C450" s="6" t="s">
        <v>6850</v>
      </c>
      <c r="D450" s="7" t="s">
        <v>9752</v>
      </c>
      <c r="E450" s="1" t="s">
        <v>27</v>
      </c>
      <c r="F450" s="1" t="s">
        <v>7753</v>
      </c>
      <c r="G450" s="1" t="s">
        <v>1517</v>
      </c>
      <c r="J450" s="1" t="s">
        <v>9753</v>
      </c>
      <c r="K450" s="2"/>
      <c r="L450" s="3" t="s">
        <v>8347</v>
      </c>
      <c r="M450" s="1" t="s">
        <v>12162</v>
      </c>
      <c r="P450" s="7" t="s">
        <v>1241</v>
      </c>
      <c r="Q450" s="14" t="str">
        <f>INDEX($L:$L, MATCH("structure", $B:$B, 0))</f>
        <v>&lt;span class="w"&gt;&lt;b&gt;【175.structure：構造, 体系, 構造物】&lt;/b&gt;&lt;/span&gt;
&lt;span class="ml"&gt;ラテン語に由来する語で、以下の2つの要素から成る。
&lt;span class="spacer"&gt;&lt;/span&gt;struere（積み上げる）の過去分詞structus
ura（名詞化）
&lt;span class="spacer"&gt;&lt;/span&gt;このまま日本語にすると「積み上げられたもの」となる。ここから「構造物, 構造, 体系」といった意味になる。
&lt;div class="sample_image structure"&gt;&lt;/div&gt;&lt;/span&gt;</v>
      </c>
      <c r="R450" s="14" t="str">
        <f>INDEX($L:$L, MATCH("infrastructure", $B:$B, 0))</f>
        <v>&lt;span class="w"&gt;&lt;b&gt;【1046.infrastructure：インフラ, 基本的施設, 基盤】&lt;/b&gt;&lt;/span&gt;
&lt;span class="ml"&gt;フランス語に由来する語で、以下の2つの要素から成る。
&lt;span class="spacer"&gt;&lt;/span&gt;infra（下の）
structure（構造）
&lt;span class="spacer"&gt;&lt;/span&gt;このまま日本語にすると「下にある構造」となる。そこから物事の支えとなる「基盤」や、社会や経済に必要な「基本的施設」という意味になった。これらを「インフラ」と呼ぶ。&lt;/span&gt;</v>
      </c>
      <c r="S450" s="14" t="str">
        <f>INDEX($L:$L, MATCH("construct", $B:$B, 0))</f>
        <v>&lt;span class="w"&gt;&lt;b&gt;【520.construct：〜を建設する, 〜を構成する】&lt;/b&gt;&lt;/span&gt;
&lt;span class="ml"&gt;ラテン語に由来する語で、以下の2つの要素から成る。
&lt;span class="spacer"&gt;&lt;/span&gt;com（共に）
struere（積み上げる）
&lt;span class="spacer"&gt;&lt;/span&gt;このまま日本語にすると「共に積み上げる」となる。パーツを一緒にして積み上げるイメージから「建設する, 構成する」という意味になる。
&lt;div class="sample_image construct"&gt;&lt;/div&gt;&lt;/span&gt;</v>
      </c>
      <c r="T450" s="14" t="str">
        <f>INDEX($L:$L, MATCH("instruction", $B:$B, 0))</f>
        <v>&lt;span class="w"&gt;&lt;b&gt;【442.instruction：指示, 使用書】&lt;/b&gt;&lt;/span&gt;
&lt;span class="ml"&gt;ラテン語に由来する語で、以下の2つの要素から成る。
&lt;span class="spacer"&gt;&lt;/span&gt;in（中に）
struere（積み上げる）
&lt;span class="spacer"&gt;&lt;/span&gt;このまま日本語にすると「中に積み上げる」となる。これは、相手の中に知識や方法を積み上げていくイメージ。そこから、何かをするための知識や手順を与えることを表し、「指示, 使用書」という意味になる。&lt;/span&gt;</v>
      </c>
      <c r="U450" s="13" t="str">
        <f>INDEX($L:$L, MATCH("industry", $B:$B, 0))</f>
        <v>&lt;span class="w"&gt;&lt;b&gt;【143.industry：産業, 勤勉】&lt;/b&gt;&lt;/span&gt;
&lt;span class="ml"&gt;ラテン語に由来する語で、以下の2つの要素から成る。
&lt;span class="spacer"&gt;&lt;/span&gt;indu（中に）
struere（積み上げる, 築く）
&lt;span class="spacer"&gt;&lt;/span&gt;このまま日本語にすると「中に積み上げる」となる。コツコツと努力して積み上げていくイメージから「勤勉」という意味になる。そして「勤勉」から勤勉な労働、仕事、仕事の分野と広がっていき、「産業」という意味になる。&lt;/span&gt;</v>
      </c>
      <c r="V450" s="13" t="str">
        <f>INDEX($L:$L, MATCH("destroy", $B:$B, 0))</f>
        <v>&lt;span class="w"&gt;&lt;b&gt;【326.destroy：～を破壊する】&lt;/b&gt;&lt;/span&gt;
&lt;span class="ml"&gt;ラテン語に由来する語で、以下の2つの要素から成る。
&lt;span class="spacer"&gt;&lt;/span&gt;de（下へ, 反対）
struere（積み上げる, 築く）
&lt;span class="spacer"&gt;&lt;/span&gt;これは積み上げるの反対なので、積み上げられたものを「破壊する」という意味になる。&lt;/span&gt;</v>
      </c>
      <c r="AU450" s="15"/>
      <c r="AV450" s="1" t="s">
        <v>1502</v>
      </c>
      <c r="BG450" s="7" t="s">
        <v>1503</v>
      </c>
      <c r="BH450" s="1" t="s">
        <v>1947</v>
      </c>
      <c r="BI450" s="2" t="s">
        <v>7754</v>
      </c>
      <c r="BJ450" s="1" t="s">
        <v>1959</v>
      </c>
      <c r="BK450" s="1" t="s">
        <v>3341</v>
      </c>
      <c r="BL450" s="1" t="s">
        <v>1875</v>
      </c>
      <c r="BM450" s="2" t="s">
        <v>3342</v>
      </c>
    </row>
    <row r="451" spans="1:69" ht="198" x14ac:dyDescent="0.45">
      <c r="A451" s="5">
        <v>450</v>
      </c>
      <c r="B451" s="8" t="s">
        <v>296</v>
      </c>
      <c r="C451" s="6" t="s">
        <v>6850</v>
      </c>
      <c r="D451" s="7" t="s">
        <v>9752</v>
      </c>
      <c r="E451" s="1" t="s">
        <v>1657</v>
      </c>
      <c r="F451" s="1" t="s">
        <v>1658</v>
      </c>
      <c r="G451" s="1"/>
      <c r="J451" s="1" t="s">
        <v>9753</v>
      </c>
      <c r="K451" s="2" t="s">
        <v>7755</v>
      </c>
      <c r="L451" s="9" t="s">
        <v>8348</v>
      </c>
      <c r="P451" s="7" t="s">
        <v>1241</v>
      </c>
      <c r="AU451" s="15"/>
      <c r="AV451" s="1" t="s">
        <v>1502</v>
      </c>
      <c r="BG451" s="7" t="s">
        <v>1503</v>
      </c>
      <c r="BH451" s="1" t="s">
        <v>2458</v>
      </c>
      <c r="BI451" s="2" t="s">
        <v>3343</v>
      </c>
      <c r="BJ451" s="1" t="s">
        <v>2036</v>
      </c>
      <c r="BK451" s="1" t="s">
        <v>3344</v>
      </c>
      <c r="BL451" s="1" t="s">
        <v>1959</v>
      </c>
      <c r="BM451" s="2" t="s">
        <v>3345</v>
      </c>
      <c r="BN451" s="1" t="s">
        <v>1877</v>
      </c>
      <c r="BO451" s="2" t="s">
        <v>3346</v>
      </c>
    </row>
    <row r="452" spans="1:69" ht="180" x14ac:dyDescent="0.45">
      <c r="A452" s="5">
        <v>451</v>
      </c>
      <c r="B452" s="8" t="s">
        <v>1659</v>
      </c>
      <c r="C452" s="6" t="s">
        <v>6850</v>
      </c>
      <c r="D452" s="7" t="s">
        <v>9752</v>
      </c>
      <c r="E452" s="1" t="s">
        <v>3347</v>
      </c>
      <c r="F452" s="1" t="s">
        <v>49</v>
      </c>
      <c r="G452" s="1"/>
      <c r="J452" s="1" t="s">
        <v>9753</v>
      </c>
      <c r="K452" s="2" t="s">
        <v>7756</v>
      </c>
      <c r="L452" s="4" t="s">
        <v>11620</v>
      </c>
      <c r="P452" s="7" t="s">
        <v>1241</v>
      </c>
      <c r="Q452" s="14" t="str">
        <f>INDEX($L:$L, MATCH("achieve", $B:$B, 0))</f>
        <v>&lt;span class="w"&gt;&lt;b&gt;【118.achieve：～を達成する】&lt;/b&gt;&lt;/span&gt;
&lt;span class="ml"&gt;ラテン語に由来する語で、以下の3つの要素から成る。
&lt;span class="spacer"&gt;&lt;/span&gt;ad（～へ）
capt（頭）
venire（来る）
&lt;span class="spacer"&gt;&lt;/span&gt;このまま日本語にすると「頭へ来る」となる。頭は動物の体の端にあることから、端へ来る＝終わりに到達する＝何かを「達成する」という意味になる。
&lt;span class="spacer"&gt;&lt;/span&gt;ラテン語capt（頭）はcaptain（キャプテン）の語源でもある。&lt;/span&gt;</v>
      </c>
      <c r="R452" s="13" t="str">
        <f>INDEX($L:$L, MATCH("cattle", $B:$B, 0))</f>
        <v>&lt;span class="w"&gt;&lt;b&gt;【1252.cattle：（集合的に）牛】&lt;/b&gt;&lt;/span&gt;
&lt;span class="ml"&gt;ラテン語に由来する語で、以下の2つの要素から成る。
&lt;span class="spacer"&gt;&lt;/span&gt;caput（頭）
alis（形容詞化）
&lt;span class="spacer"&gt;&lt;/span&gt;この語の核は「動物の頭のように主要なもの」。頭というのは動物にとって最も守るべき大事なものなので、そこから、人間にとって価値を持つ主要なもの＝財産を表すようになった。
&lt;span class="spacer"&gt;&lt;/span&gt;昔の農民にとって価値ある財産といえば、持ち運べない土地や建物といった不動産と、持ち運べる家畜という動産だったが、cattleは家畜を指すようになった。特に16世紀以降になると、家畜の中でも牛に限定されて、「家畜としての牛たち」を意味するようになった。これは集合名詞なので常に複数扱いされる。
&lt;div class="sample_image cattle"&gt;&lt;/div&gt;&lt;/span&gt;</v>
      </c>
      <c r="AU452" s="15"/>
      <c r="AV452" s="1" t="s">
        <v>1502</v>
      </c>
      <c r="BG452" s="7" t="s">
        <v>1503</v>
      </c>
      <c r="BH452" s="1" t="s">
        <v>1947</v>
      </c>
      <c r="BI452" s="2" t="s">
        <v>3348</v>
      </c>
      <c r="BJ452" s="1" t="s">
        <v>1967</v>
      </c>
      <c r="BK452" s="1" t="s">
        <v>3349</v>
      </c>
      <c r="BL452" s="1" t="s">
        <v>1959</v>
      </c>
      <c r="BM452" s="1" t="s">
        <v>297</v>
      </c>
      <c r="BN452" s="1" t="s">
        <v>1875</v>
      </c>
      <c r="BO452" s="2" t="s">
        <v>3350</v>
      </c>
      <c r="BP452" s="1" t="s">
        <v>1877</v>
      </c>
      <c r="BQ452" s="2" t="s">
        <v>3351</v>
      </c>
    </row>
    <row r="453" spans="1:69" ht="108" x14ac:dyDescent="0.45">
      <c r="A453" s="5">
        <v>452</v>
      </c>
      <c r="B453" s="8" t="s">
        <v>298</v>
      </c>
      <c r="C453" s="6" t="s">
        <v>6850</v>
      </c>
      <c r="D453" s="7" t="s">
        <v>9752</v>
      </c>
      <c r="E453" s="1" t="s">
        <v>1660</v>
      </c>
      <c r="F453" s="1" t="s">
        <v>1362</v>
      </c>
      <c r="G453" s="1"/>
      <c r="J453" s="1" t="s">
        <v>9753</v>
      </c>
      <c r="K453" s="2" t="s">
        <v>7757</v>
      </c>
      <c r="L453" s="9" t="s">
        <v>8349</v>
      </c>
      <c r="P453" s="7" t="s">
        <v>1241</v>
      </c>
      <c r="Q453" s="13" t="str">
        <f>INDEX($L:$L, MATCH("income", $B:$B, 0))</f>
        <v>&lt;span class="w"&gt;&lt;b&gt;【171.income：収入】&lt;/b&gt;&lt;/span&gt;
&lt;span class="ml"&gt;古英語にさかのぼる語で、以下の2つの要素から成る。
&lt;span class="spacer"&gt;&lt;/span&gt;in（中に）
cuman（来る）
&lt;span class="spacer"&gt;&lt;/span&gt;このまま日本語にすると「中に来る」となる。仕事などを通じて自分の中に入ってくるお金を指し、「収入」という意味になる。&lt;/span&gt;</v>
      </c>
      <c r="R453" s="13" t="str">
        <f>INDEX($L:$L, MATCH("overcome", $B:$B, 0))</f>
        <v>&lt;span class="w"&gt;&lt;b&gt;【506.overcome：〜を克服する, 〜に打ち勝つ】&lt;/b&gt;&lt;/span&gt;
&lt;span class="ml"&gt;古英語にさかのぼり、以下の2つの要素から成る。
&lt;span class="spacer"&gt;&lt;/span&gt;ofer（上に, 越えて）
cuman（来る）
&lt;span class="spacer"&gt;&lt;/span&gt;このまま日本語にすると「越えて来る」となる。もともとは「上から来る, 乗り越えて来る」というイメージ。そこから、相手や困難を上から押さえつけるようにして勝つという意味に発展し、「克服する, 打ち勝つ」という意味になった。&lt;/span&gt;</v>
      </c>
      <c r="AU453" s="15"/>
      <c r="AV453" s="1" t="s">
        <v>1502</v>
      </c>
      <c r="BG453" s="7" t="s">
        <v>1503</v>
      </c>
      <c r="BH453" s="1" t="s">
        <v>1872</v>
      </c>
      <c r="BI453" s="2" t="s">
        <v>3352</v>
      </c>
      <c r="BJ453" s="1" t="s">
        <v>1875</v>
      </c>
      <c r="BK453" s="2" t="s">
        <v>3353</v>
      </c>
      <c r="BL453" s="1" t="s">
        <v>1877</v>
      </c>
      <c r="BM453" s="2" t="s">
        <v>3354</v>
      </c>
    </row>
    <row r="454" spans="1:69" ht="306" x14ac:dyDescent="0.45">
      <c r="A454" s="5">
        <v>453</v>
      </c>
      <c r="B454" s="8" t="s">
        <v>1661</v>
      </c>
      <c r="C454" s="6" t="s">
        <v>6850</v>
      </c>
      <c r="D454" s="7" t="s">
        <v>9752</v>
      </c>
      <c r="E454" s="1" t="s">
        <v>7758</v>
      </c>
      <c r="F454" s="1" t="s">
        <v>1584</v>
      </c>
      <c r="G454" s="1"/>
      <c r="J454" s="1" t="s">
        <v>9753</v>
      </c>
      <c r="K454" s="2" t="s">
        <v>7455</v>
      </c>
      <c r="L454" s="4" t="s">
        <v>8350</v>
      </c>
      <c r="M454" s="1" t="s">
        <v>12136</v>
      </c>
      <c r="P454" s="7" t="s">
        <v>1241</v>
      </c>
      <c r="Q454" s="14" t="str">
        <f>INDEX($L:$L, MATCH("knowledge", $B:$B, 0))</f>
        <v>&lt;span class="w"&gt;&lt;b&gt;【58.knowledge：知識, 認識】&lt;/b&gt;&lt;/span&gt;
&lt;span class="ml"&gt;knowledgeは「knowの名詞」と覚えればよい。
&lt;span class="spacer"&gt;&lt;/span&gt;知っているという動詞から知っていること＝「知識, 認識」という名詞になる。&lt;/span&gt;</v>
      </c>
      <c r="R454" s="14" t="str">
        <f>INDEX($L:$L, MATCH("acknowledge", $B:$B, 0))</f>
        <v>&lt;span class="w"&gt;&lt;b&gt;【717.acknowledge：〜を認める】&lt;/b&gt;&lt;/span&gt;
&lt;span class="ml"&gt;以下の中英語の2語がひとつになってできた語。
&lt;span class="spacer"&gt;&lt;/span&gt;aknowen（知っていることを認める）
knowlechen（認める）
&lt;span class="spacer"&gt;&lt;/span&gt;この語は、対象を示すac（〜に）とknow（知っている）が合わさったと考えればよい。「何かに対して知っていると認める」というイメージで覚える。&lt;/span&gt;</v>
      </c>
      <c r="S454" s="14" t="str">
        <f>INDEX($L:$L, MATCH("unknown", $B:$B, 0))</f>
        <v>&lt;span class="w"&gt;&lt;b&gt;【492.unknown：不明の, 知られていない】&lt;/b&gt;&lt;/span&gt;
&lt;span class="ml"&gt;中英語にさかのぼり、以下の2つの要素から成る。
&lt;span class="spacer"&gt;&lt;/span&gt;un（否定）
knowの過去分詞known
&lt;span class="spacer"&gt;&lt;/span&gt;このまま「知られていない」という意味になる。&lt;/span&gt;</v>
      </c>
      <c r="T454" s="14" t="str">
        <f>INDEX($L:$L, MATCH("notice", $B:$B, 0))</f>
        <v>&lt;span class="w"&gt;&lt;b&gt;【101.notice：（動）～に気づく, （名）通知】&lt;/b&gt;&lt;/span&gt;
&lt;span class="ml"&gt;印欧祖語*gno-（知る）から生まれたラテン語(g)nōscere（知るようになる, 認識する）
&lt;span class="spacer"&gt;&lt;/span&gt;「知るようになる」から知られるきっかけである「通知, 知らせ」という名詞になる。そして知らせによって何かを認識するので、「気づく」という動詞になる。&lt;/span&gt;</v>
      </c>
      <c r="U454" s="14" t="str">
        <f>INDEX($L:$L, MATCH("noble", $B:$B, 0))</f>
        <v>&lt;span class="w"&gt;&lt;b&gt;【1184.noble：高貴な, 高潔な, 気高い】&lt;/b&gt;&lt;/span&gt;
&lt;span class="ml"&gt;ラテン語に由来する語で、以下の2つの要素から成る。
&lt;span class="spacer"&gt;&lt;/span&gt;gnoscere（知る）
bilis（できる）
&lt;span class="spacer"&gt;&lt;/span&gt;この語の核は「皆によく知られている＝知名度が高い」。当時の社会で、世間によく知られているということは身分が高い家、つまり貴族ということになる。そこから「高貴な」という意味になった。
&lt;span class="spacer"&gt;&lt;/span&gt;また高貴な人々にふさわしいとされる道徳心や立派な振る舞いから「高潔な, 気高い」という意味にもなった。
&lt;div class="sample_image noble"&gt;&lt;/div&gt;&lt;/span&gt;</v>
      </c>
      <c r="V454" s="14" t="str">
        <f>INDEX($L:$L, MATCH("ignore", $B:$B, 0))</f>
        <v>&lt;span class="w"&gt;&lt;b&gt;【224.ignore：～を無視する】&lt;/b&gt;&lt;/span&gt;
&lt;span class="ml"&gt;ラテン語に由来する語で、以下の2つの要素から成る。
&lt;span class="spacer"&gt;&lt;/span&gt;in（否定）
gnarus（知っている）
&lt;span class="spacer"&gt;&lt;/span&gt;このまま日本語にすると「知らない」となる。気に留めることなく知らないふりをすることから、「無視する」という意味になった。
&lt;span class="spacer"&gt;&lt;/span&gt;形容詞ignorant（無知な）,や名詞ignorance（無知）もセットで覚えておく。&lt;/span&gt;</v>
      </c>
      <c r="W454" s="14" t="str">
        <f>INDEX($L:$L, MATCH("cognitive", $B:$B, 0))</f>
        <v>&lt;span class="w"&gt;&lt;b&gt;【279.cognitive：認知の】&lt;/b&gt;&lt;/span&gt;
&lt;span class="ml"&gt;ラテン語に由来する語で、以下の2つの要素から成る。
&lt;span class="spacer"&gt;&lt;/span&gt;com（共に）
gnoscere（知る）
&lt;span class="obsolete"&gt;ive（形容詞化）は英語段階で付いた&lt;/span&gt;
&lt;span class="spacer"&gt;&lt;/span&gt;このまま日本語にすると「共に知る」となる。互いに認知することから「認知の」という意味になる。&lt;/span&gt;</v>
      </c>
      <c r="X454" s="14" t="str">
        <f>INDEX($L:$L, MATCH("recognize", $B:$B, 0))</f>
        <v>&lt;span class="w"&gt;&lt;b&gt;【106.recognize：～を認識する, ～を識別する】&lt;/b&gt;&lt;/span&gt;
&lt;span class="ml"&gt;ラテン語に由来する語で、以下の3つの要素から成る。
&lt;span class="spacer"&gt;&lt;/span&gt;re（再び）
com（強意）
gnoscere（知る）
&lt;span class="spacer"&gt;&lt;/span&gt;このまま日本語にすると「再びしっかり知る」となる。目の前の情報Aを既にある知識と照らし合わせ、情報Aは知識の中の情報Bと同一であると再び知る。つまり、情報Aは情報Bであると「識別する, 認識する」という意味になる。
&lt;div class="sample_image recognize"&gt;&lt;/div&gt;&lt;/span&gt;</v>
      </c>
      <c r="Y454" s="13" t="str">
        <f>INDEX($L:$L, MATCH("diagnose", $B:$B, 0))</f>
        <v>&lt;span class="w"&gt;&lt;b&gt;【1419.diagnose：診断する】&lt;/b&gt;&lt;/span&gt;
&lt;span class="ml"&gt;ギリシャ語に由来する語で、以下の2つの要素から成る。
&lt;span class="spacer"&gt;&lt;/span&gt;dia（間に）
gignōskein（学ぶ, 知るようになる）
&lt;span class="spacer"&gt;&lt;/span&gt;もともとは、様々な物事の間にある差異を知り、それぞれを区別する、識別することを表した。そこから医学において、症状を見分けて病名を特定することを意味するようになり、「診断する」という意味になった。
&lt;div class="sample_image diagnose"&gt;&lt;/div&gt;
&lt;span class="spacer"&gt;&lt;/span&gt;さらに現代では、医学に限らず、機械や技術、ビジネス、教育など様々な分野において「問題分析をする」という意味でも使われる。&lt;/span&gt;</v>
      </c>
      <c r="Z454" s="13" t="str">
        <f>INDEX($L:$L, MATCH("acquaintance", $B:$B, 0))</f>
        <v>&lt;span class="w"&gt;&lt;b&gt;【1257.acquaintance：知人, 面識, 知識】&lt;/b&gt;&lt;/span&gt;
&lt;span class="ml"&gt;ラテン語に由来する語で、以下の4つの要素から成る。
&lt;span class="spacer"&gt;&lt;/span&gt;ad（〜へ）
com（完全に）
gnoscere（知る）
&lt;span class="obsolete"&gt;ance（名詞化）はフランス語段階で付いた&lt;/span&gt;
&lt;span class="spacer"&gt;&lt;/span&gt;この語の核は「何かをしっかり知っていること」。そこから、ある分野に通じているという意味での「知識」や、相手と初対面ではなくて顔を見て知っているという「面識」、そして面識がある人、すなわち「知人」などの意味になる。
&lt;span class="spacer"&gt;&lt;/span&gt;acquaintanceというスペルはもとのラテン語から大きく変わってしまったが、印欧祖語*gno-（知る）そしてラテン語gnoscere（知る）から生まれた語。&lt;/span&gt;</v>
      </c>
      <c r="AV454" s="1" t="s">
        <v>1502</v>
      </c>
      <c r="BG454" s="7" t="s">
        <v>1503</v>
      </c>
      <c r="BH454" s="1" t="s">
        <v>1976</v>
      </c>
      <c r="BI454" s="1" t="s">
        <v>3355</v>
      </c>
      <c r="BJ454" s="1" t="s">
        <v>1978</v>
      </c>
      <c r="BK454" s="2" t="s">
        <v>7759</v>
      </c>
      <c r="BL454" s="1" t="s">
        <v>1875</v>
      </c>
      <c r="BM454" s="2" t="s">
        <v>3356</v>
      </c>
      <c r="BN454" s="1" t="s">
        <v>1877</v>
      </c>
      <c r="BO454" s="2" t="s">
        <v>3357</v>
      </c>
    </row>
    <row r="455" spans="1:69" ht="270" x14ac:dyDescent="0.45">
      <c r="A455" s="5">
        <v>454</v>
      </c>
      <c r="B455" s="8" t="s">
        <v>1662</v>
      </c>
      <c r="C455" s="6" t="s">
        <v>6850</v>
      </c>
      <c r="D455" s="7" t="s">
        <v>9752</v>
      </c>
      <c r="E455" s="1" t="s">
        <v>1251</v>
      </c>
      <c r="F455" s="1" t="s">
        <v>85</v>
      </c>
      <c r="G455" s="1"/>
      <c r="J455" s="1" t="s">
        <v>9753</v>
      </c>
      <c r="K455" s="2" t="s">
        <v>7760</v>
      </c>
      <c r="L455" s="4" t="s">
        <v>8351</v>
      </c>
      <c r="M455" s="1" t="s">
        <v>12133</v>
      </c>
      <c r="P455" s="7" t="s">
        <v>1241</v>
      </c>
      <c r="Q455" s="14" t="str">
        <f>INDEX($L:$L, MATCH("view", $B:$B, 0))</f>
        <v>&lt;span class="w"&gt;&lt;b&gt;【54.view：眺め, 見解】&lt;/b&gt;&lt;/span&gt;
&lt;span class="ml"&gt;ラテン語videre（見る）に由来する。
&lt;span class="spacer"&gt;&lt;/span&gt;見るという動詞から「眺め」という名詞になった。また視覚的に見えるものから発展して「見解, 考え」という意味になる。
&lt;span class="spacer"&gt;&lt;/span&gt;日本語でも考え方や思考力が独特な人に対して「見ている世界が違う」と表現することがあるように、視覚と思考は密接に結びついている。
&lt;span class="spacer"&gt;&lt;/span&gt;印欧祖語*weid-（見る）から生まれた語は、おおむね視覚系の意味と思考系の意味に分かれる。
&lt;span class="spacer"&gt;&lt;/span&gt;視覚系：video, visit, vision, evidence
&lt;span class="spacer"&gt;&lt;/span&gt;思考系：wise, wisdom, wit, advice
&lt;span class="spacer"&gt;&lt;/span&gt;しかし完全にどちらかに分かれるわけではく、viewのように視覚系の意味「眺め」と、思考系の意味「見解」を持つことがある。
&lt;span class="spacer"&gt;&lt;/span&gt;視覚と思考が結びついていることは、see（見る）とI see（なるほど, 理解）からもわかる。&lt;/span&gt;</v>
      </c>
      <c r="R455" s="14" t="str">
        <f>INDEX($L:$L, MATCH("advise", $B:$B, 0))</f>
        <v>&lt;span class="w"&gt;&lt;b&gt;【620.advise：〜に/を助言（忠告）する】&lt;/b&gt;&lt;/span&gt;
&lt;span class="ml"&gt;ラテン語videre（見る）から派生した名詞visum（見解）に由来する。
&lt;span class="spacer"&gt;&lt;/span&gt;「見る」ことから「見解」という思考系の意味に派生することは、seeとI see.（なるほど）の関係からわかる。見ることと知ることは密接に結びついている。
&lt;span class="spacer"&gt;&lt;/span&gt;「見解」から自分の見解を出すという行為になって、「助言する, 忠告する」という意味になった。&lt;/span&gt;</v>
      </c>
      <c r="S455" s="14" t="str">
        <f>INDEX($L:$L, MATCH("revise", $B:$B, 0))</f>
        <v>&lt;span class="w"&gt;&lt;b&gt;【1231.revise：〜を修正する, 〜を改訂する】&lt;/b&gt;&lt;/span&gt;
&lt;span class="ml"&gt;ラテン語に由来する語で、以下の2つの要素から成る。
&lt;span class="spacer"&gt;&lt;/span&gt;re（再び）
videre（見る）
&lt;span class="spacer"&gt;&lt;/span&gt;このまま日本語にすると「再び見る」となる。一度出来上がったものを見直し、間違いを直したりアップデートしたりすることから「改訂する, 修正する」という意味になる。
&lt;div class="sample_image revise"&gt;&lt;/div&gt;&lt;/span&gt;</v>
      </c>
      <c r="T455" s="14" t="str">
        <f>INDEX($L:$L, MATCH("visible", $B:$B, 0))</f>
        <v>&lt;span class="w"&gt;&lt;b&gt;【593.visible：目に見える】&lt;/b&gt;&lt;/span&gt;
&lt;span class="ml"&gt;ラテン語に由来する語で、以下の2つの要素から成る。
&lt;span class="spacer"&gt;&lt;/span&gt;videre（見る）
bilis（できる）
&lt;span class="spacer"&gt;&lt;/span&gt;このまま日本語にすると「見ることができる」つまり「目に見える」という意味になる。&lt;/span&gt;</v>
      </c>
      <c r="U455" s="14" t="str">
        <f>INDEX($L:$L, MATCH("visual", $B:$B, 0))</f>
        <v>&lt;span class="w"&gt;&lt;b&gt;【393.visual：視覚の, 目に見える】&lt;/b&gt;&lt;/span&gt;
&lt;span class="ml"&gt;ラテン語に由来する語で、以下の2つの要素から成る。
&lt;span class="spacer"&gt;&lt;/span&gt;videre（見る）
alis（形容詞化）
&lt;span class="spacer"&gt;&lt;/span&gt;見るという視覚に関する形容詞となり、「視覚の, 目に見える」という意味になる。&lt;/span&gt;</v>
      </c>
      <c r="V455" s="14" t="str">
        <f>INDEX($L:$L, MATCH("evidence", $B:$B, 0))</f>
        <v>&lt;span class="w"&gt;&lt;b&gt;【74.evidence：証拠】&lt;/b&gt;&lt;/span&gt;
&lt;span class="ml"&gt;ラテン語に由来する語で、以下の2つの要素から成る。
&lt;span class="spacer"&gt;&lt;/span&gt;ex（外へ）
videre（見る）
&lt;span class="spacer"&gt;&lt;/span&gt;このまま日本語にすると「外に見える」となる。つまり隠れているのではなく「はっきり目に見える」というイメージ。ここからはっきり見える物＝明らかな物＝「証拠」という意味になる。
&lt;span class="spacer"&gt;&lt;/span&gt;「はっきり目に見える」というイメージを持っておくと、形容詞evidentが「明らかな」という意味になることも理解できる。&lt;/span&gt;</v>
      </c>
      <c r="W455" s="13" t="str">
        <f>INDEX($L:$L, MATCH("survey", $B:$B, 0))</f>
        <v>&lt;span class="w"&gt;&lt;b&gt;【207.survey：～を調査する, ～を概観する】&lt;/b&gt;&lt;/span&gt;
&lt;span class="ml"&gt;ラテン語に由来する語で、以下の2つの要素から成る。
&lt;span class="spacer"&gt;&lt;/span&gt;super（上に, 超えて）
videre（見る）
&lt;span class="spacer"&gt;&lt;/span&gt;このまま日本語にすると「上から見る」となる。俯瞰視点で全体に目を配ることから「調査する, 概観する」という意味になる。
&lt;div class="sample_image survey"&gt;&lt;/div&gt;&lt;/span&gt;</v>
      </c>
      <c r="AU455" s="15"/>
      <c r="AV455" s="1" t="s">
        <v>1502</v>
      </c>
      <c r="BG455" s="7" t="s">
        <v>1503</v>
      </c>
      <c r="BH455" s="1" t="s">
        <v>1947</v>
      </c>
      <c r="BI455" s="2" t="s">
        <v>3358</v>
      </c>
      <c r="BJ455" s="1" t="s">
        <v>1959</v>
      </c>
      <c r="BK455" s="2" t="s">
        <v>3359</v>
      </c>
      <c r="BL455" s="1" t="s">
        <v>1875</v>
      </c>
      <c r="BM455" s="2" t="s">
        <v>3360</v>
      </c>
      <c r="BN455" s="1" t="s">
        <v>1877</v>
      </c>
      <c r="BO455" s="2" t="s">
        <v>3361</v>
      </c>
    </row>
    <row r="456" spans="1:69" ht="216" x14ac:dyDescent="0.45">
      <c r="A456" s="5">
        <v>455</v>
      </c>
      <c r="B456" s="8" t="s">
        <v>1663</v>
      </c>
      <c r="C456" s="6" t="s">
        <v>6850</v>
      </c>
      <c r="D456" s="7" t="s">
        <v>9752</v>
      </c>
      <c r="E456" s="1" t="s">
        <v>299</v>
      </c>
      <c r="F456" s="1"/>
      <c r="G456" s="1"/>
      <c r="J456" s="1" t="s">
        <v>9753</v>
      </c>
      <c r="K456" s="2"/>
      <c r="L456" s="3" t="s">
        <v>8352</v>
      </c>
      <c r="M456" s="1" t="s">
        <v>12154</v>
      </c>
      <c r="P456" s="7" t="s">
        <v>1241</v>
      </c>
      <c r="Q456" s="14" t="str">
        <f>INDEX($L:$L, MATCH("treat", $B:$B, 0))</f>
        <v>&lt;span class="w"&gt;&lt;b&gt;【125.treat：～を扱う, ～を治療する, ごちそうする】&lt;/b&gt;&lt;/span&gt;
&lt;span class="ml"&gt;ラテン語trahere（引く, 引きずる）から派生したtractare（繰り返し引く, 引きずり回す, 取り扱う）に由来する。
&lt;span class="spacer"&gt;&lt;/span&gt;何かを繰り返し引く様子から、何かを「扱う」というイメージになる。医療における患者の扱いなら「治療する」という意味になり、客への扱いならもてなし＝「食べ物や飲み物をふるまう, ごちそうする」という意味になる。&lt;/span&gt;</v>
      </c>
      <c r="R456" s="14" t="str">
        <f>INDEX($L:$L, MATCH("treaty", $B:$B, 0))</f>
        <v>&lt;span class="w"&gt;&lt;b&gt;【1478.treaty：条約, 協定】&lt;/b&gt;&lt;/span&gt;
&lt;span class="ml"&gt;ラテン語trahere（引っ張る）から派生したtractare（扱う, 管理する）に由来する。
&lt;span class="spacer"&gt;&lt;/span&gt;もともとは、物理的に引っ張るという動作を表したが、そこから比喩的に問題を引き出して扱うこと、議論すること、そして交渉という意味へと発展していった。
&lt;span class="spacer"&gt;&lt;/span&gt;さらに交渉という行為そのものから、それによって結ばれる合意へと発展し、ある集団や国家の間で結ばれる「条約, 協定」という意味になった。&lt;/span&gt;</v>
      </c>
      <c r="S456" s="14" t="str">
        <f>INDEX($L:$L, MATCH("retreat", $B:$B, 0))</f>
        <v>&lt;span class="w"&gt;&lt;b&gt;【1172.retreat：後退, 退却, 撤回】&lt;/b&gt;&lt;/span&gt;
&lt;span class="ml"&gt;ラテン語に由来する語で、以下の2つの要素から成る。
&lt;span class="spacer"&gt;&lt;/span&gt;re（後ろへ）
trahere（引く）
&lt;span class="spacer"&gt;&lt;/span&gt;この語の核は「後ろへ引くこと」。物理的に引っ込めることから「後退, 撤退, 撤回」といった意味になった。また引っ込んで隠れることから「隠れ家, 避難所」という意味にもなる。
&lt;div class="sample_image retreat"&gt;&lt;/div&gt;&lt;/span&gt;</v>
      </c>
      <c r="T456" s="14" t="str">
        <f>INDEX($L:$L, MATCH("trace", $B:$B, 0))</f>
        <v>&lt;span class="w"&gt;&lt;b&gt;【618.trace：（足跡・起源など）をたどる】&lt;/b&gt;&lt;/span&gt;
&lt;span class="ml"&gt;ラテン語trahere（引く）に由来する。
&lt;span class="spacer"&gt;&lt;/span&gt;何かを引くとそのあとに跡ができる。その跡を目印にしてなぞることから「たどる」という意味になった。&lt;/span&gt;</v>
      </c>
      <c r="U456" s="14" t="str">
        <f>INDEX($L:$L, MATCH("trail", $B:$B, 0))</f>
        <v>&lt;span class="w"&gt;&lt;b&gt;【972.trail：小道, 跡】&lt;/b&gt;&lt;/span&gt;
&lt;span class="ml"&gt;古フランス語trailler（引く, 引きずる）に由来する。
&lt;span class="spacer"&gt;&lt;/span&gt;この語の核は「引きずってできたもの」。人や動物が通って引かれた「跡」や、繰り返し通ることでできる「小道」という意味になる。&lt;/span&gt;</v>
      </c>
      <c r="V456" s="14" t="str">
        <f>INDEX($L:$L, MATCH("portray", $B:$B, 0))</f>
        <v>&lt;span class="w"&gt;&lt;b&gt;【1409.portray：〜を描く, 役を演じる】&lt;/b&gt;&lt;/span&gt;
&lt;span class="ml"&gt;古フランス語に由来する語で、以下の2つの要素から成る。
&lt;span class="spacer"&gt;&lt;/span&gt;por（前へ）
traire（引く, 線を引く）
&lt;span class="spacer"&gt;&lt;/span&gt;この語の核は「内部のイメージを外に引き出して形にする」。そこから、印象・状況・人物像・性格などさまざまなものを絵や言葉で「描く」という意味になる。また演技を通して形にすることから「演じる」という意味になる。
&lt;div class="sample_image portray"&gt;&lt;/div&gt;&lt;/span&gt;</v>
      </c>
      <c r="W456" s="15"/>
      <c r="X456" s="15"/>
      <c r="Y456" s="15"/>
      <c r="AU456" s="15"/>
      <c r="AV456" s="1" t="s">
        <v>1502</v>
      </c>
      <c r="BG456" s="7" t="s">
        <v>1503</v>
      </c>
      <c r="BH456" s="1" t="s">
        <v>1947</v>
      </c>
      <c r="BI456" s="2" t="s">
        <v>3362</v>
      </c>
      <c r="BJ456" s="1" t="s">
        <v>1959</v>
      </c>
      <c r="BK456" s="1" t="s">
        <v>3363</v>
      </c>
      <c r="BL456" s="1" t="s">
        <v>1877</v>
      </c>
      <c r="BM456" s="2" t="s">
        <v>3364</v>
      </c>
    </row>
    <row r="457" spans="1:69" ht="252" x14ac:dyDescent="0.45">
      <c r="A457" s="5">
        <v>456</v>
      </c>
      <c r="B457" s="8" t="s">
        <v>1664</v>
      </c>
      <c r="C457" s="6" t="s">
        <v>6850</v>
      </c>
      <c r="D457" s="7" t="s">
        <v>9752</v>
      </c>
      <c r="E457" s="1" t="s">
        <v>1631</v>
      </c>
      <c r="F457" s="1" t="s">
        <v>7761</v>
      </c>
      <c r="G457" s="1" t="s">
        <v>1522</v>
      </c>
      <c r="J457" s="1" t="s">
        <v>9753</v>
      </c>
      <c r="K457" s="2" t="s">
        <v>8590</v>
      </c>
      <c r="L457" s="4" t="s">
        <v>8353</v>
      </c>
      <c r="M457" s="1" t="s">
        <v>12186</v>
      </c>
      <c r="P457" s="7" t="s">
        <v>1241</v>
      </c>
      <c r="Q457" s="14" t="str">
        <f>INDEX($L:$L, MATCH("universal", $B:$B, 0))</f>
        <v>&lt;span class="w"&gt;&lt;b&gt;【282.universal：普遍的な, 宇宙の】&lt;/b&gt;&lt;/span&gt;
&lt;span class="ml"&gt;ラテン語に由来する語で、以下の3つの要素から成る。
&lt;span class="spacer"&gt;&lt;/span&gt;unus（1つ）
vertere（回す, 向きを変える）
alis（形容詞化）
&lt;span class="spacer"&gt;&lt;/span&gt;このまま日本語にすると「ひとつに回す」となる。回転することで中心に巻き込まれていって全体がひとつになるイメージから、世界全体や宇宙全体に関わる＝「普遍的な, 宇宙の」という意味になる。
普遍的とは広く全体に当てはまるということ。&lt;/span&gt;</v>
      </c>
      <c r="R457" s="14" t="str">
        <f>INDEX($L:$L, MATCH("advertise", $B:$B, 0))</f>
        <v>&lt;span class="w"&gt;&lt;b&gt;【414.advertise：〜を宣伝する】&lt;/b&gt;&lt;/span&gt;
&lt;span class="ml"&gt;ラテン語に由来する語で、以下の2つの要素から成る。
&lt;span class="spacer"&gt;&lt;/span&gt;ad（〜へ）
vertere（回す, 向ける）
&lt;span class="spacer"&gt;&lt;/span&gt;この語の核は「注意をある方向へ向けさせる」ということ。人の注意を特定の対象に向けさせることから、商品などに目を向けさせる＝「何かを宣伝する」という意味になる。
&lt;div class="sample_image advertise"&gt;&lt;/div&gt;&lt;/span&gt;</v>
      </c>
      <c r="S457" s="14" t="str">
        <f>INDEX($L:$L, MATCH("reverse", $B:$B, 0))</f>
        <v>&lt;span class="w"&gt;&lt;b&gt;【726.reverse：〜を逆転させる, 〜を反対にする】&lt;/b&gt;&lt;/span&gt;
&lt;span class="ml"&gt;ラテン語に由来する語で、以下の2つの要素から成る。
&lt;span class="spacer"&gt;&lt;/span&gt;re（再び, 後ろへ）
vertere（回す, 向ける）
&lt;span class="spacer"&gt;&lt;/span&gt;このまま日本語にすると「後ろへ向ける」や「再び回す」となる。このような向きを変える、ひっくり返す動きから、何かを「逆転させる, 反対にする」という意味になる。&lt;/span&gt;</v>
      </c>
      <c r="T457" s="14" t="str">
        <f>INDEX($L:$L, MATCH("divorce", $B:$B, 0))</f>
        <v>&lt;span class="w"&gt;&lt;b&gt;【764.divorce：離婚, 分離】&lt;/b&gt;&lt;/span&gt;
&lt;span class="ml"&gt;ラテン語に由来する語で、以下の2つの要素から成る。
&lt;span class="spacer"&gt;&lt;/span&gt;dis（離れて）
vertere（向ける）
&lt;span class="spacer"&gt;&lt;/span&gt;このまま日本語にすると「離れた方向に向ける」となる。もともとは何かの「分離」を意味した。そして、人生という道を共にする夫婦が離れた方を向いて行くことから「離婚」という意味になった。
&lt;div class="sample_image divorce"&gt;&lt;/div&gt;&lt;/span&gt;</v>
      </c>
      <c r="U457" s="14" t="str">
        <f>INDEX($L:$L, MATCH("controversy", $B:$B, 0))</f>
        <v>&lt;span class="w"&gt;&lt;b&gt;【1152.controversy：論争】&lt;/b&gt;&lt;/span&gt;
&lt;span class="ml"&gt;ラテン語に由来する語で、以下の3つの要素から成る。
&lt;span class="spacer"&gt;&lt;/span&gt;contra（反対に）
versus（〜の方に向けられた)
ia（名詞化）
&lt;span class="spacer"&gt;&lt;/span&gt;この語の核は「相手と同じ方向ではなく反対に向いていること、向き合っていること」。つまり考えや立場が対立して争っていることを表し、そこから 「論争」という意味になる。
&lt;div class="sample_image controversy"&gt;&lt;/div&gt;&lt;/span&gt;</v>
      </c>
      <c r="V457" s="14" t="str">
        <f>INDEX($L:$L, MATCH("anniversary", $B:$B, 0))</f>
        <v>&lt;span class="w"&gt;&lt;b&gt;【1245.anniversary：〜周年の記念日】&lt;/b&gt;&lt;/span&gt;
&lt;span class="ml"&gt;ラテン語に由来する語で、以下の4つの要素から成る。
&lt;span class="spacer"&gt;&lt;/span&gt;annus（年）
vertere（回す）の過去分詞versus（回された）
arius（形容詞化）
um（名詞化）
&lt;span class="spacer"&gt;&lt;/span&gt;この語の核は「毎年回ってくる日」。
そこから「周年の記念日」という意味になる。&lt;/span&gt;</v>
      </c>
      <c r="W457" s="14" t="str">
        <f>INDEX($L:$L, MATCH("version", $B:$B, 0))</f>
        <v>&lt;span class="w"&gt;&lt;b&gt;【364.version：〜版】&lt;/b&gt;&lt;/span&gt;
&lt;span class="ml"&gt;ラテン語に由来する語で、以下の2つの要素から成る。
&lt;span class="spacer"&gt;&lt;/span&gt;vertere（回す, 向ける）
io（名詞化）
&lt;span class="spacer"&gt;&lt;/span&gt;このまま日本語にすると「回すこと, 向けること」となる。あるものの向きを別の方へ変えるイメージから、既にあるものを元に別の形へ変えること＝「〜版」という意味になる。&lt;/span&gt;</v>
      </c>
      <c r="X457" s="14" t="str">
        <f>INDEX($L:$L, MATCH("versus", $B:$B, 0))</f>
        <v>&lt;span class="w"&gt;&lt;b&gt;【1100.versus：（A versus B）A対B】&lt;/b&gt;&lt;/span&gt;
&lt;span class="ml"&gt;ラテン語vertere（回す, 向ける）の過去分詞versus（〜の方に向けられた, 〜に対して）に由来する。
&lt;span class="spacer"&gt;&lt;/span&gt;何かの方に向けられていることから「対する, A対B」という意味になる。A versus BはAがBの方に向けられているというイメージ。&lt;/span&gt;</v>
      </c>
      <c r="Y457" s="13" t="str">
        <f>INDEX($L:$L, MATCH("vertical", $B:$B, 0))</f>
        <v>&lt;span class="w"&gt;&lt;b&gt;【1188.vertical：垂直の】&lt;/b&gt;&lt;/span&gt;
&lt;span class="ml"&gt;ラテン語に由来する語で、以下の2つの要素から成る。
&lt;span class="spacer"&gt;&lt;/span&gt;vertere（回す）から派生したvertex（回転, 渦, 頂点）
alis（形容詞化）
&lt;span class="spacer"&gt;&lt;/span&gt;この語の核は「回転」。物体の回転や天体の回転、水の渦、髪の渦（つむじ）など、あらゆる回転には中心を通る上下に伸びる軸がある。たとえば天体の回転も、観察者の真上に中心があり、そこを軸として空全体が回転しているように見える。
&lt;span class="spacer"&gt;&lt;/span&gt;そこから、天頂から地平線に対してまっすぐ下ろした線、つまり真上にある頂点から真下へと直角に交わる線へと繋がって「垂直な」という意味になった。
&lt;div class="sample_image vertical"&gt;&lt;/div&gt;&lt;/span&gt;</v>
      </c>
      <c r="Z457" s="13" t="str">
        <f>INDEX($L:$L, MATCH("convert", $B:$B, 0))</f>
        <v>&lt;span class="w"&gt;&lt;b&gt;【820.convert：～を変える, 改宗させる】&lt;/b&gt;&lt;/span&gt;
&lt;span class="ml"&gt;ラテン語に由来する語で、以下の2つの要素から成る。
&lt;span class="spacer"&gt;&lt;/span&gt;com（共に）
vertere（向ける）
&lt;span class="spacer"&gt;&lt;/span&gt;このまま日本語にすると「共に向ける」となる。これは、みんなを同じ方に向けるイメージ。そこから宗教において、同じ対象を信仰するように「改宗させる」という意味になる。また宗教に限らず、形式や用途などを人為的に「変える」という意味になる。
&lt;div class="sample_image convert"&gt;&lt;/div&gt;&lt;/span&gt;</v>
      </c>
      <c r="AU457" s="15"/>
      <c r="AV457" s="1" t="s">
        <v>1502</v>
      </c>
      <c r="BG457" s="7" t="s">
        <v>1503</v>
      </c>
      <c r="BH457" s="1" t="s">
        <v>1947</v>
      </c>
      <c r="BI457" s="2" t="s">
        <v>7762</v>
      </c>
      <c r="BJ457" s="1" t="s">
        <v>2031</v>
      </c>
      <c r="BK457" s="2" t="s">
        <v>3365</v>
      </c>
      <c r="BL457" s="1" t="s">
        <v>3047</v>
      </c>
      <c r="BM457" s="2" t="s">
        <v>3366</v>
      </c>
    </row>
    <row r="458" spans="1:69" ht="108" x14ac:dyDescent="0.45">
      <c r="A458" s="5">
        <v>457</v>
      </c>
      <c r="B458" s="8" t="s">
        <v>300</v>
      </c>
      <c r="C458" s="6" t="s">
        <v>6850</v>
      </c>
      <c r="D458" s="7" t="s">
        <v>9752</v>
      </c>
      <c r="E458" s="6" t="s">
        <v>300</v>
      </c>
      <c r="F458" s="1"/>
      <c r="G458" s="1"/>
      <c r="J458" s="1" t="s">
        <v>9753</v>
      </c>
      <c r="K458" s="2"/>
      <c r="L458" s="9" t="s">
        <v>8354</v>
      </c>
      <c r="P458" s="7" t="s">
        <v>1241</v>
      </c>
      <c r="AU458" s="15"/>
      <c r="AV458" s="1" t="s">
        <v>1502</v>
      </c>
      <c r="BG458" s="7" t="s">
        <v>1503</v>
      </c>
      <c r="BH458" s="1" t="s">
        <v>1947</v>
      </c>
      <c r="BI458" s="2" t="s">
        <v>7763</v>
      </c>
      <c r="BJ458" s="1" t="s">
        <v>1875</v>
      </c>
      <c r="BK458" s="2" t="s">
        <v>3369</v>
      </c>
      <c r="BL458" s="1" t="s">
        <v>1877</v>
      </c>
      <c r="BM458" s="2" t="s">
        <v>3370</v>
      </c>
    </row>
    <row r="459" spans="1:69" ht="324" x14ac:dyDescent="0.45">
      <c r="A459" s="5">
        <v>458</v>
      </c>
      <c r="B459" s="8" t="s">
        <v>301</v>
      </c>
      <c r="C459" s="6" t="s">
        <v>6850</v>
      </c>
      <c r="D459" s="7" t="s">
        <v>9752</v>
      </c>
      <c r="E459" s="1" t="s">
        <v>1665</v>
      </c>
      <c r="F459" s="1" t="s">
        <v>8952</v>
      </c>
      <c r="G459" s="1" t="s">
        <v>1584</v>
      </c>
      <c r="J459" s="1" t="s">
        <v>9753</v>
      </c>
      <c r="K459" s="2"/>
      <c r="L459" s="3" t="s">
        <v>8520</v>
      </c>
      <c r="P459" s="7" t="s">
        <v>1241</v>
      </c>
      <c r="Q459" s="14" t="str">
        <f>INDEX($L:$L, MATCH("incident", $B:$B, 0))</f>
        <v>&lt;span class="w"&gt;&lt;b&gt;【644.incident：出来事, 事件】&lt;/b&gt;&lt;/span&gt;
&lt;span class="ml"&gt;ラテン語に由来する語で、以下の2つの要素から成る。
&lt;span class="spacer"&gt;&lt;/span&gt;in（中に）
cadere（落ちる）
&lt;span class="spacer"&gt;&lt;/span&gt;このまま日本語にすると「中に落ちる」となる。物理的に落ちてくることから比喩的に、人や状況に降りかかる「出来事」という意味になった。
&lt;span class="spacer"&gt;&lt;/span&gt;ギリシャ語やラテン語では、自分の意思とは関係なく降りかかる出来事を「落ちてくる」という感覚で表現することがある。たとえば、occasion（場合, 時）, case（事例）, symptom（症状）といったものが挙げられる。おそらく神様が天から落とすイメージ。
&lt;span class="spacer"&gt;&lt;/span&gt; このような出来事が落ちてくるという感覚は、日本語の「チャンスが舞い込む」や「災難が降りかかる」という表現にも見られる。自分の意思ではコントロールできないことは、天から落ちてくるという感覚。&lt;/span&gt;&lt;/span&gt;</v>
      </c>
      <c r="R459" s="13" t="str">
        <f>INDEX($L:$L, MATCH("casual", $B:$B, 0))</f>
        <v>&lt;span class="w"&gt;&lt;b&gt;【881.casual：何気ない, 形式ばらない】&lt;/b&gt;&lt;/span&gt;
&lt;span class="ml"&gt;ラテン語に由来する語で、以下の2つの要素から成る。
&lt;span class="spacer"&gt;&lt;/span&gt;cadere（落ちる, 降りかかる）
alis（形容詞化）
&lt;span class="spacer"&gt;&lt;/span&gt;もともとは、出来事が突然降りかかってくることから、自分の意思とは関係のない偶然であることを表した。さらにそこから発展して、意図や事前の準備などを必要としない気楽さを表すようになり、「何気ない, 形式ばらない」という意味になった。&lt;/span&gt;</v>
      </c>
      <c r="S459" s="13" t="str">
        <f>INDEX($L:$L, MATCH("cheat", $B:$B, 0))</f>
        <v>&lt;span class="w"&gt;&lt;b&gt;【1021.cheat：〜をだます, 不正をする】&lt;/b&gt;&lt;/span&gt;
&lt;span class="ml"&gt;ラテン語に由来する語で、以下の2つの要素から成る。
&lt;span class="spacer"&gt;&lt;/span&gt;ex（外に）
cadere（落ちる）
&lt;span class="spacer"&gt;&lt;/span&gt;このまま日本語にすると「外に落ちる」となる。これは、何かが本来の道から外れて転がりこむというイメージ。
&lt;span class="spacer"&gt;&lt;/span&gt;中世の封建社会では、土地や財産を相続する人がいない（＝相続する道が断たれた）場合、その土地や財産を国が没収した（＝国に転がりこんだ）。この没収を担当した役人たちの中には、権力を盾にして不当に財産を没収する者がいたことから、相手を「だます」や「 不正をする」という意味になった。&lt;/span&gt;</v>
      </c>
      <c r="AU459" s="15"/>
      <c r="AV459" s="1" t="s">
        <v>1502</v>
      </c>
      <c r="BG459" s="7" t="s">
        <v>1503</v>
      </c>
      <c r="BH459" s="1" t="s">
        <v>1947</v>
      </c>
      <c r="BI459" s="2" t="s">
        <v>7764</v>
      </c>
      <c r="BJ459" s="1" t="s">
        <v>1959</v>
      </c>
      <c r="BK459" s="2" t="s">
        <v>3371</v>
      </c>
      <c r="BL459" s="1" t="s">
        <v>1875</v>
      </c>
      <c r="BM459" s="2" t="s">
        <v>3372</v>
      </c>
      <c r="BN459" s="1" t="s">
        <v>1877</v>
      </c>
      <c r="BO459" s="2" t="s">
        <v>3373</v>
      </c>
    </row>
    <row r="460" spans="1:69" ht="180" x14ac:dyDescent="0.45">
      <c r="A460" s="5">
        <v>459</v>
      </c>
      <c r="B460" s="8" t="s">
        <v>302</v>
      </c>
      <c r="C460" s="6" t="s">
        <v>6850</v>
      </c>
      <c r="D460" s="7" t="s">
        <v>9752</v>
      </c>
      <c r="E460" s="6" t="s">
        <v>3374</v>
      </c>
      <c r="F460" s="1" t="s">
        <v>3375</v>
      </c>
      <c r="G460" s="1" t="s">
        <v>1522</v>
      </c>
      <c r="J460" s="1" t="s">
        <v>9753</v>
      </c>
      <c r="K460" s="2" t="s">
        <v>7765</v>
      </c>
      <c r="L460" s="9" t="s">
        <v>8355</v>
      </c>
      <c r="P460" s="7" t="s">
        <v>1241</v>
      </c>
      <c r="Q460" s="13" t="str">
        <f>INDEX($L:$L, MATCH("faculty", $B:$B, 0))</f>
        <v>&lt;span class="w"&gt;&lt;b&gt;【1056.faculty：能力, 機能, 学部, 教授・スタッフ陣】&lt;/b&gt;&lt;/span&gt;
&lt;span class="ml"&gt;ラテン語に由来する語で、以下の3つの要素から成る。
&lt;span class="spacer"&gt;&lt;/span&gt;facere（行う, 作る）
ilis（〜できる, 〜しやすい）
tas（名詞化）
&lt;span class="spacer"&gt;&lt;/span&gt;この語の核は「何かを行えること」。そこから物事を実際に行う力、つまり「能力, 機能」という意味になった。
&lt;span class="spacer"&gt;&lt;/span&gt;その後、中世の大学において、特定の専門分野を教える能力や権限を持ち、教育を可能にする人々の集団を指すようになり、「学部」や「教授・スタッフ陣」を意味するようになった。
&lt;div class="sample_image faculty"&gt;&lt;/div&gt;&lt;/span&gt;</v>
      </c>
      <c r="AU460" s="15"/>
      <c r="AV460" s="1" t="s">
        <v>1502</v>
      </c>
      <c r="BG460" s="7" t="s">
        <v>1503</v>
      </c>
      <c r="BH460" s="1" t="s">
        <v>1947</v>
      </c>
      <c r="BI460" s="2" t="s">
        <v>3376</v>
      </c>
      <c r="BJ460" s="1" t="s">
        <v>1959</v>
      </c>
      <c r="BK460" s="2" t="s">
        <v>3377</v>
      </c>
      <c r="BL460" s="1" t="s">
        <v>1875</v>
      </c>
      <c r="BM460" s="2" t="s">
        <v>3378</v>
      </c>
      <c r="BN460" s="1" t="s">
        <v>1877</v>
      </c>
      <c r="BO460" s="2" t="s">
        <v>3379</v>
      </c>
    </row>
    <row r="461" spans="1:69" ht="126" x14ac:dyDescent="0.45">
      <c r="A461" s="5">
        <v>460</v>
      </c>
      <c r="B461" s="8" t="s">
        <v>303</v>
      </c>
      <c r="C461" s="6" t="s">
        <v>6850</v>
      </c>
      <c r="D461" s="7" t="s">
        <v>9752</v>
      </c>
      <c r="E461" s="1" t="s">
        <v>303</v>
      </c>
      <c r="F461" s="1"/>
      <c r="G461" s="1"/>
      <c r="J461" s="1" t="s">
        <v>9753</v>
      </c>
      <c r="K461" s="2" t="s">
        <v>7766</v>
      </c>
      <c r="L461" s="9" t="s">
        <v>8356</v>
      </c>
      <c r="P461" s="7" t="s">
        <v>1241</v>
      </c>
      <c r="AV461" s="1" t="s">
        <v>1502</v>
      </c>
      <c r="BG461" s="7" t="s">
        <v>1503</v>
      </c>
      <c r="BH461" s="1" t="s">
        <v>1872</v>
      </c>
      <c r="BI461" s="1" t="s">
        <v>3380</v>
      </c>
      <c r="BJ461" s="1" t="s">
        <v>1875</v>
      </c>
      <c r="BK461" s="2" t="s">
        <v>3381</v>
      </c>
      <c r="BL461" s="1" t="s">
        <v>1877</v>
      </c>
      <c r="BM461" s="2" t="s">
        <v>3382</v>
      </c>
    </row>
    <row r="462" spans="1:69" ht="360" x14ac:dyDescent="0.45">
      <c r="A462" s="5">
        <v>461</v>
      </c>
      <c r="B462" s="8" t="s">
        <v>1666</v>
      </c>
      <c r="C462" s="6" t="s">
        <v>6850</v>
      </c>
      <c r="D462" s="7" t="s">
        <v>9752</v>
      </c>
      <c r="E462" s="1" t="s">
        <v>46</v>
      </c>
      <c r="F462" s="1" t="s">
        <v>1250</v>
      </c>
      <c r="G462" s="1" t="s">
        <v>1895</v>
      </c>
      <c r="J462" s="1" t="s">
        <v>9753</v>
      </c>
      <c r="K462" s="2" t="s">
        <v>7767</v>
      </c>
      <c r="L462" s="3" t="s">
        <v>8357</v>
      </c>
      <c r="M462" s="1" t="s">
        <v>12115</v>
      </c>
      <c r="P462" s="7" t="s">
        <v>1241</v>
      </c>
      <c r="Q462" s="14" t="str">
        <f>INDEX($L:$L, MATCH("offer", $B:$B, 0))</f>
        <v>&lt;span class="w"&gt;&lt;b&gt;【12.offer：～を提供する, ～を申し出る】&lt;/b&gt;&lt;/span&gt;
&lt;span class="ml"&gt;ラテン語に由来する語で、以下の2つの要素から成る。
&lt;span class="spacer"&gt;&lt;/span&gt;ob（～に対して）
ferre（運ぶ）
&lt;span class="spacer"&gt;&lt;/span&gt;このまま日本語にすると「～に対して運ぶ」となる。何かを相手に対して運ぶイメージから「提供する, 申し出る」という意味になる。&lt;/span&gt;</v>
      </c>
      <c r="R462" s="14" t="str">
        <f>INDEX($L:$L, MATCH("refer", $B:$B, 0))</f>
        <v>&lt;span class="w"&gt;&lt;b&gt;【102.refer：言及する, 参照する】&lt;/b&gt;&lt;/span&gt;
&lt;span class="ml"&gt;ラテン語に由来する語で、以下の2つの要素から成る。
&lt;span class="spacer"&gt;&lt;/span&gt;re（戻る）
ferre（運ぶ）
&lt;span class="spacer"&gt;&lt;/span&gt;このまま日本語にすると「運んで戻る」となる。離れた場所にある情報を取りに行き、それを運んで戻って来ることから「参照する」という意味になる。
&lt;span class="spacer"&gt;&lt;/span&gt;また別の場所へ行って再び元の場所に戻るというイメージから、会話の中である話題に立ち寄る＝何かに「言及する」という意味になる。
&lt;div class="sample_image refer"&gt;&lt;/div&gt;&lt;/span&gt;</v>
      </c>
      <c r="S462" s="14" t="str">
        <f>INDEX($L:$L, MATCH("prefer", $B:$B, 0))</f>
        <v>&lt;span class="w"&gt;&lt;b&gt;【123.prefer：～を好む】&lt;/b&gt;&lt;/span&gt;
&lt;span class="ml"&gt;ラテン語に由来する語で、以下の2つの要素から成る。
&lt;span class="spacer"&gt;&lt;/span&gt;prae（前に, 先に）
ferre（運ぶ）
&lt;span class="spacer"&gt;&lt;/span&gt;このまま日本語にすると「前に運ぶ」となる。他のものよりも前に出すことから、他よりも高く評価する、他のよりも何かを「好む」という意味になる。
&lt;div class="sample_image prefer"&gt;&lt;/div&gt;
&lt;span class="spacer"&gt;&lt;/span&gt;prefer A to B（AよりBを好む）では、比較の対象をtoで示す。これは「前へ運ぶ」が、何に対して前なのかを示すため。つまり、Bに対して（to B）Aを前に運ぶ（好む）ことを表している。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v>
      </c>
      <c r="T462" s="14" t="str">
        <f>INDEX($L:$L, MATCH("suffer", $B:$B, 0))</f>
        <v>&lt;span class="w"&gt;&lt;b&gt;【138.suffer：苦しむ, 患う】&lt;/b&gt;&lt;/span&gt;
&lt;span class="ml"&gt;ラテン語に由来する語で、以下の2つの要素から成る。
&lt;span class="spacer"&gt;&lt;/span&gt;sub（下に）
ferre（運ぶ）
&lt;span class="spacer"&gt;&lt;/span&gt;このまま日本語にすると「下に運ぶ」となる。もともとは、物理的に重いものがのしかかることを表したが、そこからその苦しみの表現へ発展し、苦痛を受けて「苦しむ」や病気を「患う」という意味になった。
&lt;div class="sample_image suffer"&gt;&lt;/div&gt;&lt;/span&gt;</v>
      </c>
      <c r="U462" s="14" t="str">
        <f>INDEX($L:$L, MATCH("differ", $B:$B, 0))</f>
        <v>&lt;span class="w"&gt;&lt;b&gt;【514.differ：異なる】&lt;/b&gt;&lt;/span&gt;
&lt;span class="ml"&gt;ラテン語に由来する語で、以下の2つの要素から成る。
&lt;span class="spacer"&gt;&lt;/span&gt;dis（離して）
ferre（運ぶ）
&lt;span class="spacer"&gt;&lt;/span&gt;このまま日本語にすると「離れて運ぶ」となる。もともとは別々の方向に運ぶというイメージ。そこから同じではない、つまり「異なる」という意味になる。&lt;/span&gt;</v>
      </c>
      <c r="V462" s="13" t="str">
        <f>INDEX($L:$L, MATCH("transfer", $B:$B, 0))</f>
        <v>&lt;span class="w"&gt;&lt;b&gt;【611.transfer：〜を移す, 乗り換える】&lt;/b&gt;&lt;/span&gt;
&lt;span class="ml"&gt;ラテン語に由来する語で、以下の2つの要素から成る。
&lt;span class="spacer"&gt;&lt;/span&gt;trans（越えて）
ferre（運ぶ）
&lt;span class="spacer"&gt;&lt;/span&gt;このまま日本語にすると「越えて運ぶ」となる。これは、ある場所から越えた向こう側へ運ぶイメージ。そこから、物や人を一つの状態・場所・手段から別の状態・場所・手段に「移す」という意味になる。
&lt;div class="sample_image transfer"&gt;&lt;/div&gt;&lt;/span&gt;</v>
      </c>
      <c r="W462" s="13" t="str">
        <f>INDEX($L:$L, MATCH("infer", $B:$B, 0))</f>
        <v>&lt;span class="w"&gt;&lt;b&gt;【1201.infer：〜を推論する, 推測する】&lt;/b&gt;&lt;/span&gt;
&lt;span class="ml"&gt;ラテン語に由来する語で、以下の2つの要素から成る。
&lt;span class="spacer"&gt;&lt;/span&gt;in（中に）
ferre（運ぶ）
&lt;span class="spacer"&gt;&lt;/span&gt;このまま日本語にすると「中に運ぶ」となる。既にある事柄を思考の中に持ち込んで結論を出すことから、既知の情報をもとに「推論する, 推測する」という意味になる。
&lt;div class="sample_image infer"&gt;&lt;/div&gt;&lt;/span&gt;</v>
      </c>
      <c r="X462" s="13" t="str">
        <f>INDEX($L:$L, MATCH("indifferent", $B:$B, 0))</f>
        <v>&lt;span class="w"&gt;&lt;b&gt;【1091.indifferent：無関心な, どちらでもいい】&lt;/b&gt;&lt;/span&gt;
&lt;span class="ml"&gt;ラテン語に由来する語で、以下の3つの要素から成る。
&lt;span class="spacer"&gt;&lt;/span&gt;in（否定）
dis（離れて）
ferre（運ぶ）
&lt;span class="spacer"&gt;&lt;/span&gt;different（異なる）に否定のinが付いたと考えればよい。興味を引くような違いがない、違いがあったとしても気にしないというイメージから「無関心な, どちらでもいい」という意味になる。&lt;/span&gt;</v>
      </c>
      <c r="AU462" s="15"/>
      <c r="AV462" s="1" t="s">
        <v>1502</v>
      </c>
      <c r="BG462" s="7" t="s">
        <v>1503</v>
      </c>
      <c r="BH462" s="1" t="s">
        <v>1947</v>
      </c>
      <c r="BI462" s="2" t="s">
        <v>3383</v>
      </c>
      <c r="BJ462" s="1" t="s">
        <v>1967</v>
      </c>
      <c r="BK462" s="1" t="s">
        <v>3384</v>
      </c>
      <c r="BL462" s="1" t="s">
        <v>1996</v>
      </c>
      <c r="BM462" s="2" t="s">
        <v>3385</v>
      </c>
      <c r="BN462" s="1" t="s">
        <v>1877</v>
      </c>
      <c r="BO462" s="2" t="s">
        <v>3386</v>
      </c>
    </row>
    <row r="463" spans="1:69" ht="216" x14ac:dyDescent="0.45">
      <c r="A463" s="5">
        <v>462</v>
      </c>
      <c r="B463" s="8" t="s">
        <v>304</v>
      </c>
      <c r="C463" s="6" t="s">
        <v>6850</v>
      </c>
      <c r="D463" s="7" t="s">
        <v>9752</v>
      </c>
      <c r="E463" s="1" t="s">
        <v>7768</v>
      </c>
      <c r="F463" s="1" t="s">
        <v>1522</v>
      </c>
      <c r="G463" s="1"/>
      <c r="J463" s="1" t="s">
        <v>9753</v>
      </c>
      <c r="K463" s="2" t="s">
        <v>7769</v>
      </c>
      <c r="L463" s="9" t="s">
        <v>8358</v>
      </c>
      <c r="P463" s="7" t="s">
        <v>1241</v>
      </c>
      <c r="Q463" s="13" t="str">
        <f>INDEX($L:$L, MATCH("humble", $B:$B, 0))</f>
        <v>&lt;span class="w"&gt;&lt;b&gt;【1294.humble：謙虚な, 身分が低い】&lt;/b&gt;&lt;/span&gt;
&lt;span class="ml"&gt;ラテン語に由来する語で、以下の2つの要素から成る。
&lt;span class="spacer"&gt;&lt;/span&gt;humus（土, 大地）
ilis（形容詞化）
&lt;span class="spacer"&gt;&lt;/span&gt;もともとは、地面に近い、低い位置にあるといった物理的な位置を表した。そして物理的に低い位置から比喩的に、身分の低さやへりくだる姿勢を表すようになって「謙虚な, 身分の低い」という意味になった。
&lt;span class="spacer"&gt;&lt;/span&gt;human（人間）も同じラテン語humus（土, 大地）に由来する。天に住む神々に対して、大地から作られ、大地を這って生きる者として「人間」という意味になった。&lt;/span&gt;</v>
      </c>
      <c r="AU463" s="15"/>
      <c r="AV463" s="1" t="s">
        <v>1502</v>
      </c>
      <c r="BG463" s="7" t="s">
        <v>1503</v>
      </c>
      <c r="BH463" s="1" t="s">
        <v>1947</v>
      </c>
      <c r="BI463" s="2" t="s">
        <v>3387</v>
      </c>
      <c r="BJ463" s="1" t="s">
        <v>1959</v>
      </c>
      <c r="BK463" s="2" t="s">
        <v>3388</v>
      </c>
      <c r="BL463" s="1" t="s">
        <v>1875</v>
      </c>
      <c r="BM463" s="2" t="s">
        <v>3389</v>
      </c>
    </row>
    <row r="464" spans="1:69" ht="180" x14ac:dyDescent="0.45">
      <c r="A464" s="5">
        <v>463</v>
      </c>
      <c r="B464" s="8" t="s">
        <v>305</v>
      </c>
      <c r="C464" s="6" t="s">
        <v>6850</v>
      </c>
      <c r="D464" s="7" t="s">
        <v>9752</v>
      </c>
      <c r="E464" s="1" t="s">
        <v>1667</v>
      </c>
      <c r="F464" s="1" t="s">
        <v>1668</v>
      </c>
      <c r="G464" s="1"/>
      <c r="J464" s="1" t="s">
        <v>9753</v>
      </c>
      <c r="K464" s="2" t="s">
        <v>7770</v>
      </c>
      <c r="L464" s="9" t="s">
        <v>8359</v>
      </c>
      <c r="P464" s="7" t="s">
        <v>1241</v>
      </c>
      <c r="Q464" s="13" t="str">
        <f>INDEX($L:$L, MATCH("select", $B:$B, 0))</f>
        <v>&lt;span class="w"&gt;&lt;b&gt;【322.select：〜を選ぶ, えり抜く】&lt;/b&gt;&lt;/span&gt;
&lt;span class="ml"&gt;ラテン語に由来する語で、以下の2つの要素から成る。
&lt;span class="spacer"&gt;&lt;/span&gt;se（離れて）
legere（集める, 選ぶ）
&lt;span class="spacer"&gt;&lt;/span&gt;このまま日本語にすると「選んで離す」となる。全体の中から選び出して離す＝「選ぶ, えり抜く」という意味になる。&lt;/span&gt;</v>
      </c>
      <c r="R464" s="13" t="str">
        <f>INDEX($L:$L, MATCH("neglect", $B:$B, 0))</f>
        <v>&lt;span class="w"&gt;&lt;b&gt;【733.neglect：〜を無視する, 〜をおろそかにする】&lt;/b&gt;&lt;/span&gt;
&lt;span class="ml"&gt;ラテン語に由来する語で、以下の2つの要素から成る。
&lt;span class="spacer"&gt;&lt;/span&gt;nec（ない）
legere（拾い上げる, 選ぶ）
&lt;span class="spacer"&gt;&lt;/span&gt;このまま日本語にすると「拾い上げない」となる。これは、拾い上げないでそのまま放置することから、何かを「おろそかにする」という意味になる。また拾わないということが、注意を払わない、軽視するといった心理的な態度を表すようになり、「無視する」という意味にもなった。&lt;/span&gt;</v>
      </c>
      <c r="S464" s="13" t="str">
        <f>INDEX($L:$L, MATCH("elect", $B:$B, 0))</f>
        <v>&lt;span class="w"&gt;&lt;b&gt;【1137.elect：〜を選出する】&lt;/b&gt;&lt;/span&gt;
&lt;span class="ml"&gt;ラテン語に由来する語で、以下の2つの要素から成る。
&lt;span class="spacer"&gt;&lt;/span&gt;ex（外に）
legere（選ぶ）
&lt;span class="spacer"&gt;&lt;/span&gt;このまま日本語にすると「選んで外に」となる。複数の選択肢から選び出すことから、「（ある役職や地位などに）選出する」という意味になる。&lt;/span&gt;</v>
      </c>
      <c r="T464" s="13" t="str">
        <f>INDEX($L:$L, MATCH("collective", $B:$B, 0))</f>
        <v>&lt;span class="w"&gt;&lt;b&gt;【895.collective：集団の, 共同の】&lt;/b&gt;&lt;/span&gt;
&lt;span class="ml"&gt;ラテン語に由来する語で、以下の2つの要素から成る。
&lt;span class="spacer"&gt;&lt;/span&gt;com（共に）
legere（集める）
ivus（形容詞化）
&lt;span class="spacer"&gt;&lt;/span&gt;このまま日本語にすると「共に集まった」、つまり「集合の, 集団な」という意味になる。これはcollect（集める）の形容詞として覚えればよい。&lt;/span&gt;</v>
      </c>
      <c r="U464" s="13" t="str">
        <f>INDEX($L:$L, MATCH("elite", $B:$B, 0))</f>
        <v>&lt;span class="w"&gt;&lt;b&gt;【746.elite：（the eliteで）エリート（集合名詞）】&lt;/b&gt;&lt;/span&gt;
&lt;span class="ml"&gt;ラテン語に由来する語で、以下の2つの要素から成る。
&lt;span class="spacer"&gt;&lt;/span&gt;ex（外に）
legere（選ぶ）
&lt;span class="spacer"&gt;&lt;/span&gt;この語の核は「外に選び出す」。ここから選び出された人たち、つまり「エリート」という意味になった。&lt;/span&gt;</v>
      </c>
      <c r="V464" s="13" t="str">
        <f>INDEX($L:$L, MATCH("lecture", $B:$B, 0))</f>
        <v>&lt;span class="w"&gt;&lt;b&gt;【368.lecture：講義, 講演, 説教】&lt;/b&gt;&lt;/span&gt;
&lt;span class="ml"&gt;ラテン語に由来する語で、以下の2つの要素から成る。
&lt;span class="spacer"&gt;&lt;/span&gt;legere（集める, 選び取る, 言葉を選び取る, 読む）
ura（名詞化）
&lt;span class="spacer"&gt;&lt;/span&gt;もともとは、書物から特定の言葉を選び出して読み上げることを意味した。本が貴重だった時代は、教師がテキストを読み上げるのが授業の基本スタイルだったことから、「講義, 講演」という意味になる。
&lt;span class="spacer"&gt;&lt;/span&gt;また相手に何かを言い聞かせるということから「説教」という意味になる。&lt;/span&gt;</v>
      </c>
      <c r="W464" s="13" t="str">
        <f>INDEX($L:$L, MATCH("intelligent", $B:$B, 0))</f>
        <v>&lt;span class="w"&gt;&lt;b&gt;【379.intelligent：聡明な, 知能が高い】&lt;/b&gt;&lt;/span&gt;
&lt;span class="ml"&gt;ラテン語に由来する語で、以下の2つの要素から成る。
&lt;span class="spacer"&gt;&lt;/span&gt;inter（～の間に）
legere（集める, 選ぶ）
&lt;span class="spacer"&gt;&lt;/span&gt;これは、さまざまな物事や情報「の間に」ある違いを見極めて「選ぶ」能力があるということを表す。ここから「知能の高い, 聡明な」という意味になる。
&lt;span class="spacer"&gt;&lt;/span&gt;AI（人工知能）は、Artificial（人工的な）Inteligence（知能）の略。inteligence（知能）の形容詞がintelligent（知能が高い）。&lt;/span&gt;</v>
      </c>
      <c r="X464" s="13" t="str">
        <f>INDEX($L:$L, MATCH("colleague", $B:$B, 0))</f>
        <v>&lt;span class="w"&gt;&lt;b&gt;【246.colleague：同僚】&lt;/b&gt;&lt;/span&gt;
&lt;span class="ml"&gt;ラテン語に由来する語で、以下の2つの要素から成る。
&lt;span class="spacer"&gt;&lt;/span&gt;com（共に）
legare（任命して派遣する）
&lt;span class="spacer"&gt;&lt;/span&gt;これは「同じ職務に就くために共に派遣された者」から「同僚」という意味になる。&lt;/span&gt;</v>
      </c>
      <c r="AU464" s="15"/>
      <c r="AV464" s="1" t="s">
        <v>1502</v>
      </c>
      <c r="BG464" s="7" t="s">
        <v>1503</v>
      </c>
      <c r="BH464" s="1" t="s">
        <v>2458</v>
      </c>
      <c r="BI464" s="2" t="s">
        <v>3390</v>
      </c>
      <c r="BJ464" s="1" t="s">
        <v>1996</v>
      </c>
      <c r="BK464" s="1" t="s">
        <v>3391</v>
      </c>
      <c r="BL464" s="1" t="s">
        <v>1877</v>
      </c>
      <c r="BM464" s="2" t="s">
        <v>3392</v>
      </c>
    </row>
    <row r="465" spans="1:71" ht="270" x14ac:dyDescent="0.45">
      <c r="A465" s="5">
        <v>464</v>
      </c>
      <c r="B465" s="8" t="s">
        <v>1669</v>
      </c>
      <c r="C465" s="6" t="s">
        <v>6850</v>
      </c>
      <c r="D465" s="7" t="s">
        <v>9752</v>
      </c>
      <c r="E465" s="1" t="s">
        <v>31</v>
      </c>
      <c r="F465" s="1" t="s">
        <v>4808</v>
      </c>
      <c r="G465" s="1"/>
      <c r="J465" s="1" t="s">
        <v>9753</v>
      </c>
      <c r="K465" s="2" t="s">
        <v>7771</v>
      </c>
      <c r="L465" s="3" t="s">
        <v>11621</v>
      </c>
      <c r="P465" s="7" t="s">
        <v>1241</v>
      </c>
      <c r="Q465" s="14" t="str">
        <f>INDEX($L:$L, MATCH("portion", $B:$B, 0))</f>
        <v>&lt;span class="w"&gt;&lt;b&gt;【869.portion：部分, 1人前, 割り当て】&lt;/b&gt;&lt;/span&gt;
&lt;span class="ml"&gt;ラテン語portio（部分, 分け前）に由来する。
&lt;span class="spacer"&gt;&lt;/span&gt;この語の核は「全体を分けて何かに割り当てた部分」。そこから「1人前, 割り当て, 部分」という意味になる。&lt;/span&gt;</v>
      </c>
      <c r="R465" s="14" t="str">
        <f>INDEX($L:$L, MATCH("particle", $B:$B, 0))</f>
        <v>&lt;span class="w"&gt;&lt;b&gt;【1059.particle：（微）粒子, ほんのわずか】&lt;/b&gt;&lt;/span&gt;
&lt;span class="ml"&gt;ラテン語に由来する語で、以下の2つの要素から成る。
&lt;span class="spacer"&gt;&lt;/span&gt;pars（部分）
cula（小さいことを表す）
&lt;span class="spacer"&gt;&lt;/span&gt;このまま日本語にすると「小さい部分」となり、そこから「（微）粒子, ほんのわずか」という意味になった。&lt;/span&gt;</v>
      </c>
      <c r="S465" s="14" t="str">
        <f>INDEX($L:$L, MATCH("partial", $B:$B, 0))</f>
        <v>&lt;span class="w"&gt;&lt;b&gt;【1491.partial：部分的な, 不公平な】&lt;/b&gt;&lt;/span&gt;
&lt;span class="ml"&gt;ラテン語に由来する語で、以下の2つの要素から成る。
&lt;span class="spacer"&gt;&lt;/span&gt;pars（部分）
alis（形容詞化）
&lt;span class="spacer"&gt;&lt;/span&gt;これはpart（部分）の形容詞として考えればよい。「部分的な」という意味だけではなく、全体的に公平ではなくある一部分に偏っているという発想から「不公平な」という意味にもなる。&lt;/span&gt;</v>
      </c>
      <c r="T465" s="14" t="str">
        <f>INDEX($L:$L, MATCH("depart", $B:$B, 0))</f>
        <v>&lt;span class="w"&gt;&lt;b&gt;【1415.depart：出発する, それる】&lt;/b&gt;&lt;/span&gt;
&lt;span class="ml"&gt;ラテン語に由来する語で、以下の2つの要素から成る。
&lt;span class="spacer"&gt;&lt;/span&gt;de（〜から）
pars（部分, 分け前）から派生したpartire（分ける）
&lt;span class="spacer"&gt;&lt;/span&gt;このまま日本語にすると「〜から分ける」となる。くっついてまとまっている状態から分かれて離れるイメージ。そこから、今いる場所から離れる＝「出発する」や、本来の流れから「それる」という意味になる。
&lt;div class="sample_image depart"&gt;&lt;/div&gt;&lt;/span&gt;</v>
      </c>
      <c r="U465" s="14" t="str">
        <f>INDEX($L:$L, MATCH("counterpart", $B:$B, 0))</f>
        <v>&lt;span class="w"&gt;&lt;b&gt;【969.counterpart：相当する物や人】&lt;/b&gt;&lt;/span&gt;
&lt;span class="ml"&gt;フランス語に由来する語で、以下の2つの要素から成る。
&lt;span class="spacer"&gt;&lt;/span&gt;contra（対して）
partie（分けられたもの, 部分, 写し）
&lt;span class="spacer"&gt;&lt;/span&gt;このまま日本語にすると「何かに対応させて分けられたもの」となる。もともとは法的な文書を写して分けたものを表した。法的文書の写しは元の文書と同等のものであることから、一般的な意味に発展し、何かに「相当する物や人」という意味になった。&lt;/span&gt;</v>
      </c>
      <c r="V465" s="13" t="str">
        <f>INDEX($L:$L, MATCH("particular", $B:$B, 0))</f>
        <v>&lt;span class="w"&gt;&lt;b&gt;【90.particular：特定の, こだわる】&lt;/b&gt;&lt;/span&gt;
&lt;span class="ml"&gt;ラテン語に由来する語で、以下の3つの要素から成る。
&lt;span class="spacer"&gt;&lt;/span&gt;pars（部分：partの語源）
cula（小さいことを表す）
arius（形容詞化）
&lt;span class="spacer"&gt;&lt;/span&gt;このまま日本語にすると「小さな部分の」となる。全体ではなく、ある一部分に目を向けることから、「特定の」という意味になる。また全体ではなく、細かい部分に目がいくということから、「こだわる, 口うるさい」という意味になる。&lt;/span&gt;</v>
      </c>
      <c r="AU465" s="15"/>
      <c r="AV465" s="1" t="s">
        <v>1502</v>
      </c>
      <c r="BG465" s="7" t="s">
        <v>1503</v>
      </c>
      <c r="BH465" s="1" t="s">
        <v>1947</v>
      </c>
      <c r="BI465" s="2" t="s">
        <v>3393</v>
      </c>
      <c r="BJ465" s="1" t="s">
        <v>1959</v>
      </c>
      <c r="BK465" s="2" t="s">
        <v>3394</v>
      </c>
      <c r="BL465" s="1" t="s">
        <v>1875</v>
      </c>
      <c r="BM465" s="2" t="s">
        <v>3395</v>
      </c>
    </row>
    <row r="466" spans="1:71" ht="198" x14ac:dyDescent="0.45">
      <c r="A466" s="5">
        <v>465</v>
      </c>
      <c r="B466" s="8" t="s">
        <v>306</v>
      </c>
      <c r="C466" s="6" t="s">
        <v>6850</v>
      </c>
      <c r="D466" s="7" t="s">
        <v>9752</v>
      </c>
      <c r="E466" s="1" t="s">
        <v>306</v>
      </c>
      <c r="F466" s="1"/>
      <c r="G466" s="1"/>
      <c r="J466" s="1" t="s">
        <v>9753</v>
      </c>
      <c r="K466" s="2"/>
      <c r="L466" s="9" t="s">
        <v>8360</v>
      </c>
      <c r="P466" s="7" t="s">
        <v>1241</v>
      </c>
      <c r="AV466" s="1" t="s">
        <v>1502</v>
      </c>
      <c r="BG466" s="7" t="s">
        <v>1503</v>
      </c>
    </row>
    <row r="467" spans="1:71" ht="108" x14ac:dyDescent="0.45">
      <c r="A467" s="5">
        <v>466</v>
      </c>
      <c r="B467" s="8" t="s">
        <v>307</v>
      </c>
      <c r="C467" s="6" t="s">
        <v>6850</v>
      </c>
      <c r="D467" s="7" t="s">
        <v>9752</v>
      </c>
      <c r="E467" s="1" t="s">
        <v>1670</v>
      </c>
      <c r="F467" s="1" t="s">
        <v>1671</v>
      </c>
      <c r="G467" s="1"/>
      <c r="J467" s="1" t="s">
        <v>9753</v>
      </c>
      <c r="K467" s="2" t="s">
        <v>7772</v>
      </c>
      <c r="L467" s="9" t="s">
        <v>8361</v>
      </c>
      <c r="P467" s="7" t="s">
        <v>1241</v>
      </c>
      <c r="AU467" s="15"/>
      <c r="AV467" s="1" t="s">
        <v>1502</v>
      </c>
      <c r="BG467" s="7" t="s">
        <v>1503</v>
      </c>
      <c r="BH467" s="1" t="s">
        <v>1875</v>
      </c>
      <c r="BI467" s="2" t="s">
        <v>3396</v>
      </c>
    </row>
    <row r="468" spans="1:71" ht="162" x14ac:dyDescent="0.45">
      <c r="A468" s="5">
        <v>467</v>
      </c>
      <c r="B468" s="8" t="s">
        <v>308</v>
      </c>
      <c r="C468" s="6" t="s">
        <v>6850</v>
      </c>
      <c r="D468" s="7" t="s">
        <v>9752</v>
      </c>
      <c r="E468" s="1" t="s">
        <v>308</v>
      </c>
      <c r="F468" s="1"/>
      <c r="G468" s="1"/>
      <c r="J468" s="1" t="s">
        <v>9753</v>
      </c>
      <c r="K468" s="1" t="s">
        <v>7773</v>
      </c>
      <c r="L468" s="3" t="s">
        <v>8362</v>
      </c>
      <c r="P468" s="7" t="s">
        <v>1241</v>
      </c>
      <c r="AU468" s="15"/>
      <c r="AV468" s="1" t="s">
        <v>1502</v>
      </c>
      <c r="BG468" s="7" t="s">
        <v>1503</v>
      </c>
      <c r="BH468" s="1" t="s">
        <v>1959</v>
      </c>
      <c r="BI468" s="2" t="s">
        <v>7774</v>
      </c>
      <c r="BJ468" s="1" t="s">
        <v>1875</v>
      </c>
      <c r="BK468" s="2" t="s">
        <v>7775</v>
      </c>
    </row>
    <row r="469" spans="1:71" ht="144" x14ac:dyDescent="0.45">
      <c r="A469" s="5">
        <v>468</v>
      </c>
      <c r="B469" s="8" t="s">
        <v>309</v>
      </c>
      <c r="C469" s="6" t="s">
        <v>6850</v>
      </c>
      <c r="D469" s="7" t="s">
        <v>9752</v>
      </c>
      <c r="E469" s="1" t="s">
        <v>1467</v>
      </c>
      <c r="F469" s="1" t="s">
        <v>1672</v>
      </c>
      <c r="G469" s="1"/>
      <c r="J469" s="1" t="s">
        <v>9753</v>
      </c>
      <c r="K469" s="2" t="s">
        <v>7776</v>
      </c>
      <c r="L469" s="3" t="s">
        <v>8363</v>
      </c>
      <c r="M469" s="1" t="s">
        <v>12122</v>
      </c>
      <c r="P469" s="7" t="s">
        <v>1241</v>
      </c>
      <c r="Q469" s="13" t="str">
        <f>INDEX($L:$L, MATCH("force", $B:$B, 0))</f>
        <v>&lt;span class="w"&gt;&lt;b&gt;【22.force：強いる】&lt;/b&gt;&lt;/span&gt;
&lt;span class="ml"&gt;ラテン語fortis（力強い）に由来する。
&lt;span class="spacer"&gt;&lt;/span&gt;「力強い」から名詞の「力」、さらに力を使って何かをする＝「強いる・強制する」という動詞になる。&lt;/span&gt;</v>
      </c>
      <c r="R469" s="13" t="str">
        <f>INDEX($L:$L, MATCH("enforce", $B:$B, 0))</f>
        <v>&lt;span class="w"&gt;&lt;b&gt;【1225.enforce：〜を実施（施行）する, 〜を強制する】&lt;/b&gt;&lt;/span&gt;
&lt;span class="ml"&gt;中英語にさかのぼり、以下の2つの要素から成る。
&lt;span class="spacer"&gt;&lt;/span&gt;en（〜にする, 中に）
force（力）
&lt;span class="spacer"&gt;&lt;/span&gt;このまま日本語にすると「中に力を入れる」となる。対象に力を入れ、力を持った状態にすることから、法や規則、義務などに力を持たせてそれを人々に守らせる＝何かを「実施する, 施行する, 強制する」という意味になった。&lt;/span&gt;</v>
      </c>
      <c r="S469" s="13" t="str">
        <f>INDEX($L:$L, MATCH("reinforce", $B:$B, 0))</f>
        <v>&lt;span class="w"&gt;&lt;b&gt;【1107.reinforce：〜を強化する, 〜を補強する】&lt;/b&gt;&lt;/span&gt;
&lt;span class="ml"&gt;中英語から近代英語にさかのぼり、以下の3つの要素から成る。
&lt;span class="spacer"&gt;&lt;/span&gt;re（再び）
en（中に）
force（力）
&lt;span class="spacer"&gt;&lt;/span&gt;このまま日本語にすると「再び力を入れる」となる。そこから「強化する, 補強する」という意味になる。&lt;/span&gt;</v>
      </c>
      <c r="AU469" s="15"/>
      <c r="AV469" s="1" t="s">
        <v>1502</v>
      </c>
      <c r="BG469" s="7" t="s">
        <v>1503</v>
      </c>
      <c r="BH469" s="1" t="s">
        <v>1947</v>
      </c>
      <c r="BI469" s="2" t="s">
        <v>3397</v>
      </c>
      <c r="BJ469" s="1" t="s">
        <v>2036</v>
      </c>
      <c r="BK469" s="2" t="s">
        <v>3398</v>
      </c>
      <c r="BL469" s="1" t="s">
        <v>1959</v>
      </c>
      <c r="BM469" s="2" t="s">
        <v>3399</v>
      </c>
      <c r="BN469" s="1" t="s">
        <v>1875</v>
      </c>
      <c r="BO469" s="2" t="s">
        <v>3400</v>
      </c>
    </row>
    <row r="470" spans="1:71" ht="126" x14ac:dyDescent="0.45">
      <c r="A470" s="5">
        <v>469</v>
      </c>
      <c r="B470" s="8" t="s">
        <v>310</v>
      </c>
      <c r="C470" s="6" t="s">
        <v>6850</v>
      </c>
      <c r="D470" s="7" t="s">
        <v>9752</v>
      </c>
      <c r="E470" s="1" t="s">
        <v>1673</v>
      </c>
      <c r="F470" s="1" t="s">
        <v>1674</v>
      </c>
      <c r="G470" s="1"/>
      <c r="J470" s="1" t="s">
        <v>9753</v>
      </c>
      <c r="K470" s="2" t="s">
        <v>7777</v>
      </c>
      <c r="L470" s="9" t="s">
        <v>8364</v>
      </c>
      <c r="P470" s="7" t="s">
        <v>1241</v>
      </c>
      <c r="Q470" s="13" t="str">
        <f>INDEX($L:$L, MATCH("sophisticated", $B:$B, 0))</f>
        <v>&lt;span class="w"&gt;&lt;b&gt;【684.sophisticated：高性能な, 洗練された】&lt;/b&gt;&lt;/span&gt;
&lt;span class="ml"&gt;ギリシャ語sophos（知恵）から派生したsophistēs（賢者, 教師）に由来する。
&lt;span class="spacer"&gt;&lt;/span&gt;もともとは、賢者や教師（＝ソフィスト）を表していた。一部のソフィストたちが議論に勝つために言葉巧みに相手を騙したり、こじつけを用いたりするようになったため、「詭弁（ごまかし）を弄する」というネガティブなニュアンスを持つようになった。
&lt;span class="spacer"&gt;&lt;/span&gt;さらに詭弁から発展して、何かの本質を曲げる、不純物を混ぜて自然な状態を損なうといった意味で使われていた。
&lt;span class="spacer"&gt;&lt;/span&gt;時代が進んで近代英語期になると、不純物があるというネガティブなニュアンスから、人の手が加わっていて単純ではないということがポジティブに受け取られるようになる。そうして人については「洗練されている」、物については「精巧な, 高性能な」という意味になった。&lt;/span&gt;</v>
      </c>
      <c r="AU470" s="15"/>
      <c r="AV470" s="1" t="s">
        <v>1502</v>
      </c>
      <c r="BG470" s="7" t="s">
        <v>1503</v>
      </c>
      <c r="BH470" s="1" t="s">
        <v>2458</v>
      </c>
      <c r="BI470" s="2" t="s">
        <v>3401</v>
      </c>
      <c r="BJ470" s="1" t="s">
        <v>1947</v>
      </c>
      <c r="BK470" s="1" t="s">
        <v>3402</v>
      </c>
      <c r="BL470" s="1" t="s">
        <v>1959</v>
      </c>
      <c r="BM470" s="1" t="s">
        <v>3403</v>
      </c>
      <c r="BN470" s="1" t="s">
        <v>1875</v>
      </c>
      <c r="BO470" s="2" t="s">
        <v>3404</v>
      </c>
      <c r="BP470" s="1" t="s">
        <v>1877</v>
      </c>
      <c r="BQ470" s="2" t="s">
        <v>3405</v>
      </c>
    </row>
    <row r="471" spans="1:71" ht="90" x14ac:dyDescent="0.45">
      <c r="A471" s="5">
        <v>470</v>
      </c>
      <c r="B471" s="8" t="s">
        <v>311</v>
      </c>
      <c r="C471" s="6" t="s">
        <v>6850</v>
      </c>
      <c r="D471" s="7" t="s">
        <v>9752</v>
      </c>
      <c r="E471" s="1" t="s">
        <v>1675</v>
      </c>
      <c r="F471" s="1" t="s">
        <v>49</v>
      </c>
      <c r="G471" s="1"/>
      <c r="J471" s="1" t="s">
        <v>9753</v>
      </c>
      <c r="K471" s="2"/>
      <c r="L471" s="9" t="s">
        <v>8365</v>
      </c>
      <c r="P471" s="7" t="s">
        <v>1241</v>
      </c>
      <c r="AU471" s="15"/>
      <c r="AV471" s="1" t="s">
        <v>1502</v>
      </c>
      <c r="BG471" s="7" t="s">
        <v>1503</v>
      </c>
      <c r="BH471" s="1" t="s">
        <v>1947</v>
      </c>
      <c r="BI471" s="2" t="s">
        <v>3406</v>
      </c>
      <c r="BJ471" s="1" t="s">
        <v>2036</v>
      </c>
      <c r="BK471" s="2" t="s">
        <v>3407</v>
      </c>
      <c r="BL471" s="1" t="s">
        <v>3408</v>
      </c>
      <c r="BM471" s="2" t="s">
        <v>3409</v>
      </c>
      <c r="BN471" s="1" t="s">
        <v>1877</v>
      </c>
      <c r="BO471" s="2" t="s">
        <v>3410</v>
      </c>
    </row>
    <row r="472" spans="1:71" ht="126" x14ac:dyDescent="0.45">
      <c r="A472" s="5">
        <v>471</v>
      </c>
      <c r="B472" s="8" t="s">
        <v>1676</v>
      </c>
      <c r="C472" s="6" t="s">
        <v>6850</v>
      </c>
      <c r="D472" s="7" t="s">
        <v>9752</v>
      </c>
      <c r="E472" s="1" t="s">
        <v>7778</v>
      </c>
      <c r="F472" s="1" t="s">
        <v>1522</v>
      </c>
      <c r="G472" s="1"/>
      <c r="J472" s="1" t="s">
        <v>9753</v>
      </c>
      <c r="K472" s="2" t="s">
        <v>1677</v>
      </c>
      <c r="L472" s="4" t="s">
        <v>8366</v>
      </c>
      <c r="P472" s="7" t="s">
        <v>1241</v>
      </c>
      <c r="Q472" s="13" t="str">
        <f>INDEX($L:$L, MATCH("quality", $B:$B, 0))</f>
        <v>&lt;span class="w"&gt;&lt;b&gt;【69.quality：質】&lt;/b&gt;&lt;/span&gt;
&lt;span class="ml"&gt;ラテン語に由来する語で、以下の2つの要素から成る。
&lt;span class="spacer"&gt;&lt;/span&gt;qualis（どんな種類の）
tas（名詞化）
&lt;span class="spacer"&gt;&lt;/span&gt;このまま日本語にすると「どんな種類かをす示すもの」となる。つまりそのものの「質」という意味になる。&lt;/span&gt;</v>
      </c>
      <c r="AU472" s="15"/>
      <c r="AV472" s="1" t="s">
        <v>1502</v>
      </c>
      <c r="BG472" s="7" t="s">
        <v>1503</v>
      </c>
      <c r="BH472" s="1" t="s">
        <v>1947</v>
      </c>
      <c r="BI472" s="2" t="s">
        <v>3411</v>
      </c>
      <c r="BJ472" s="1" t="s">
        <v>1959</v>
      </c>
      <c r="BK472" s="1" t="s">
        <v>3412</v>
      </c>
      <c r="BL472" s="1" t="s">
        <v>1875</v>
      </c>
      <c r="BM472" s="2" t="s">
        <v>3413</v>
      </c>
    </row>
    <row r="473" spans="1:71" ht="126" x14ac:dyDescent="0.45">
      <c r="A473" s="5">
        <v>472</v>
      </c>
      <c r="B473" s="8" t="s">
        <v>312</v>
      </c>
      <c r="C473" s="6" t="s">
        <v>6850</v>
      </c>
      <c r="D473" s="7" t="s">
        <v>9752</v>
      </c>
      <c r="E473" s="1" t="s">
        <v>1678</v>
      </c>
      <c r="F473" s="1" t="s">
        <v>1679</v>
      </c>
      <c r="G473" s="1"/>
      <c r="J473" s="1" t="s">
        <v>9753</v>
      </c>
      <c r="K473" s="2"/>
      <c r="L473" s="9" t="s">
        <v>8367</v>
      </c>
      <c r="P473" s="7" t="s">
        <v>1241</v>
      </c>
      <c r="AU473" s="15"/>
      <c r="AV473" s="1" t="s">
        <v>1502</v>
      </c>
      <c r="BG473" s="7" t="s">
        <v>1503</v>
      </c>
      <c r="BH473" s="1" t="s">
        <v>3414</v>
      </c>
      <c r="BI473" s="2" t="s">
        <v>7779</v>
      </c>
      <c r="BJ473" s="1" t="s">
        <v>3415</v>
      </c>
      <c r="BK473" s="1" t="s">
        <v>3416</v>
      </c>
      <c r="BL473" s="1" t="s">
        <v>1877</v>
      </c>
      <c r="BM473" s="2" t="s">
        <v>3417</v>
      </c>
    </row>
    <row r="474" spans="1:71" ht="180" x14ac:dyDescent="0.45">
      <c r="A474" s="5">
        <v>473</v>
      </c>
      <c r="B474" s="8" t="s">
        <v>313</v>
      </c>
      <c r="C474" s="6" t="s">
        <v>6850</v>
      </c>
      <c r="D474" s="7" t="s">
        <v>9752</v>
      </c>
      <c r="E474" s="1" t="s">
        <v>313</v>
      </c>
      <c r="F474" s="1"/>
      <c r="G474" s="1"/>
      <c r="J474" s="1" t="s">
        <v>9753</v>
      </c>
      <c r="K474" s="2" t="s">
        <v>7780</v>
      </c>
      <c r="L474" s="9" t="s">
        <v>8368</v>
      </c>
      <c r="M474" s="1" t="s">
        <v>12179</v>
      </c>
      <c r="P474" s="7" t="s">
        <v>1241</v>
      </c>
      <c r="Q474" s="13" t="str">
        <f>INDEX($L:$L, MATCH("attribute", $B:$B, 0))</f>
        <v>&lt;span class="w"&gt;&lt;b&gt;【723.attribute：Aを（Bに）帰する】&lt;/b&gt;&lt;/span&gt;
&lt;span class="ml"&gt;ラテン語に由来する語で、以下の2つの要素から成る。
&lt;span class="spacer"&gt;&lt;/span&gt;ad（〜へ）
tribus（部族）から派生したtribuere（割り当てる）
&lt;span class="spacer"&gt;&lt;/span&gt;このまま日本語にすると「〜へ割り当てる」となる。①はこの部族に、②はこの部族に…というように、何かを特定の部族に割り当てることから、比喩的に、この成功は〜に、この失敗は〜に、というように結果や性質を何かに「帰する」という意味になった。
&lt;div class="sample_image attribute"&gt;&lt;/div&gt;&lt;/span&gt;</v>
      </c>
      <c r="R474" s="13" t="str">
        <f>INDEX($L:$L, MATCH("contribute", $B:$B, 0))</f>
        <v>&lt;span class="w"&gt;&lt;b&gt;【228.contribute：寄付する, 貢献する, 一因となる】&lt;/b&gt;&lt;/span&gt;
&lt;span class="ml"&gt;ラテン語に由来する語で、以下の2つの要素から成る。
&lt;span class="spacer"&gt;&lt;/span&gt;com（共に）
tribuere（割り当てる, 与える）
&lt;span class="spacer"&gt;&lt;/span&gt;このまま日本語にすると「共に割り当てる, 与える」となる。他人と一緒に何かを与えるイメージから、みんなで「寄付する, 貢献する」という意味になる。また結果に貢献した場合は、結果の「一因となる」と表現できる。
&lt;div class="sample_image contribute"&gt;&lt;/div&gt;&lt;/span&gt;</v>
      </c>
      <c r="S474" s="13" t="str">
        <f>INDEX($L:$L, MATCH("distribute", $B:$B, 0))</f>
        <v>&lt;span class="w"&gt;&lt;b&gt;【807.distribute：〜を分配する】&lt;/b&gt;&lt;/span&gt;
&lt;span class="ml"&gt;ラテン語に由来する語で、以下の2つの要素から成る。
&lt;span class="spacer"&gt;&lt;/span&gt;dis（分けて）
tribus（部族）から派生したtribuere（割り当てる）
&lt;span class="spacer"&gt;&lt;/span&gt;このまま日本語にすると「分けて与える」つまり「分配する」という意味になる。
&lt;span class="spacer"&gt;&lt;/span&gt;tribute部分は、tribe（部族）に割り当てることが核。①は部族Aに、②は部族Bに…という形で与えるイメージ。
&lt;div class="sample_image distribute"&gt;&lt;/div&gt;&lt;/span&gt;</v>
      </c>
      <c r="AV474" s="1" t="s">
        <v>1502</v>
      </c>
      <c r="BG474" s="7" t="s">
        <v>1503</v>
      </c>
      <c r="BH474" s="1" t="s">
        <v>1976</v>
      </c>
      <c r="BI474" s="1" t="s">
        <v>3418</v>
      </c>
      <c r="BJ474" s="1" t="s">
        <v>1947</v>
      </c>
      <c r="BK474" s="1" t="s">
        <v>3419</v>
      </c>
      <c r="BL474" s="1" t="s">
        <v>1959</v>
      </c>
      <c r="BM474" s="1" t="s">
        <v>3420</v>
      </c>
      <c r="BN474" s="1" t="s">
        <v>1875</v>
      </c>
      <c r="BO474" s="2" t="s">
        <v>3421</v>
      </c>
      <c r="BP474" s="1" t="s">
        <v>1877</v>
      </c>
      <c r="BQ474" s="2" t="s">
        <v>3422</v>
      </c>
    </row>
    <row r="475" spans="1:71" ht="126" x14ac:dyDescent="0.45">
      <c r="A475" s="5">
        <v>474</v>
      </c>
      <c r="B475" s="8" t="s">
        <v>314</v>
      </c>
      <c r="C475" s="6" t="s">
        <v>6850</v>
      </c>
      <c r="D475" s="7" t="s">
        <v>9752</v>
      </c>
      <c r="E475" s="6" t="s">
        <v>314</v>
      </c>
      <c r="F475" s="1"/>
      <c r="G475" s="1"/>
      <c r="J475" s="1" t="s">
        <v>9753</v>
      </c>
      <c r="K475" s="2" t="s">
        <v>7781</v>
      </c>
      <c r="L475" s="9" t="s">
        <v>8369</v>
      </c>
      <c r="P475" s="7" t="s">
        <v>1241</v>
      </c>
      <c r="Q475" s="13" t="str">
        <f>INDEX($L:$L, MATCH("organize", $B:$B, 0))</f>
        <v>&lt;span class="w"&gt;&lt;b&gt;【328.organize：～を準備する, ～を組織する】&lt;/b&gt;&lt;/span&gt;
&lt;span class="ml"&gt;ラテン語に由来する語で、以下の2つの要素から成る。
&lt;span class="spacer"&gt;&lt;/span&gt;organum（器官, 楽器）
izare（動詞化）
&lt;span class="spacer"&gt;&lt;/span&gt;organizeは、体の器官や楽器のように、各パーツがまとまって全体を機能させるというイメージ。ここから、各パーツを用意したり関係づけたりして「準備する」、そして全体を「組織する」という意味になる。
&lt;span class="spacer"&gt;&lt;/span&gt;人間の身体は、さまざまな器官が相互に作用しながら全体として機能している。このようにさまざまな部分を準備し、全体を組織することで全体を機能させるのがorganizeという動詞。&lt;/span&gt;</v>
      </c>
      <c r="AV475" s="1" t="s">
        <v>1502</v>
      </c>
      <c r="BG475" s="7" t="s">
        <v>1503</v>
      </c>
      <c r="BH475" s="1" t="s">
        <v>2458</v>
      </c>
      <c r="BI475" s="1" t="s">
        <v>7782</v>
      </c>
      <c r="BJ475" s="1" t="s">
        <v>1947</v>
      </c>
      <c r="BK475" s="2" t="s">
        <v>3423</v>
      </c>
      <c r="BL475" s="1" t="s">
        <v>1967</v>
      </c>
      <c r="BM475" s="1" t="s">
        <v>3424</v>
      </c>
      <c r="BN475" s="1" t="s">
        <v>3425</v>
      </c>
      <c r="BO475" s="2" t="s">
        <v>3426</v>
      </c>
      <c r="BP475" s="1" t="s">
        <v>1875</v>
      </c>
      <c r="BQ475" s="2" t="s">
        <v>3427</v>
      </c>
      <c r="BR475" s="1" t="s">
        <v>1877</v>
      </c>
      <c r="BS475" s="2" t="s">
        <v>3428</v>
      </c>
    </row>
    <row r="476" spans="1:71" ht="108" x14ac:dyDescent="0.45">
      <c r="A476" s="5">
        <v>475</v>
      </c>
      <c r="B476" s="8" t="s">
        <v>315</v>
      </c>
      <c r="C476" s="6" t="s">
        <v>6850</v>
      </c>
      <c r="D476" s="7" t="s">
        <v>9752</v>
      </c>
      <c r="E476" s="6" t="s">
        <v>315</v>
      </c>
      <c r="F476" s="1"/>
      <c r="G476" s="1"/>
      <c r="J476" s="1" t="s">
        <v>9753</v>
      </c>
      <c r="K476" s="2" t="s">
        <v>7783</v>
      </c>
      <c r="L476" s="9" t="s">
        <v>8370</v>
      </c>
      <c r="P476" s="7" t="s">
        <v>1241</v>
      </c>
      <c r="AV476" s="1" t="s">
        <v>1502</v>
      </c>
      <c r="BG476" s="7" t="s">
        <v>1503</v>
      </c>
      <c r="BH476" s="1" t="s">
        <v>1959</v>
      </c>
      <c r="BI476" s="1" t="s">
        <v>3429</v>
      </c>
      <c r="BJ476" s="1" t="s">
        <v>2114</v>
      </c>
      <c r="BK476" s="2" t="s">
        <v>3430</v>
      </c>
      <c r="BL476" s="1" t="s">
        <v>1875</v>
      </c>
      <c r="BM476" s="2" t="s">
        <v>3431</v>
      </c>
      <c r="BN476" s="1" t="s">
        <v>1877</v>
      </c>
      <c r="BO476" s="2" t="s">
        <v>3432</v>
      </c>
    </row>
    <row r="477" spans="1:71" ht="90" x14ac:dyDescent="0.45">
      <c r="A477" s="5">
        <v>476</v>
      </c>
      <c r="B477" s="8" t="s">
        <v>316</v>
      </c>
      <c r="C477" s="6" t="s">
        <v>6850</v>
      </c>
      <c r="D477" s="7" t="s">
        <v>9752</v>
      </c>
      <c r="E477" s="6" t="s">
        <v>316</v>
      </c>
      <c r="F477" s="1"/>
      <c r="G477" s="1"/>
      <c r="J477" s="1" t="s">
        <v>9753</v>
      </c>
      <c r="K477" s="2" t="s">
        <v>7784</v>
      </c>
      <c r="L477" s="4" t="s">
        <v>8371</v>
      </c>
      <c r="P477" s="7" t="s">
        <v>1241</v>
      </c>
      <c r="Q477" s="13" t="str">
        <f>INDEX($L:$L, MATCH("enormous", $B:$B, 0))</f>
        <v>&lt;span class="w"&gt;&lt;b&gt;【394.enormous：莫大な, 巨大な】&lt;/b&gt;&lt;/span&gt;
&lt;span class="ml"&gt;ラテン語に由来する語で、以下の2つの要素から成る。
&lt;span class="spacer"&gt;&lt;/span&gt;ex（外に）
norma（基準, ノルマ）
&lt;span class="spacer"&gt;&lt;/span&gt;このまま日本語にすると「基準の外に」となる。基準から外れている、並外れたというイメージから「莫大な, 巨大な」という意味になる。&lt;/span&gt;</v>
      </c>
      <c r="AU477" s="15"/>
      <c r="AV477" s="1" t="s">
        <v>1502</v>
      </c>
      <c r="BG477" s="7" t="s">
        <v>1503</v>
      </c>
      <c r="BH477" s="1" t="s">
        <v>1947</v>
      </c>
      <c r="BI477" s="2" t="s">
        <v>3433</v>
      </c>
      <c r="BJ477" s="1" t="s">
        <v>1996</v>
      </c>
      <c r="BK477" s="1" t="s">
        <v>3434</v>
      </c>
      <c r="BL477" s="1" t="s">
        <v>1877</v>
      </c>
      <c r="BM477" s="2" t="s">
        <v>3435</v>
      </c>
    </row>
    <row r="478" spans="1:71" ht="180" x14ac:dyDescent="0.45">
      <c r="A478" s="5">
        <v>477</v>
      </c>
      <c r="B478" s="8" t="s">
        <v>317</v>
      </c>
      <c r="C478" s="6" t="s">
        <v>6850</v>
      </c>
      <c r="D478" s="7" t="s">
        <v>9752</v>
      </c>
      <c r="E478" s="1" t="s">
        <v>317</v>
      </c>
      <c r="F478" s="1"/>
      <c r="G478" s="1"/>
      <c r="J478" s="1" t="s">
        <v>9753</v>
      </c>
      <c r="K478" s="2" t="s">
        <v>7785</v>
      </c>
      <c r="L478" s="3" t="s">
        <v>8372</v>
      </c>
      <c r="P478" s="7" t="s">
        <v>1241</v>
      </c>
      <c r="AU478" s="15"/>
      <c r="AV478" s="1" t="s">
        <v>1502</v>
      </c>
      <c r="BG478" s="7" t="s">
        <v>1503</v>
      </c>
      <c r="BH478" s="1" t="s">
        <v>1947</v>
      </c>
      <c r="BI478" s="2" t="s">
        <v>7786</v>
      </c>
      <c r="BJ478" s="1" t="s">
        <v>1959</v>
      </c>
      <c r="BK478" s="1" t="s">
        <v>3436</v>
      </c>
      <c r="BL478" s="1" t="s">
        <v>1875</v>
      </c>
      <c r="BM478" s="2" t="s">
        <v>3437</v>
      </c>
      <c r="BN478" s="1" t="s">
        <v>1877</v>
      </c>
      <c r="BO478" s="2" t="s">
        <v>3438</v>
      </c>
      <c r="BP478" s="1" t="s">
        <v>3496</v>
      </c>
      <c r="BQ478" s="2" t="s">
        <v>7787</v>
      </c>
    </row>
    <row r="479" spans="1:71" ht="288" x14ac:dyDescent="0.45">
      <c r="A479" s="5">
        <v>478</v>
      </c>
      <c r="B479" s="8" t="s">
        <v>1680</v>
      </c>
      <c r="C479" s="6" t="s">
        <v>6850</v>
      </c>
      <c r="D479" s="7" t="s">
        <v>9752</v>
      </c>
      <c r="E479" s="1" t="s">
        <v>4500</v>
      </c>
      <c r="F479" s="1" t="s">
        <v>8897</v>
      </c>
      <c r="G479" s="1"/>
      <c r="J479" s="1" t="s">
        <v>9753</v>
      </c>
      <c r="K479" s="2" t="s">
        <v>7788</v>
      </c>
      <c r="L479" s="3" t="s">
        <v>12245</v>
      </c>
      <c r="M479" s="1" t="s">
        <v>12171</v>
      </c>
      <c r="P479" s="7" t="s">
        <v>1241</v>
      </c>
      <c r="Q479" s="14"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R479" s="14"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S479" s="14"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T479" s="14" t="str">
        <f>INDEX($L:$L, MATCH("establish", $B:$B, 0))</f>
        <v>&lt;span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v>
      </c>
      <c r="U479" s="14" t="str">
        <f>INDEX($L:$L, MATCH("static", $B:$B, 0))</f>
        <v>&lt;span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v>
      </c>
      <c r="V479" s="14"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W479" s="14"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X479" s="13"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Y479" s="13"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Z479" s="13"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AA479" s="13" t="str">
        <f>INDEX($L:$L, MATCH("steady", $B:$B, 0))</f>
        <v>&lt;span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v>
      </c>
      <c r="AB479"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C479" s="13" t="str">
        <f>INDEX($L:$L, MATCH("restore", $B:$B, 0))</f>
        <v>&lt;span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v>
      </c>
      <c r="AD479" s="13"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AE479" s="13"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U479" s="15"/>
      <c r="AV479" s="1" t="s">
        <v>1502</v>
      </c>
      <c r="BG479" s="7" t="s">
        <v>1503</v>
      </c>
      <c r="BH479" s="1" t="s">
        <v>1947</v>
      </c>
      <c r="BI479" s="2" t="s">
        <v>12246</v>
      </c>
      <c r="BJ479" s="1" t="s">
        <v>1959</v>
      </c>
      <c r="BK479" s="2" t="s">
        <v>3439</v>
      </c>
      <c r="BL479" s="1" t="s">
        <v>1875</v>
      </c>
      <c r="BM479" s="2" t="s">
        <v>3440</v>
      </c>
      <c r="BN479" s="1" t="s">
        <v>1877</v>
      </c>
      <c r="BO479" s="2" t="s">
        <v>3441</v>
      </c>
    </row>
    <row r="480" spans="1:71" ht="288" x14ac:dyDescent="0.45">
      <c r="A480" s="5">
        <v>479</v>
      </c>
      <c r="B480" s="8" t="s">
        <v>1681</v>
      </c>
      <c r="C480" s="6" t="s">
        <v>6851</v>
      </c>
      <c r="D480" s="7" t="s">
        <v>9752</v>
      </c>
      <c r="E480" s="1" t="s">
        <v>8953</v>
      </c>
      <c r="F480" s="1" t="s">
        <v>5886</v>
      </c>
      <c r="G480" s="1"/>
      <c r="J480" s="1" t="s">
        <v>9753</v>
      </c>
      <c r="K480" s="2" t="s">
        <v>7789</v>
      </c>
      <c r="L480" s="4" t="s">
        <v>8373</v>
      </c>
      <c r="M480" s="1" t="s">
        <v>12155</v>
      </c>
      <c r="P480" s="7" t="s">
        <v>1241</v>
      </c>
      <c r="Q480" s="14" t="str">
        <f>INDEX($L:$L, MATCH("apply", $B:$B, 0))</f>
        <v>&lt;span class="w"&gt;&lt;b&gt;【127.apply：～を適用する, 申し込む】&lt;/b&gt;&lt;/span&gt;
&lt;span class="ml"&gt;ラテン語に由来する語で、以下の2つの要素から成る。
&lt;span class="spacer"&gt;&lt;/span&gt;ad（～へ）
plicare（折る）
&lt;span class="spacer"&gt;&lt;/span&gt;このまま日本語にすると「〜へ折り重ねる」となる。apply A to Bは、AをBにぴったり折り重ねるイメージから「AをBに適用する」となる。
&lt;span class="spacer"&gt;&lt;/span&gt;同様に、
S apply for 求めるもの
S apply to 求める相手
これでSを求めるものや求める相手に折り重ねるイメージから「Sは〜に申し込む」という意味になる。
&lt;div class="sample_image apply"&gt;&lt;/div&gt;&lt;/span&gt;</v>
      </c>
      <c r="R480" s="14" t="str">
        <f>INDEX($L:$L, MATCH("imply", $B:$B, 0))</f>
        <v>&lt;span class="w"&gt;&lt;b&gt;【423.imply：〜を暗に意味する】&lt;/b&gt;&lt;/span&gt;
&lt;span class="ml"&gt;ラテン語に由来する語で、以下の2つの要素から成る。
&lt;span class="spacer"&gt;&lt;/span&gt;in（中に）
plicare（折る, 畳む）
&lt;span class="spacer"&gt;&lt;/span&gt;このまま日本語にすると「中に折る」となる。これは、何かを中に入れた状態で折りたたんで包み込むイメージ。そこから、言葉の中に直接は言わない意味を包み込むことを表し、「暗に意味する」という意味になる。
&lt;div class="sample_image imply"&gt;&lt;/div&gt;&lt;/span&gt;</v>
      </c>
      <c r="S480" s="14" t="str">
        <f>INDEX($L:$L, MATCH("employ", $B:$B, 0))</f>
        <v>&lt;span class="w"&gt;&lt;b&gt;【517.employ：〜を雇う】&lt;/b&gt;&lt;/span&gt;
&lt;span class="ml"&gt;ラテン語に由来する語で、以下の2つの要素から成る。
&lt;span class="spacer"&gt;&lt;/span&gt;in（中に）
plicare（折る）
&lt;span class="spacer"&gt;&lt;/span&gt;このまま日本語にすると「中に折る」となる。これは、中に入れた状態で折りたたむイメージ。そこから、何らかの目的に巻き込む、事業に巻き込むことへと発展し、「雇う」という意味になった。
&lt;div class="sample_image employ"&gt;&lt;/div&gt;
&lt;span class="spacer"&gt;&lt;/span&gt;employは、implyと同じ語源にさかのぼる。
imply（暗に意味する）は中に折り込むという元のイメージをより保っている。
&lt;span class="spacer"&gt;&lt;/span&gt;employは元のイメージから発展して事業に巻き込む＝「雇う」になった。&lt;/span&gt;</v>
      </c>
      <c r="T480" s="14" t="str">
        <f>INDEX($L:$L, MATCH("exploit", $B:$B, 0))</f>
        <v>&lt;span class="w"&gt;&lt;b&gt;【1237.exploit：〜を活用する, 〜を搾取する, 〜を開発する】&lt;/b&gt;&lt;/span&gt;
&lt;span class="ml"&gt;ラテン語に由来する語で、以下の2つの要素から成る。
&lt;span class="spacer"&gt;&lt;/span&gt;ex（外に）
plicare（折る）
&lt;span class="spacer"&gt;&lt;/span&gt;もともとは、折りたたまれているものを外へ開くことを表した。そこから、まだ手がつけられていない土地や、眠っている天然資源（鉱山など）を広げて展開し、目に見える形にして役立てる＝「開発する, 活用する」という意味になった。
&lt;span class="spacer"&gt;&lt;/span&gt;さらに、利益のために土地を開発して資源を活用するという言葉が、人間に対して使われるようになり、利益のために人々を使う＝「搾取する」というネガティブな意味にもなった。
&lt;div class="sample_image exploit"&gt;&lt;/div&gt;&lt;/span&gt;</v>
      </c>
      <c r="U480" s="14" t="str">
        <f>INDEX($L:$L, MATCH("display", $B:$B, 0))</f>
        <v>&lt;span class="w"&gt;&lt;b&gt;【230.display：～を示す, ～を展示する】&lt;/b&gt;&lt;/span&gt;
&lt;span class="ml"&gt;ラテン語に由来する語で、以下の2つの要素から成る。
&lt;span class="spacer"&gt;&lt;/span&gt;dis（離れて）
plicare（折る）
&lt;span class="spacer"&gt;&lt;/span&gt;このまま日本語にすると「折られたものを離す」となる。折り紙を広げるようなイメージから、何かを展開する＝広げて見せる＝「展示する, 示す」という意味になる。&lt;/span&gt;</v>
      </c>
      <c r="V480" s="14" t="str">
        <f>INDEX($L:$L, MATCH("complicate", $B:$B, 0))</f>
        <v>&lt;span class="w"&gt;&lt;b&gt;【1036.complicate：複雑にする】&lt;/b&gt;&lt;/span&gt;
&lt;span class="ml"&gt;ラテン語に由来する語で、以下の2つの要素から成る。
&lt;span class="spacer"&gt;&lt;/span&gt;com（共に）
plicare（折る）
&lt;span class="spacer"&gt;&lt;/span&gt;このまま日本語にすると「共に折る」となる。様々なものを一緒にして折り込むことで単純ではなく「複雑にする」という意味になる。&lt;/span&gt;</v>
      </c>
      <c r="W480" s="14" t="str">
        <f>INDEX($L:$L, MATCH("complex", $B:$B, 0))</f>
        <v>&lt;span class="w"&gt;&lt;b&gt;【181.complex：複雑な】&lt;/b&gt;&lt;/span&gt;
&lt;span class="ml"&gt;ラテン語に由来する語で、以下の2つの要素から成る。
&lt;span class="spacer"&gt;&lt;/span&gt;com（共に）
plectere（編む）
&lt;span class="spacer"&gt;&lt;/span&gt;このまま日本語にすると「共に編む」となる。複数の要素が編み込まれて入り組んでいるイメージから「複雑な」という意味になる。
&lt;div class="sample_image complex"&gt;&lt;/div&gt;&lt;/span&gt;</v>
      </c>
      <c r="X480" s="15"/>
      <c r="Y480" s="15"/>
      <c r="AU480" s="15"/>
      <c r="AV480" s="1" t="s">
        <v>1502</v>
      </c>
      <c r="BG480" s="7" t="s">
        <v>1503</v>
      </c>
      <c r="BH480" s="1" t="s">
        <v>1947</v>
      </c>
      <c r="BI480" s="2" t="s">
        <v>3442</v>
      </c>
      <c r="BJ480" s="1" t="s">
        <v>2036</v>
      </c>
      <c r="BK480" s="1" t="s">
        <v>3443</v>
      </c>
      <c r="BL480" s="1" t="s">
        <v>1959</v>
      </c>
      <c r="BM480" s="1" t="s">
        <v>3444</v>
      </c>
      <c r="BN480" s="1" t="s">
        <v>1877</v>
      </c>
      <c r="BO480" s="2" t="s">
        <v>3445</v>
      </c>
    </row>
    <row r="481" spans="1:69" ht="108" x14ac:dyDescent="0.45">
      <c r="A481" s="5">
        <v>480</v>
      </c>
      <c r="B481" s="8" t="s">
        <v>318</v>
      </c>
      <c r="C481" s="6" t="s">
        <v>6851</v>
      </c>
      <c r="D481" s="7" t="s">
        <v>9752</v>
      </c>
      <c r="E481" s="1" t="s">
        <v>1682</v>
      </c>
      <c r="F481" s="1" t="s">
        <v>1548</v>
      </c>
      <c r="G481" s="1"/>
      <c r="J481" s="1" t="s">
        <v>9753</v>
      </c>
      <c r="K481" s="2" t="s">
        <v>7790</v>
      </c>
      <c r="L481" s="9" t="s">
        <v>8374</v>
      </c>
      <c r="P481" s="7" t="s">
        <v>1241</v>
      </c>
      <c r="AU481" s="15"/>
      <c r="AV481" s="1" t="s">
        <v>1502</v>
      </c>
      <c r="BG481" s="7" t="s">
        <v>1503</v>
      </c>
      <c r="BH481" s="1" t="s">
        <v>1947</v>
      </c>
      <c r="BI481" s="2" t="s">
        <v>3446</v>
      </c>
      <c r="BJ481" s="1" t="s">
        <v>2036</v>
      </c>
      <c r="BK481" s="2" t="s">
        <v>3447</v>
      </c>
      <c r="BL481" s="1" t="s">
        <v>1875</v>
      </c>
      <c r="BM481" s="2" t="s">
        <v>3448</v>
      </c>
    </row>
    <row r="482" spans="1:69" ht="90" x14ac:dyDescent="0.45">
      <c r="A482" s="5">
        <v>481</v>
      </c>
      <c r="B482" s="8" t="s">
        <v>319</v>
      </c>
      <c r="C482" s="6" t="s">
        <v>6851</v>
      </c>
      <c r="D482" s="7" t="s">
        <v>9752</v>
      </c>
      <c r="E482" s="1" t="s">
        <v>319</v>
      </c>
      <c r="F482" s="1"/>
      <c r="G482" s="1"/>
      <c r="J482" s="1" t="s">
        <v>9753</v>
      </c>
      <c r="K482" s="2"/>
      <c r="L482" s="9" t="s">
        <v>8375</v>
      </c>
      <c r="P482" s="7" t="s">
        <v>1241</v>
      </c>
      <c r="AV482" s="1" t="s">
        <v>1502</v>
      </c>
      <c r="BG482" s="7" t="s">
        <v>1503</v>
      </c>
      <c r="BH482" s="1" t="s">
        <v>1872</v>
      </c>
      <c r="BI482" s="1" t="s">
        <v>3449</v>
      </c>
      <c r="BJ482" s="1" t="s">
        <v>1875</v>
      </c>
      <c r="BK482" s="1" t="s">
        <v>3450</v>
      </c>
    </row>
    <row r="483" spans="1:69" ht="144" x14ac:dyDescent="0.45">
      <c r="A483" s="5">
        <v>482</v>
      </c>
      <c r="B483" s="8" t="s">
        <v>320</v>
      </c>
      <c r="C483" s="6" t="s">
        <v>6851</v>
      </c>
      <c r="D483" s="7" t="s">
        <v>9752</v>
      </c>
      <c r="E483" s="1" t="s">
        <v>1683</v>
      </c>
      <c r="F483" s="1" t="s">
        <v>101</v>
      </c>
      <c r="G483" s="1"/>
      <c r="J483" s="1" t="s">
        <v>9753</v>
      </c>
      <c r="K483" s="2" t="s">
        <v>7791</v>
      </c>
      <c r="L483" s="9" t="s">
        <v>8376</v>
      </c>
      <c r="P483" s="7" t="s">
        <v>1241</v>
      </c>
      <c r="Q483" s="13" t="str">
        <f>INDEX($L:$L, MATCH("spread", $B:$B, 0))</f>
        <v>&lt;span class="w"&gt;&lt;b&gt;【115.spread：～を広める, 広がる】&lt;/b&gt;&lt;/span&gt;
&lt;span class="ml"&gt;印欧祖語*sper-（まき散らす）に由来する。
&lt;span class="spacer"&gt;&lt;/span&gt;まき散らす＝全体に広がる
ことから「広める, 広がる」という意味になる。
&lt;span class="spacer"&gt;&lt;/span&gt;この印欧祖語からはspray（スプレー, まき散らす）も生まれている。&lt;/span&gt;</v>
      </c>
      <c r="AU483" s="15"/>
      <c r="AV483" s="1" t="s">
        <v>1502</v>
      </c>
      <c r="BG483" s="7" t="s">
        <v>1503</v>
      </c>
      <c r="BH483" s="1" t="s">
        <v>1877</v>
      </c>
      <c r="BI483" s="2" t="s">
        <v>3451</v>
      </c>
    </row>
    <row r="484" spans="1:69" ht="252" x14ac:dyDescent="0.45">
      <c r="A484" s="5">
        <v>483</v>
      </c>
      <c r="B484" s="8" t="s">
        <v>321</v>
      </c>
      <c r="C484" s="6" t="s">
        <v>6851</v>
      </c>
      <c r="D484" s="7" t="s">
        <v>9752</v>
      </c>
      <c r="E484" s="1" t="s">
        <v>1684</v>
      </c>
      <c r="F484" s="1" t="s">
        <v>1445</v>
      </c>
      <c r="G484" s="1"/>
      <c r="J484" s="1" t="s">
        <v>9753</v>
      </c>
      <c r="K484" s="2" t="s">
        <v>7792</v>
      </c>
      <c r="L484" s="3" t="s">
        <v>8377</v>
      </c>
      <c r="M484" s="1" t="s">
        <v>12123</v>
      </c>
      <c r="P484" s="7" t="s">
        <v>1241</v>
      </c>
      <c r="Q484" s="13" t="str">
        <f>INDEX($L:$L, MATCH("affect", $B:$B, 0))</f>
        <v>&lt;span class="w"&gt;&lt;b&gt;【25.affect：～に影響する】&lt;/b&gt;&lt;/span&gt;
&lt;span class="ml"&gt;ラテン語に由来する語で、以下の2つの要素から成る。
&lt;span class="spacer"&gt;&lt;/span&gt;ad（～へ）
facere（する, 作る）
&lt;span class="spacer"&gt;&lt;/span&gt;このまま日本語にすると「～へ何かをする」となる。ここから精神的もしくは物理的に「影響する」という意味になる。&lt;/span&gt;</v>
      </c>
      <c r="R484" s="13" t="str">
        <f>INDEX($L:$L, MATCH("effect", $B:$B, 0))</f>
        <v>&lt;span class="w"&gt;&lt;b&gt;【48.effect：影響, 効果】&lt;/b&gt;&lt;/span&gt;
&lt;span class="ml"&gt;ラテン語に由来する語で、以下の2つの要素から成る。
&lt;span class="spacer"&gt;&lt;/span&gt;ex（外へ）
facere（行う）
&lt;span class="spacer"&gt;&lt;/span&gt;このまま日本語にすると「行なって外へ」となる。何かを行なった結果として外に出てきたものというイメージから、「影響, 効果」という意味になる。
&lt;span class="spacer"&gt;&lt;/span&gt;サウンドエフェクトやゲームのエフェクトといった「効果」と関連させて覚える。
&lt;span class="spacer"&gt;&lt;/span&gt;effectは、何かを行なった結果として現実に出てきたものなので、かつては「現実, 事実」という意味があった。この意味はin effect「実際に, 事実上」に残っている。&lt;/span&gt;</v>
      </c>
      <c r="S484" s="13" t="str">
        <f>INDEX($L:$L, MATCH("infection", $B:$B, 0))</f>
        <v>&lt;span class="w"&gt;&lt;b&gt;【852.infection：感染（症）】&lt;/b&gt;&lt;/span&gt;
&lt;span class="ml"&gt;ラテン語に由来する語で、以下の3つの要素から成る。
&lt;span class="spacer"&gt;&lt;/span&gt;in（中に）
facere（行う, 作る）
io（名詞化）
&lt;span class="spacer"&gt;&lt;/span&gt;このまま日本語にすると「中に（入れて）行う」となる。もともとは、布を染料の中に入れて染めることを表したが、次第に美しく染めるだけではなく、悪いものが入り込んで汚染することも表すようになった。そこから医学において、悪いものが体の中に入って健康体を病気に染めていくこと、つまり「感染（症）」という意味になった。
&lt;div class="sample_image infection"&gt;&lt;/div&gt;&lt;/span&gt;</v>
      </c>
      <c r="T484" s="13" t="str">
        <f>INDEX($L:$L, MATCH("efficient", $B:$B, 0))</f>
        <v>&lt;span class="w"&gt;&lt;b&gt;【281.efficient：効率的な, 有能な】&lt;/b&gt;&lt;/span&gt;
&lt;span class="ml"&gt;ラテン語に由来する語で、以下の2つの要素から成る。
&lt;span class="spacer"&gt;&lt;/span&gt;ex（外に）
facere（作る, する）
&lt;span class="spacer"&gt;&lt;/span&gt;この語の核は何かを外に作り出す際に「テキパキしている」こと。結果や効果を作り出す際に無駄なく、素早く行うことから「効率的な, 有能な」という意味になる。
&lt;div class="sample_image efficient"&gt;&lt;/div&gt;&lt;/span&gt;</v>
      </c>
      <c r="U484" s="13" t="str">
        <f>INDEX($L:$L, MATCH("insufficient", $B:$B, 0))</f>
        <v>&lt;span class="w"&gt;&lt;b&gt;【1484.insufficient：不十分な】&lt;/b&gt;&lt;/span&gt;
&lt;span class="ml"&gt;ラテン語に由来する語で、以下の2つの要素から成る。
&lt;span class="spacer"&gt;&lt;/span&gt;in（否定）
sufficientem（十分な）
&lt;span class="spacer"&gt;&lt;/span&gt;十分であることを否定するので「不十分な」という意味になる。
&lt;span class="spacer"&gt;&lt;/span&gt;sufficientは関連語を参照。&lt;/span&gt;</v>
      </c>
      <c r="AU484" s="15"/>
      <c r="AV484" s="1" t="s">
        <v>1502</v>
      </c>
      <c r="BG484" s="7" t="s">
        <v>1503</v>
      </c>
      <c r="BH484" s="1" t="s">
        <v>1947</v>
      </c>
      <c r="BI484" s="2" t="s">
        <v>3452</v>
      </c>
      <c r="BJ484" s="1" t="s">
        <v>1959</v>
      </c>
      <c r="BK484" s="1" t="s">
        <v>3453</v>
      </c>
      <c r="BL484" s="1" t="s">
        <v>1875</v>
      </c>
      <c r="BM484" s="2" t="s">
        <v>3454</v>
      </c>
    </row>
    <row r="485" spans="1:69" ht="180" x14ac:dyDescent="0.45">
      <c r="A485" s="5">
        <v>484</v>
      </c>
      <c r="B485" s="8" t="s">
        <v>1685</v>
      </c>
      <c r="C485" s="6" t="s">
        <v>6851</v>
      </c>
      <c r="D485" s="7" t="s">
        <v>9752</v>
      </c>
      <c r="E485" s="1" t="s">
        <v>31</v>
      </c>
      <c r="F485" s="1" t="s">
        <v>1325</v>
      </c>
      <c r="G485" s="1"/>
      <c r="J485" s="1" t="s">
        <v>9753</v>
      </c>
      <c r="K485" s="2" t="s">
        <v>7793</v>
      </c>
      <c r="L485" s="4" t="s">
        <v>8378</v>
      </c>
      <c r="P485" s="7" t="s">
        <v>1241</v>
      </c>
      <c r="Q485" s="14" t="str">
        <f>INDEX($L:$L, MATCH("appropriate", $B:$B, 0))</f>
        <v>&lt;span class="w"&gt;&lt;b&gt;【79.appropriate：適切な, ふさわしい】&lt;/b&gt;&lt;/span&gt;
&lt;span class="ml"&gt;ラテン語に由来する語で、以下の3つの要素から成る。
&lt;span class="spacer"&gt;&lt;/span&gt;ad（～へ）
pro（～のために：forと同じ）
privus（自分の：privateの語源）
&lt;span class="spacer"&gt;&lt;/span&gt;もともとは「何かを自分のためのものにする」という動詞。自分のものにするということは、言い換えれば、何かを自分自身に割り当てるということ。ここから「何かを特定のものに割り当てる」へと発展。割り当てられたものは、その状況や目的に対して「適切な, ふさわしい」。
&lt;div class="sample_image appropriate"&gt;&lt;/div&gt;&lt;/span&gt;</v>
      </c>
      <c r="AU485" s="15"/>
      <c r="AV485" s="1" t="s">
        <v>1502</v>
      </c>
      <c r="BG485" s="7" t="s">
        <v>1503</v>
      </c>
      <c r="BH485" s="1" t="s">
        <v>1947</v>
      </c>
      <c r="BI485" s="2" t="s">
        <v>3455</v>
      </c>
      <c r="BJ485" s="1" t="s">
        <v>1959</v>
      </c>
      <c r="BK485" s="2" t="s">
        <v>3456</v>
      </c>
      <c r="BL485" s="1" t="s">
        <v>1875</v>
      </c>
      <c r="BM485" s="2" t="s">
        <v>3457</v>
      </c>
    </row>
    <row r="486" spans="1:69" ht="162" x14ac:dyDescent="0.45">
      <c r="A486" s="5">
        <v>485</v>
      </c>
      <c r="B486" s="8" t="s">
        <v>322</v>
      </c>
      <c r="C486" s="6" t="s">
        <v>6851</v>
      </c>
      <c r="D486" s="7" t="s">
        <v>9752</v>
      </c>
      <c r="E486" s="1" t="s">
        <v>1686</v>
      </c>
      <c r="F486" s="1" t="s">
        <v>1687</v>
      </c>
      <c r="G486" s="1" t="s">
        <v>1551</v>
      </c>
      <c r="J486" s="1" t="s">
        <v>9753</v>
      </c>
      <c r="K486" s="2" t="s">
        <v>7794</v>
      </c>
      <c r="L486" s="9" t="s">
        <v>9203</v>
      </c>
      <c r="P486" s="7" t="s">
        <v>1241</v>
      </c>
      <c r="AU486" s="15"/>
      <c r="AV486" s="1" t="s">
        <v>1502</v>
      </c>
      <c r="BG486" s="7" t="s">
        <v>1503</v>
      </c>
      <c r="BH486" s="1" t="s">
        <v>1947</v>
      </c>
      <c r="BI486" s="2" t="s">
        <v>3458</v>
      </c>
      <c r="BJ486" s="1" t="s">
        <v>7795</v>
      </c>
      <c r="BK486" s="2" t="s">
        <v>3459</v>
      </c>
      <c r="BL486" s="1" t="s">
        <v>3460</v>
      </c>
      <c r="BM486" s="2" t="s">
        <v>3461</v>
      </c>
      <c r="BN486" s="1" t="s">
        <v>7796</v>
      </c>
      <c r="BO486" s="2" t="s">
        <v>3462</v>
      </c>
    </row>
    <row r="487" spans="1:69" ht="216" x14ac:dyDescent="0.45">
      <c r="A487" s="5">
        <v>486</v>
      </c>
      <c r="B487" s="8" t="s">
        <v>323</v>
      </c>
      <c r="C487" s="6" t="s">
        <v>6851</v>
      </c>
      <c r="D487" s="7" t="s">
        <v>9752</v>
      </c>
      <c r="E487" s="1" t="s">
        <v>1688</v>
      </c>
      <c r="F487" s="1" t="s">
        <v>49</v>
      </c>
      <c r="G487" s="1"/>
      <c r="J487" s="1" t="s">
        <v>9753</v>
      </c>
      <c r="K487" s="2" t="s">
        <v>7797</v>
      </c>
      <c r="L487" s="9" t="s">
        <v>8379</v>
      </c>
      <c r="P487" s="7" t="s">
        <v>1241</v>
      </c>
      <c r="Q487" s="13" t="str">
        <f>INDEX($L:$L, MATCH("millennium", $B:$B, 0))</f>
        <v>&lt;span class="w"&gt;&lt;b&gt;【1146.millennium：千年間】&lt;/b&gt;&lt;/span&gt;
&lt;span class="ml"&gt;ラテン語に由来する語で、以下の2つの要素から成る。
&lt;span class="spacer"&gt;&lt;/span&gt;mille（千）
annus（年）
&lt;span class="spacer"&gt;&lt;/span&gt;このまま日本語にすれば「1000年間」という意味になる。&lt;/span&gt;</v>
      </c>
      <c r="R487" s="13" t="str">
        <f>INDEX($L:$L, MATCH("anniversary", $B:$B, 0))</f>
        <v>&lt;span class="w"&gt;&lt;b&gt;【1245.anniversary：〜周年の記念日】&lt;/b&gt;&lt;/span&gt;
&lt;span class="ml"&gt;ラテン語に由来する語で、以下の4つの要素から成る。
&lt;span class="spacer"&gt;&lt;/span&gt;annus（年）
vertere（回す）の過去分詞versus（回された）
arius（形容詞化）
um（名詞化）
&lt;span class="spacer"&gt;&lt;/span&gt;この語の核は「毎年回ってくる日」。
そこから「周年の記念日」という意味になる。&lt;/span&gt;</v>
      </c>
      <c r="AU487" s="15"/>
      <c r="AV487" s="1" t="s">
        <v>1502</v>
      </c>
      <c r="BG487" s="7" t="s">
        <v>1503</v>
      </c>
      <c r="BH487" s="1" t="s">
        <v>1947</v>
      </c>
      <c r="BI487" s="2" t="s">
        <v>7798</v>
      </c>
      <c r="BJ487" s="1" t="s">
        <v>2036</v>
      </c>
      <c r="BK487" s="2" t="s">
        <v>3463</v>
      </c>
      <c r="BL487" s="1" t="s">
        <v>1959</v>
      </c>
      <c r="BM487" s="2" t="s">
        <v>3464</v>
      </c>
      <c r="BN487" s="1" t="s">
        <v>1875</v>
      </c>
      <c r="BO487" s="2" t="s">
        <v>3465</v>
      </c>
    </row>
    <row r="488" spans="1:69" ht="144" x14ac:dyDescent="0.45">
      <c r="A488" s="5">
        <v>487</v>
      </c>
      <c r="B488" s="8" t="s">
        <v>324</v>
      </c>
      <c r="C488" s="6" t="s">
        <v>6851</v>
      </c>
      <c r="D488" s="7" t="s">
        <v>9752</v>
      </c>
      <c r="E488" s="1" t="s">
        <v>1467</v>
      </c>
      <c r="F488" s="1" t="s">
        <v>1689</v>
      </c>
      <c r="G488" s="1" t="s">
        <v>1541</v>
      </c>
      <c r="J488" s="1" t="s">
        <v>9753</v>
      </c>
      <c r="K488" s="2" t="s">
        <v>7799</v>
      </c>
      <c r="L488" s="9" t="s">
        <v>8380</v>
      </c>
      <c r="P488" s="7" t="s">
        <v>1241</v>
      </c>
      <c r="Q488" s="13" t="str">
        <f>INDEX($L:$L, MATCH("temporary", $B:$B, 0))</f>
        <v>&lt;span class="w"&gt;&lt;b&gt;【793.temporary：一時的な】&lt;/b&gt;&lt;/span&gt;
&lt;span class="ml"&gt;ラテン語に由来する語で、以下の2つの要素から成る。
&lt;span class="spacer"&gt;&lt;/span&gt;tempus（時間, 季節）
arius（形容詞化）
&lt;span class="spacer"&gt;&lt;/span&gt;ラテン語tempusは、季節という意味があることからも分かるように、一定の区切られた時間を表した。そこから区切られた時間、つまり「一時的な」という意味になった。&lt;/span&gt;</v>
      </c>
      <c r="AU488" s="15"/>
      <c r="AV488" s="1" t="s">
        <v>1502</v>
      </c>
      <c r="BG488" s="7" t="s">
        <v>1503</v>
      </c>
      <c r="BH488" s="1" t="s">
        <v>1947</v>
      </c>
      <c r="BI488" s="2" t="s">
        <v>7800</v>
      </c>
      <c r="BJ488" s="1" t="s">
        <v>1967</v>
      </c>
      <c r="BK488" s="2" t="s">
        <v>3466</v>
      </c>
      <c r="BL488" s="1" t="s">
        <v>1877</v>
      </c>
      <c r="BM488" s="2" t="s">
        <v>7801</v>
      </c>
    </row>
    <row r="489" spans="1:69" ht="216" x14ac:dyDescent="0.45">
      <c r="A489" s="5">
        <v>488</v>
      </c>
      <c r="B489" s="8" t="s">
        <v>1690</v>
      </c>
      <c r="C489" s="6" t="s">
        <v>6851</v>
      </c>
      <c r="D489" s="7" t="s">
        <v>9752</v>
      </c>
      <c r="E489" s="1" t="s">
        <v>1426</v>
      </c>
      <c r="F489" s="1" t="s">
        <v>1927</v>
      </c>
      <c r="G489" s="1"/>
      <c r="J489" s="1" t="s">
        <v>9753</v>
      </c>
      <c r="K489" s="2" t="s">
        <v>7802</v>
      </c>
      <c r="L489" s="4" t="s">
        <v>8381</v>
      </c>
      <c r="M489" s="1" t="s">
        <v>12182</v>
      </c>
      <c r="P489" s="7" t="s">
        <v>1241</v>
      </c>
      <c r="Q489" s="14" t="str">
        <f>INDEX($L:$L, MATCH("contrast", $B:$B, 0))</f>
        <v>&lt;span class="w"&gt;&lt;b&gt;【245.contrast：対照】&lt;/b&gt;&lt;/span&gt;
&lt;span class="ml"&gt;ラテン語に由来する語で、以下の2つの要素から成る。
&lt;span class="spacer"&gt;&lt;/span&gt;contra（～に対して）
stare（立つ）
&lt;span class="spacer"&gt;&lt;/span&gt;このまま日本語にすると「反対に立つ」となる。あるものと反対に立つものを比べて違いがはっきりするイメージから「対照」という意味になる。&lt;/span&gt;</v>
      </c>
      <c r="R489" s="14" t="str">
        <f>INDEX($L:$L, MATCH("controversy", $B:$B, 0))</f>
        <v>&lt;span class="w"&gt;&lt;b&gt;【1152.controversy：論争】&lt;/b&gt;&lt;/span&gt;
&lt;span class="ml"&gt;ラテン語に由来する語で、以下の3つの要素から成る。
&lt;span class="spacer"&gt;&lt;/span&gt;contra（反対に）
versus（〜の方に向けられた)
ia（名詞化）
&lt;span class="spacer"&gt;&lt;/span&gt;この語の核は「相手と同じ方向ではなく反対に向いていること、向き合っていること」。つまり考えや立場が対立して争っていることを表し、そこから 「論争」という意味になる。
&lt;div class="sample_image controversy"&gt;&lt;/div&gt;&lt;/span&gt;</v>
      </c>
      <c r="S489" s="14" t="str">
        <f>INDEX($L:$L, MATCH("contradict", $B:$B, 0))</f>
        <v>&lt;span class="w"&gt;&lt;b&gt;【1412.contradict：〜と矛盾する, 〜と反対の意見を言う】&lt;/b&gt;&lt;/span&gt;
&lt;span class="ml"&gt;ラテン語に由来する語で、以下の2つの要素から成る。
&lt;span class="spacer"&gt;&lt;/span&gt;contra（〜に対して）
dicere（言う, 話す）
&lt;span class="spacer"&gt;&lt;/span&gt;相手に反対して話すことから「反対の意見を言う」という意味に、発言や事実と反対のことを言うことから「矛盾する」という意味になる。
&lt;div class="sample_image contradict"&gt;&lt;/div&gt;&lt;/span&gt;</v>
      </c>
      <c r="T489" s="13" t="str">
        <f>INDEX($L:$L, MATCH("encounter", $B:$B, 0))</f>
        <v>&lt;span class="w"&gt;&lt;b&gt;【415.encounter：〜に遭遇する, 〜に偶然出会う】&lt;/b&gt;&lt;/span&gt;
&lt;span class="ml"&gt;ラテン語に由来する語で、以下の2つの要素から成る。
&lt;span class="spacer"&gt;&lt;/span&gt;in（中に）
contra（反対して, 〜に対して）
&lt;span class="spacer"&gt;&lt;/span&gt;この語の核は「何かと対する状況の中にいる」ということ。何かと向かい合う状況の中にいるイメージから「遭遇する, 偶然出会う」という意味になる。
&lt;div class="sample_image encounter"&gt;&lt;/div&gt;&lt;/span&gt;</v>
      </c>
      <c r="U489" s="13" t="str">
        <f>INDEX($L:$L, MATCH("counterpart", $B:$B, 0))</f>
        <v>&lt;span class="w"&gt;&lt;b&gt;【969.counterpart：相当する物や人】&lt;/b&gt;&lt;/span&gt;
&lt;span class="ml"&gt;フランス語に由来する語で、以下の2つの要素から成る。
&lt;span class="spacer"&gt;&lt;/span&gt;contra（対して）
partie（分けられたもの, 部分, 写し）
&lt;span class="spacer"&gt;&lt;/span&gt;このまま日本語にすると「何かに対応させて分けられたもの」となる。もともとは法的な文書を写して分けたものを表した。法的文書の写しは元の文書と同等のものであることから、一般的な意味に発展し、何かに「相当する物や人」という意味になった。&lt;/span&gt;</v>
      </c>
      <c r="AU489" s="15"/>
      <c r="AV489" s="1" t="s">
        <v>1502</v>
      </c>
      <c r="BG489" s="7" t="s">
        <v>1503</v>
      </c>
      <c r="BH489" s="1" t="s">
        <v>1947</v>
      </c>
      <c r="BI489" s="2" t="s">
        <v>3467</v>
      </c>
      <c r="BJ489" s="1" t="s">
        <v>1959</v>
      </c>
      <c r="BK489" s="1" t="s">
        <v>3468</v>
      </c>
      <c r="BL489" s="1" t="s">
        <v>2114</v>
      </c>
      <c r="BM489" s="1" t="s">
        <v>3469</v>
      </c>
      <c r="BN489" s="1" t="s">
        <v>1875</v>
      </c>
      <c r="BO489" s="2" t="s">
        <v>3470</v>
      </c>
    </row>
    <row r="490" spans="1:69" ht="198" x14ac:dyDescent="0.45">
      <c r="A490" s="5">
        <v>489</v>
      </c>
      <c r="B490" s="8" t="s">
        <v>1691</v>
      </c>
      <c r="C490" s="6" t="s">
        <v>6851</v>
      </c>
      <c r="D490" s="7" t="s">
        <v>9752</v>
      </c>
      <c r="E490" s="1" t="s">
        <v>325</v>
      </c>
      <c r="F490" s="1"/>
      <c r="G490" s="1"/>
      <c r="J490" s="1" t="s">
        <v>9753</v>
      </c>
      <c r="K490" s="2" t="s">
        <v>7803</v>
      </c>
      <c r="L490" s="4" t="s">
        <v>8382</v>
      </c>
      <c r="M490" s="1" t="s">
        <v>12167</v>
      </c>
      <c r="P490" s="7" t="s">
        <v>1241</v>
      </c>
      <c r="Q490" s="14" t="str">
        <f>INDEX($L:$L, MATCH("stress", $B:$B, 0))</f>
        <v>&lt;span class="w"&gt;&lt;b&gt;【154.stress：ストレス, 圧力, 強調】&lt;/b&gt;&lt;/span&gt;
&lt;span class="ml"&gt;ラテン語stringere（引き締める）に由来する。
&lt;span class="spacer"&gt;&lt;/span&gt;何かを引き締めるというところから、物理的また精神的にかける力＝「圧力, ストレス」という意味になる。また重要なことを発言するときに言葉を強く発音することがあるが、このような「強調」も意味する。&lt;/span&gt;</v>
      </c>
      <c r="R490" s="14" t="str">
        <f>INDEX($L:$L, MATCH("distress", $B:$B, 0))</f>
        <v>&lt;span class="w"&gt;&lt;b&gt;【1048.distress：苦悩, 苦痛】&lt;/b&gt;&lt;/span&gt;
&lt;span class="ml"&gt;ラテン語に由来する語で、以下の2つの要素から成る。
&lt;span class="spacer"&gt;&lt;/span&gt;dis（離れて）
stringere（引き締める, 強く引く）
&lt;span class="spacer"&gt;&lt;/span&gt;もともとは何かを引き離すことから、対象を引き離して拘束するということを表した。この物理的な身体の締め付けから、比喩的に心理的・社会的に追い詰められた状態へと発展して「苦痛, 苦悩, 困窮」という意味になった。&lt;/span&gt;</v>
      </c>
      <c r="S490" s="14" t="str">
        <f>INDEX($L:$L, MATCH("district", $B:$B, 0))</f>
        <v>&lt;span class="w"&gt;&lt;b&gt;【665.district：地区, 行政区】&lt;/b&gt;&lt;/span&gt;
&lt;span class="ml"&gt;ラテン語に由来する語で、以下の2つの要素から成る。
&lt;span class="spacer"&gt;&lt;/span&gt;dis（離れて）
stringere（引き締める）
&lt;span class="spacer"&gt;&lt;/span&gt;このまま日本語にすると「引き離す」となる。もともとは、土地の支配者が、違反者を社会から引き離したり、個人の財産を法的に引き離したりすることができる管轄区域を表していた。こうした強制的な支配というニュアンスは、時代が進むにつれて薄まっていき、特定の目的をもった「地区, 行政区」という意味になった。&lt;/span&gt;</v>
      </c>
      <c r="T490" s="14" t="str">
        <f>INDEX($L:$L, MATCH("restrict", $B:$B, 0))</f>
        <v>&lt;span class="w"&gt;&lt;b&gt;【711.restrict：〜を制限する】&lt;/b&gt;&lt;/span&gt;
&lt;span class="ml"&gt;ラテン語に由来する語で、以下の2つの要素から成る。
&lt;span class="spacer"&gt;&lt;/span&gt;re（後ろへ）
stringere（引っ張る）
&lt;span class="spacer"&gt;&lt;/span&gt;このまま日本語にすると「後ろへ引っ張る」となる。前に出ないようにする、抑制するということから「制限する」という意味になる。&lt;/span&gt;</v>
      </c>
      <c r="U490" s="13" t="str">
        <f>INDEX($L:$L, MATCH("strain", $B:$B, 0))</f>
        <v>&lt;span class="w"&gt;&lt;b&gt;【1326.strain：〜に負担をかける, 〜を緊張させる】&lt;/b&gt;&lt;/span&gt;
&lt;span class="ml"&gt;ラテン語stringere（きつく引く, 圧縮する）に由来する。
&lt;span class="spacer"&gt;&lt;/span&gt;これは「ひもを限界までギューっと引っ張る」イメージ。きつく引っぱるという物理的な動作から発展して、物だけではなく、精神・能力・金銭状況・人間関係など、さまざまな対象を「緊張させる」、また引っ張りすぎて「負担をかける」という意味になった。&lt;/span&gt;</v>
      </c>
      <c r="AU490" s="15"/>
      <c r="AV490" s="1" t="s">
        <v>1502</v>
      </c>
      <c r="BG490" s="7" t="s">
        <v>1503</v>
      </c>
      <c r="BH490" s="1" t="s">
        <v>1947</v>
      </c>
      <c r="BI490" s="2" t="s">
        <v>3471</v>
      </c>
      <c r="BJ490" s="1" t="s">
        <v>1875</v>
      </c>
      <c r="BK490" s="2" t="s">
        <v>3472</v>
      </c>
      <c r="BL490" s="1" t="s">
        <v>1877</v>
      </c>
      <c r="BM490" s="2" t="s">
        <v>3473</v>
      </c>
    </row>
    <row r="491" spans="1:69" ht="270" x14ac:dyDescent="0.45">
      <c r="A491" s="5">
        <v>490</v>
      </c>
      <c r="B491" s="8" t="s">
        <v>326</v>
      </c>
      <c r="C491" s="6" t="s">
        <v>6851</v>
      </c>
      <c r="D491" s="7" t="s">
        <v>9752</v>
      </c>
      <c r="E491" s="1" t="s">
        <v>1692</v>
      </c>
      <c r="F491" s="1" t="s">
        <v>1607</v>
      </c>
      <c r="G491" s="1"/>
      <c r="J491" s="1" t="s">
        <v>9753</v>
      </c>
      <c r="K491" s="2" t="s">
        <v>7804</v>
      </c>
      <c r="L491" s="9" t="s">
        <v>8383</v>
      </c>
      <c r="P491" s="7" t="s">
        <v>1241</v>
      </c>
      <c r="AU491" s="15"/>
      <c r="AV491" s="1" t="s">
        <v>1502</v>
      </c>
      <c r="BG491" s="7" t="s">
        <v>1503</v>
      </c>
      <c r="BH491" s="1" t="s">
        <v>1947</v>
      </c>
      <c r="BI491" s="2" t="s">
        <v>3474</v>
      </c>
      <c r="BJ491" s="1" t="s">
        <v>1959</v>
      </c>
      <c r="BK491" s="1" t="s">
        <v>3475</v>
      </c>
      <c r="BL491" s="1" t="s">
        <v>1875</v>
      </c>
      <c r="BM491" s="2" t="s">
        <v>3476</v>
      </c>
      <c r="BN491" s="1" t="s">
        <v>1877</v>
      </c>
      <c r="BO491" s="2" t="s">
        <v>3477</v>
      </c>
    </row>
    <row r="492" spans="1:69" ht="126" x14ac:dyDescent="0.45">
      <c r="A492" s="5">
        <v>491</v>
      </c>
      <c r="B492" s="8" t="s">
        <v>327</v>
      </c>
      <c r="C492" s="6" t="s">
        <v>6851</v>
      </c>
      <c r="D492" s="7" t="s">
        <v>9752</v>
      </c>
      <c r="E492" s="1" t="s">
        <v>327</v>
      </c>
      <c r="F492" s="1"/>
      <c r="G492" s="1"/>
      <c r="J492" s="1" t="s">
        <v>9753</v>
      </c>
      <c r="K492" s="2" t="s">
        <v>7805</v>
      </c>
      <c r="L492" s="9" t="s">
        <v>8384</v>
      </c>
      <c r="P492" s="7" t="s">
        <v>1241</v>
      </c>
      <c r="AV492" s="1" t="s">
        <v>1502</v>
      </c>
      <c r="BG492" s="7" t="s">
        <v>1503</v>
      </c>
      <c r="BH492" s="1" t="s">
        <v>2110</v>
      </c>
      <c r="BI492" s="1" t="s">
        <v>3478</v>
      </c>
      <c r="BJ492" s="1" t="s">
        <v>1875</v>
      </c>
      <c r="BK492" s="2" t="s">
        <v>3479</v>
      </c>
      <c r="BL492" s="1" t="s">
        <v>1877</v>
      </c>
      <c r="BM492" s="2" t="s">
        <v>3480</v>
      </c>
    </row>
    <row r="493" spans="1:69" ht="90" x14ac:dyDescent="0.45">
      <c r="A493" s="5">
        <v>492</v>
      </c>
      <c r="B493" s="8" t="s">
        <v>1693</v>
      </c>
      <c r="C493" s="6" t="s">
        <v>6851</v>
      </c>
      <c r="D493" s="7" t="s">
        <v>9752</v>
      </c>
      <c r="E493" s="1" t="s">
        <v>1941</v>
      </c>
      <c r="F493" s="1" t="s">
        <v>8954</v>
      </c>
      <c r="G493" s="1"/>
      <c r="J493" s="1" t="s">
        <v>9753</v>
      </c>
      <c r="K493" s="1" t="s">
        <v>3481</v>
      </c>
      <c r="L493" s="4" t="s">
        <v>8385</v>
      </c>
      <c r="M493" s="1" t="s">
        <v>12136</v>
      </c>
      <c r="P493" s="7" t="s">
        <v>1241</v>
      </c>
      <c r="Q493" s="14" t="str">
        <f>INDEX($L:$L, MATCH("knowledge", $B:$B, 0))</f>
        <v>&lt;span class="w"&gt;&lt;b&gt;【58.knowledge：知識, 認識】&lt;/b&gt;&lt;/span&gt;
&lt;span class="ml"&gt;knowledgeは「knowの名詞」と覚えればよい。
&lt;span class="spacer"&gt;&lt;/span&gt;知っているという動詞から知っていること＝「知識, 認識」という名詞になる。&lt;/span&gt;</v>
      </c>
      <c r="R493" s="13" t="str">
        <f>INDEX($L:$L, MATCH("acknowledge", $B:$B, 0))</f>
        <v>&lt;span class="w"&gt;&lt;b&gt;【717.acknowledge：〜を認める】&lt;/b&gt;&lt;/span&gt;
&lt;span class="ml"&gt;以下の中英語の2語がひとつになってできた語。
&lt;span class="spacer"&gt;&lt;/span&gt;aknowen（知っていることを認める）
knowlechen（認める）
&lt;span class="spacer"&gt;&lt;/span&gt;この語は、対象を示すac（〜に）とknow（知っている）が合わさったと考えればよい。「何かに対して知っていると認める」というイメージで覚える。&lt;/span&gt;</v>
      </c>
      <c r="S493" s="13" t="str">
        <f>INDEX($L:$L, MATCH("notice", $B:$B, 0))</f>
        <v>&lt;span class="w"&gt;&lt;b&gt;【101.notice：（動）～に気づく, （名）通知】&lt;/b&gt;&lt;/span&gt;
&lt;span class="ml"&gt;印欧祖語*gno-（知る）から生まれたラテン語(g)nōscere（知るようになる, 認識する）
&lt;span class="spacer"&gt;&lt;/span&gt;「知るようになる」から知られるきっかけである「通知, 知らせ」という名詞になる。そして知らせによって何かを認識するので、「気づく」という動詞になる。&lt;/span&gt;</v>
      </c>
      <c r="T493" s="13" t="str">
        <f>INDEX($L:$L, MATCH("notion", $B:$B, 0))</f>
        <v>&lt;span class="w"&gt;&lt;b&gt;【453.notion：概念, 考え】&lt;/b&gt;&lt;/span&gt;
&lt;span class="ml"&gt;ラテン語に由来する語で、以下の2つの要素から成る。
&lt;span class="spacer"&gt;&lt;/span&gt;noscere（知る）
io（名詞化）
&lt;span class="spacer"&gt;&lt;/span&gt;この語の核は「知られているもの」。ここから頭の中にある「考え, 概念」という意味になる。&lt;/span&gt;</v>
      </c>
      <c r="U493" s="13" t="str">
        <f>INDEX($L:$L, MATCH("noble", $B:$B, 0))</f>
        <v>&lt;span class="w"&gt;&lt;b&gt;【1184.noble：高貴な, 高潔な, 気高い】&lt;/b&gt;&lt;/span&gt;
&lt;span class="ml"&gt;ラテン語に由来する語で、以下の2つの要素から成る。
&lt;span class="spacer"&gt;&lt;/span&gt;gnoscere（知る）
bilis（できる）
&lt;span class="spacer"&gt;&lt;/span&gt;この語の核は「皆によく知られている＝知名度が高い」。当時の社会で、世間によく知られているということは身分が高い家、つまり貴族ということになる。そこから「高貴な」という意味になった。
&lt;span class="spacer"&gt;&lt;/span&gt;また高貴な人々にふさわしいとされる道徳心や立派な振る舞いから「高潔な, 気高い」という意味にもなった。
&lt;div class="sample_image noble"&gt;&lt;/div&gt;&lt;/span&gt;</v>
      </c>
      <c r="V493" s="13" t="str">
        <f>INDEX($L:$L, MATCH("ignore", $B:$B, 0))</f>
        <v>&lt;span class="w"&gt;&lt;b&gt;【224.ignore：～を無視する】&lt;/b&gt;&lt;/span&gt;
&lt;span class="ml"&gt;ラテン語に由来する語で、以下の2つの要素から成る。
&lt;span class="spacer"&gt;&lt;/span&gt;in（否定）
gnarus（知っている）
&lt;span class="spacer"&gt;&lt;/span&gt;このまま日本語にすると「知らない」となる。気に留めることなく知らないふりをすることから、「無視する」という意味になった。
&lt;span class="spacer"&gt;&lt;/span&gt;形容詞ignorant（無知な）,や名詞ignorance（無知）もセットで覚えておく。&lt;/span&gt;</v>
      </c>
      <c r="W493" s="13" t="str">
        <f>INDEX($L:$L, MATCH("cognitive", $B:$B, 0))</f>
        <v>&lt;span class="w"&gt;&lt;b&gt;【279.cognitive：認知の】&lt;/b&gt;&lt;/span&gt;
&lt;span class="ml"&gt;ラテン語に由来する語で、以下の2つの要素から成る。
&lt;span class="spacer"&gt;&lt;/span&gt;com（共に）
gnoscere（知る）
&lt;span class="obsolete"&gt;ive（形容詞化）は英語段階で付いた&lt;/span&gt;
&lt;span class="spacer"&gt;&lt;/span&gt;このまま日本語にすると「共に知る」となる。互いに認知することから「認知の」という意味になる。&lt;/span&gt;</v>
      </c>
      <c r="X493" s="13" t="str">
        <f>INDEX($L:$L, MATCH("recognize", $B:$B, 0))</f>
        <v>&lt;span class="w"&gt;&lt;b&gt;【106.recognize：～を認識する, ～を識別する】&lt;/b&gt;&lt;/span&gt;
&lt;span class="ml"&gt;ラテン語に由来する語で、以下の3つの要素から成る。
&lt;span class="spacer"&gt;&lt;/span&gt;re（再び）
com（強意）
gnoscere（知る）
&lt;span class="spacer"&gt;&lt;/span&gt;このまま日本語にすると「再びしっかり知る」となる。目の前の情報Aを既にある知識と照らし合わせ、情報Aは知識の中の情報Bと同一であると再び知る。つまり、情報Aは情報Bであると「識別する, 認識する」という意味になる。
&lt;div class="sample_image recognize"&gt;&lt;/div&gt;&lt;/span&gt;</v>
      </c>
      <c r="Y493" s="13" t="str">
        <f>INDEX($L:$L, MATCH("diagnose", $B:$B, 0))</f>
        <v>&lt;span class="w"&gt;&lt;b&gt;【1419.diagnose：診断する】&lt;/b&gt;&lt;/span&gt;
&lt;span class="ml"&gt;ギリシャ語に由来する語で、以下の2つの要素から成る。
&lt;span class="spacer"&gt;&lt;/span&gt;dia（間に）
gignōskein（学ぶ, 知るようになる）
&lt;span class="spacer"&gt;&lt;/span&gt;もともとは、様々な物事の間にある差異を知り、それぞれを区別する、識別することを表した。そこから医学において、症状を見分けて病名を特定することを意味するようになり、「診断する」という意味になった。
&lt;div class="sample_image diagnose"&gt;&lt;/div&gt;
&lt;span class="spacer"&gt;&lt;/span&gt;さらに現代では、医学に限らず、機械や技術、ビジネス、教育など様々な分野において「問題分析をする」という意味でも使われる。&lt;/span&gt;</v>
      </c>
      <c r="Z493" s="13" t="str">
        <f>INDEX($L:$L, MATCH("acquaintance", $B:$B, 0))</f>
        <v>&lt;span class="w"&gt;&lt;b&gt;【1257.acquaintance：知人, 面識, 知識】&lt;/b&gt;&lt;/span&gt;
&lt;span class="ml"&gt;ラテン語に由来する語で、以下の4つの要素から成る。
&lt;span class="spacer"&gt;&lt;/span&gt;ad（〜へ）
com（完全に）
gnoscere（知る）
&lt;span class="obsolete"&gt;ance（名詞化）はフランス語段階で付いた&lt;/span&gt;
&lt;span class="spacer"&gt;&lt;/span&gt;この語の核は「何かをしっかり知っていること」。そこから、ある分野に通じているという意味での「知識」や、相手と初対面ではなくて顔を見て知っているという「面識」、そして面識がある人、すなわち「知人」などの意味になる。
&lt;span class="spacer"&gt;&lt;/span&gt;acquaintanceというスペルはもとのラテン語から大きく変わってしまったが、印欧祖語*gno-（知る）そしてラテン語gnoscere（知る）から生まれた語。&lt;/span&gt;</v>
      </c>
      <c r="AU493" s="15"/>
      <c r="AV493" s="1" t="s">
        <v>1502</v>
      </c>
      <c r="BG493" s="7" t="s">
        <v>1503</v>
      </c>
      <c r="BH493" s="1" t="s">
        <v>1875</v>
      </c>
      <c r="BI493" s="2" t="s">
        <v>3482</v>
      </c>
    </row>
    <row r="494" spans="1:69" ht="252" x14ac:dyDescent="0.45">
      <c r="A494" s="5">
        <v>493</v>
      </c>
      <c r="B494" s="8" t="s">
        <v>328</v>
      </c>
      <c r="C494" s="6" t="s">
        <v>6851</v>
      </c>
      <c r="D494" s="7" t="s">
        <v>9752</v>
      </c>
      <c r="E494" s="1" t="s">
        <v>1694</v>
      </c>
      <c r="F494" s="1" t="s">
        <v>1695</v>
      </c>
      <c r="G494" s="1"/>
      <c r="J494" s="1" t="s">
        <v>9753</v>
      </c>
      <c r="K494" s="2" t="s">
        <v>7806</v>
      </c>
      <c r="L494" s="9" t="s">
        <v>12106</v>
      </c>
      <c r="M494" s="1" t="s">
        <v>12205</v>
      </c>
      <c r="P494" s="7" t="s">
        <v>1241</v>
      </c>
      <c r="Q494" s="13" t="str">
        <f>INDEX($L:$L, MATCH("supreme", $B:$B, 0))</f>
        <v>&lt;span class="w"&gt;&lt;b&gt;【1479.supreme：最高の】&lt;/b&gt;&lt;/span&gt;
&lt;span class="ml"&gt;ラテン語に由来する語で、以下の2つの要素から成る。
&lt;span class="spacer"&gt;&lt;/span&gt;super（上に）
emus（最上級を作る）
&lt;span class="spacer"&gt;&lt;/span&gt;これはsuperの最上級と覚えればよい。物理的な位置として最も上にある状態から、地位、権力、品質、程度などが他のすべてよりも上であるという抽象的な意味へと発展して「最高の」という意味になった。&lt;/span&gt;</v>
      </c>
      <c r="R494" s="13" t="str">
        <f>INDEX($L:$L, MATCH("inferior", $B:$B, 0))</f>
        <v>&lt;span class="w"&gt;&lt;b&gt;【1092.inferior：より劣った】&lt;/b&gt;&lt;/span&gt;
&lt;span class="ml"&gt;ラテン語に由来する語で、以下の3つの要素から成る。
&lt;span class="spacer"&gt;&lt;/span&gt;infra（下に）
us（形容詞化）
or（比較級を作る）
&lt;span class="spacer"&gt;&lt;/span&gt;このまま日本語にすると「より下の」となる。物理的に基準よりも下に位置することから比喩的に、質・能力・立場などが「より劣った」という意味になる。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v>
      </c>
      <c r="S494" s="13" t="str">
        <f>INDEX($L:$L, MATCH("priority", $B:$B, 0))</f>
        <v>&lt;span class="w"&gt;&lt;b&gt;【651.priority：優先（事項）】&lt;/b&gt;&lt;/span&gt;
&lt;span class="ml"&gt;ラテン語に由来する語で、以下の3つの要素から成る。
&lt;span class="spacer"&gt;&lt;/span&gt;pri（前に, 以前に）
or（比較級）
tas（名詞化）
&lt;span class="spacer"&gt;&lt;/span&gt;このまま日本語にすると「他より前にあること」となる。他よりも前にあるということは、他よりも優先されるということ。そこから「優先（事項）」という意味になる。&lt;/span&gt;</v>
      </c>
      <c r="AU494" s="15"/>
      <c r="AV494" s="1" t="s">
        <v>1502</v>
      </c>
      <c r="BG494" s="7" t="s">
        <v>1503</v>
      </c>
      <c r="BH494" s="1" t="s">
        <v>1947</v>
      </c>
      <c r="BI494" s="2" t="s">
        <v>3483</v>
      </c>
      <c r="BJ494" s="1" t="s">
        <v>1959</v>
      </c>
      <c r="BK494" s="2" t="s">
        <v>3484</v>
      </c>
      <c r="BL494" s="1" t="s">
        <v>1875</v>
      </c>
      <c r="BM494" s="2" t="s">
        <v>3485</v>
      </c>
      <c r="BN494" s="1" t="s">
        <v>1877</v>
      </c>
      <c r="BO494" s="2" t="s">
        <v>3486</v>
      </c>
    </row>
    <row r="495" spans="1:69" ht="270" x14ac:dyDescent="0.45">
      <c r="A495" s="5">
        <v>494</v>
      </c>
      <c r="B495" s="8" t="s">
        <v>329</v>
      </c>
      <c r="C495" s="6" t="s">
        <v>6851</v>
      </c>
      <c r="D495" s="7" t="s">
        <v>9752</v>
      </c>
      <c r="E495" s="1" t="s">
        <v>1696</v>
      </c>
      <c r="F495" s="1" t="s">
        <v>1528</v>
      </c>
      <c r="G495" s="1"/>
      <c r="J495" s="1" t="s">
        <v>9753</v>
      </c>
      <c r="K495" s="2" t="s">
        <v>7807</v>
      </c>
      <c r="L495" s="9" t="s">
        <v>8386</v>
      </c>
      <c r="M495" s="1" t="s">
        <v>12206</v>
      </c>
      <c r="P495" s="7" t="s">
        <v>1241</v>
      </c>
      <c r="Q495" s="14" t="str">
        <f>INDEX($L:$L, MATCH("sensation", $B:$B, 0))</f>
        <v>&lt;span class="w"&gt;&lt;b&gt;【945.sensation：感覚, 大評判, 衝撃】&lt;/b&gt;&lt;/span&gt;
&lt;span class="ml"&gt;ラテン語に由来する語で、以下の2つの要素から成る。
&lt;span class="spacer"&gt;&lt;/span&gt;sentire（知覚する, 感じる, 知る）
io（名詞化）
&lt;span class="spacer"&gt;&lt;/span&gt;このまま日本語にすると「感じること, 知ること」となる。もとになったラテン語では感覚系と知る系の2つの意味があったが、sensationは感覚的な意味へと特化した。感覚器官を通じた外部刺激への「感覚」という個人レベルのものから、社会全体が強い感覚を生じさせる「大評判, 衝撃」という意味になった。
&lt;span class="spacer"&gt;&lt;/span&gt;&lt;span class="obsolete"&gt;感覚系の五感と、知る系の理解の両方の意味へ発展したのがsense（五感, 意味, 理解, 知的な感覚）。&lt;/span&gt;&lt;/span&gt;</v>
      </c>
      <c r="R495" s="14" t="str">
        <f>INDEX($L:$L, MATCH("sensory", $B:$B, 0))</f>
        <v>&lt;span class="w"&gt;&lt;b&gt;【1197.sensory：感覚の】&lt;/b&gt;&lt;/span&gt;
&lt;span class="ml"&gt;ラテン語に由来する語で、以下の2つの要素から成る。
&lt;span class="spacer"&gt;&lt;/span&gt;sentire（感じる）から派生したsensus（感覚）
orius（形容詞化）
&lt;span class="spacer"&gt;&lt;/span&gt;このまま日本語にすれば「感覚の」という意味になる。sense（感覚）の形容詞として覚えればよい。&lt;/span&gt;</v>
      </c>
      <c r="S495" s="14" t="str">
        <f>INDEX($L:$L, MATCH("sensible", $B:$B, 0))</f>
        <v>&lt;span class="w"&gt;&lt;b&gt;【1183.sensible：賢明な, 実用的な】&lt;/b&gt;&lt;/span&gt;
&lt;span class="ml"&gt;ラテン語に由来する語で、以下の2つの要素から成る。
&lt;span class="spacer"&gt;&lt;/span&gt;sentire（感じる）から派生したsensus（感覚）
bilis（できる）
&lt;span class="spacer"&gt;&lt;/span&gt;もともとは、感覚によって把握できるという物理的な知覚を表していた。そこから、精神（理性）で把握する能力があるという知的な意味へと変化して「賢明な」という意味になった。
&lt;span class="spacer"&gt;&lt;/span&gt;また、この賢明であるということから衣服や靴などについて、しっかり考えて作られており、機能的で理にかなっている＝「実用的な」という意味になった。
&lt;div class="sample_image sensible"&gt;&lt;/div&gt;&lt;/span&gt;</v>
      </c>
      <c r="T495" s="14" t="str">
        <f>INDEX($L:$L, MATCH("consent", $B:$B, 0))</f>
        <v>&lt;span class="w"&gt;&lt;b&gt;【1275.consent：同意, 承諾】&lt;/b&gt;&lt;/span&gt;
&lt;span class="ml"&gt;ラテン語に由来する語で、以下の2つの要素から成る。
&lt;span class="spacer"&gt;&lt;/span&gt;con（共に）
sentire（感じる）
&lt;span class="spacer"&gt;&lt;/span&gt;このまま日本語にすると「共に感じる」となる。感情や判断が一致することから「同意, 承諾」という意味になった。&lt;/span&gt;</v>
      </c>
      <c r="U495" s="13" t="str">
        <f>INDEX($L:$L, MATCH("consensus", $B:$B, 0))</f>
        <v>&lt;span class="w"&gt;&lt;b&gt;【1153.consensus：総意, 意見の一致】&lt;/b&gt;&lt;/span&gt;
&lt;span class="ml"&gt;ラテン語に由来する語で、以下の2つの要素から成る。
&lt;span class="spacer"&gt;&lt;/span&gt;con（共に）
sentire（感じる）
&lt;span class="spacer"&gt;&lt;/span&gt;このまま日本語にすると「共に感じる」となる。もともとは、生理学において、身体の異なる器官が連動して反応すること（交感・共鳴）を表した。その異なるもの同士の連動というニュアンスが、人間社会の集団に対して使われるようになり、集団における人々の考えの連動＝「総意, 意見の一致」という意味になった。
&lt;div class="sample_image consensus"&gt;&lt;/div&gt;&lt;/span&gt;</v>
      </c>
      <c r="V495" s="13" t="str">
        <f>INDEX($L:$L, MATCH("scent", $B:$B, 0))</f>
        <v>&lt;span class="w"&gt;&lt;b&gt;【1156.scent：香り】&lt;/b&gt;&lt;/span&gt;
&lt;span class="ml"&gt;ラテン語sentire（感じる）に由来する。
&lt;span class="spacer"&gt;&lt;/span&gt;感覚の中でも嗅覚に関して使われ、もともとは狩猟において、猟犬が嗅ぎ取る獣のにおいを表した。そこから、空気中にただよう様々な印象的なにおいを表すようになり、一般的な「香り」という意味になった。
&lt;span class="spacer"&gt;&lt;/span&gt;scentのスペルには、本来cは存在しなかった。しかし後にscienceのような他のscというスペルに影響され、cが挿入された。つまり、本当はsense（感覚）に似たsentというスペルだった。&lt;/span&gt;</v>
      </c>
      <c r="AU495" s="15"/>
      <c r="AV495" s="1" t="s">
        <v>1502</v>
      </c>
      <c r="BG495" s="7" t="s">
        <v>1503</v>
      </c>
      <c r="BH495" s="1" t="s">
        <v>1947</v>
      </c>
      <c r="BI495" s="2" t="s">
        <v>3487</v>
      </c>
      <c r="BJ495" s="1" t="s">
        <v>1967</v>
      </c>
      <c r="BK495" s="2" t="s">
        <v>3488</v>
      </c>
      <c r="BL495" s="1" t="s">
        <v>1959</v>
      </c>
      <c r="BM495" s="1" t="s">
        <v>3489</v>
      </c>
      <c r="BN495" s="1" t="s">
        <v>1875</v>
      </c>
      <c r="BO495" s="2" t="s">
        <v>3490</v>
      </c>
      <c r="BP495" s="1" t="s">
        <v>1877</v>
      </c>
      <c r="BQ495" s="2" t="s">
        <v>3491</v>
      </c>
    </row>
    <row r="496" spans="1:69" ht="126" x14ac:dyDescent="0.45">
      <c r="A496" s="5">
        <v>495</v>
      </c>
      <c r="B496" s="8" t="s">
        <v>330</v>
      </c>
      <c r="C496" s="6" t="s">
        <v>6851</v>
      </c>
      <c r="D496" s="7" t="s">
        <v>9752</v>
      </c>
      <c r="E496" s="1" t="s">
        <v>1697</v>
      </c>
      <c r="F496" s="1" t="s">
        <v>1698</v>
      </c>
      <c r="G496" s="1"/>
      <c r="J496" s="1" t="s">
        <v>9753</v>
      </c>
      <c r="K496" s="2" t="s">
        <v>7808</v>
      </c>
      <c r="L496" s="9" t="s">
        <v>8387</v>
      </c>
      <c r="P496" s="7" t="s">
        <v>1241</v>
      </c>
      <c r="Q496" s="13" t="str">
        <f>INDEX($L:$L, MATCH("violate", $B:$B, 0))</f>
        <v>&lt;span class="w"&gt;&lt;b&gt;【1307.violate：法律や規則に違反する】&lt;/b&gt;&lt;/span&gt;
&lt;span class="ml"&gt;ラテン語vis（力）に関連するviolare（暴力を加える）に由来する。
&lt;span class="spacer"&gt;&lt;/span&gt;物理的な力を使って何かを強引に打ち破るというイメージから、物理的な暴力だけでなく、目に見えないルールや境界線を「破る」という意味になった。&lt;/span&gt;</v>
      </c>
      <c r="AU496" s="15"/>
      <c r="AV496" s="1" t="s">
        <v>1502</v>
      </c>
      <c r="BG496" s="7" t="s">
        <v>1503</v>
      </c>
      <c r="BH496" s="1" t="s">
        <v>1947</v>
      </c>
      <c r="BI496" s="2" t="s">
        <v>7809</v>
      </c>
      <c r="BJ496" s="1" t="s">
        <v>1959</v>
      </c>
      <c r="BK496" s="1" t="s">
        <v>3492</v>
      </c>
      <c r="BL496" s="1" t="s">
        <v>1875</v>
      </c>
      <c r="BM496" s="2" t="s">
        <v>3493</v>
      </c>
    </row>
    <row r="497" spans="1:69" ht="234" x14ac:dyDescent="0.45">
      <c r="A497" s="5">
        <v>496</v>
      </c>
      <c r="B497" s="8" t="s">
        <v>1699</v>
      </c>
      <c r="C497" s="6" t="s">
        <v>6851</v>
      </c>
      <c r="D497" s="7" t="s">
        <v>9752</v>
      </c>
      <c r="E497" s="1" t="s">
        <v>5613</v>
      </c>
      <c r="F497" s="1" t="s">
        <v>7810</v>
      </c>
      <c r="G497" s="1" t="s">
        <v>49</v>
      </c>
      <c r="J497" s="1" t="s">
        <v>9753</v>
      </c>
      <c r="K497" s="2" t="s">
        <v>7811</v>
      </c>
      <c r="L497" s="9" t="s">
        <v>8388</v>
      </c>
      <c r="P497" s="7" t="s">
        <v>1241</v>
      </c>
      <c r="Q497" s="13" t="str">
        <f>INDEX($L:$L, MATCH("virtue", $B:$B, 0))</f>
        <v>&lt;span class="w"&gt;&lt;b&gt;【1078.virtue：美徳, 効能】&lt;/b&gt;&lt;/span&gt;
&lt;span class="ml"&gt;ラテン語に由来する語で、以下の2つの要素から成る。
&lt;span class="spacer"&gt;&lt;/span&gt;vir（男）
us（名詞化）
&lt;span class="spacer"&gt;&lt;/span&gt;この語の核は「男にふさわしい力強さ」。古代ローマでは、戦士としての勇気や力が男にとっての理想とされていた。そこから意味が拡張し、単なる武勇に限らず、精神的・能力的な優秀さ全般を指すようになる。さらにキリスト教的な価値観の影響を受けて、道徳的な強さ＝正しさ・清らかさから「美徳」を意味するようになった。
&lt;span class="spacer"&gt;&lt;/span&gt;道徳的な美徳以前の物理的・能力的な力というニュアンスは「効能, 効力」という意味で残っている。
&lt;div class="sample_image virtue"&gt;&lt;/div&gt;&lt;/span&gt;</v>
      </c>
      <c r="AU497" s="15"/>
      <c r="AV497" s="1" t="s">
        <v>1502</v>
      </c>
      <c r="BG497" s="7" t="s">
        <v>1503</v>
      </c>
      <c r="BH497" s="1" t="s">
        <v>1947</v>
      </c>
      <c r="BI497" s="2" t="s">
        <v>7812</v>
      </c>
      <c r="BJ497" s="1" t="s">
        <v>1967</v>
      </c>
      <c r="BK497" s="2" t="s">
        <v>3494</v>
      </c>
      <c r="BL497" s="1" t="s">
        <v>1875</v>
      </c>
      <c r="BM497" s="2" t="s">
        <v>7813</v>
      </c>
      <c r="BN497" s="1" t="s">
        <v>1877</v>
      </c>
      <c r="BO497" s="2" t="s">
        <v>3495</v>
      </c>
      <c r="BP497" s="1" t="s">
        <v>3496</v>
      </c>
      <c r="BQ497" s="2" t="s">
        <v>3497</v>
      </c>
    </row>
    <row r="498" spans="1:69" ht="234" x14ac:dyDescent="0.45">
      <c r="A498" s="5">
        <v>497</v>
      </c>
      <c r="B498" s="8" t="s">
        <v>1700</v>
      </c>
      <c r="C498" s="6" t="s">
        <v>6851</v>
      </c>
      <c r="D498" s="7" t="s">
        <v>9752</v>
      </c>
      <c r="E498" s="1" t="s">
        <v>1251</v>
      </c>
      <c r="F498" s="1" t="s">
        <v>1334</v>
      </c>
      <c r="G498" s="1" t="s">
        <v>1556</v>
      </c>
      <c r="J498" s="1" t="s">
        <v>9753</v>
      </c>
      <c r="K498" s="2" t="s">
        <v>7814</v>
      </c>
      <c r="L498" s="4" t="s">
        <v>11622</v>
      </c>
      <c r="P498" s="7" t="s">
        <v>1241</v>
      </c>
      <c r="Q498" s="14" t="str">
        <f>INDEX($L:$L, MATCH("regard", $B:$B, 0))</f>
        <v>&lt;span class="w"&gt;&lt;b&gt;【132.regard：〜を見なす, 注意を払う, 〜を評価する, 敬意を払う】&lt;/b&gt;&lt;/span&gt;
&lt;span class="ml"&gt;古フランス語に由来する語で、以下の2つの要素から成る。
&lt;span class="spacer"&gt;&lt;/span&gt;re（強意）
garder（見る, 注意する）
&lt;span class="spacer"&gt;&lt;/span&gt;このgarderは、ボディガードのguard（監視者）の語源でもある。つまり、regardのgard部分の意味の核は「注意して見る」。
&lt;span class="spacer"&gt;&lt;/span&gt;ここからまず「注意を払う」という意味になる。
&lt;span class="spacer"&gt;&lt;/span&gt;次に、何かに注意を向けるということは、その対象に注意を向ける価値があるということ。そこから「評価する, 敬意を払う」という意味になる。
&lt;span class="spacer"&gt;&lt;/span&gt;最後に、注意というニュアンスが薄まってただ対象を見るとなり、「見なす」という意味になる。&lt;/span&gt;</v>
      </c>
      <c r="R498" s="14" t="str">
        <f>INDEX($L:$L, MATCH("guard", $B:$B, 0))</f>
        <v>&lt;span class="w"&gt;&lt;b&gt;【761.guard：警備員, 監視】&lt;/b&gt;&lt;/span&gt;
&lt;span class="ml"&gt;印欧祖語*wer-（警戒する）−古フランス語garder（保持する, 保護する）に由来する。
&lt;span class="spacer"&gt;&lt;/span&gt;もともとは注意深く見て警戒するというニュアンスだったが、そこから、見ているだけではなく何かを保護するという能動的な行動のニュアンスが強まった。そして守る行為である「監視」や、守る人である「警備員」などの意味になった。&lt;/span&gt;</v>
      </c>
      <c r="S498" s="14" t="str">
        <f>INDEX($L:$L, MATCH("reward", $B:$B, 0))</f>
        <v>&lt;span class="w"&gt;&lt;b&gt;【258.reward：報酬, 報い】&lt;/b&gt;&lt;/span&gt;
&lt;span class="ml"&gt;古北フランス語に由来する語で、以下の2つの要素から成る。
&lt;span class="spacer"&gt;&lt;/span&gt;re（強意）
warder（見る, 注意を払う）
&lt;span class="spacer"&gt;&lt;/span&gt;このまま日本語にすると「しっかり注意して見る」となる。この語の核は、相手の行動を注意して見て、行動や結果の良し悪しで報酬や罰を与えること。現代では通常、良い意味で使用されて「報酬, 報い」という意味になる。
&lt;div class="sample_image reward"&gt;&lt;/div&gt;
&lt;span class="spacer"&gt;&lt;/span&gt;rewardはregardと同じ語源を持つ。どちらも「注意して見る」ことが核になっている。wとgの違いはフランス語の方言差のようなもの。&lt;/span&gt;</v>
      </c>
      <c r="T498" s="13" t="str">
        <f>INDEX($L:$L, MATCH("award", $B:$B, 0))</f>
        <v>&lt;span class="w"&gt;&lt;b&gt;【650.award：賞, 授与】&lt;/b&gt;&lt;/span&gt;
&lt;span class="ml"&gt;古北フランス語に由来する語で、以下の2つの要素から成る。
&lt;span class="spacer"&gt;&lt;/span&gt;es（外に）
warder（注意して見る）
&lt;span class="spacer"&gt;&lt;/span&gt;この語の核は「注意深く見て判断した結果、何かを外に出す」。そこから、注意深い観察の後に送られる「賞」や、賞を与えること＝「授与」という意味になった。&lt;/span&gt;</v>
      </c>
      <c r="U498" s="13" t="str">
        <f>INDEX($L:$L, MATCH("aware", $B:$B, 0))</f>
        <v>&lt;span class="w"&gt;&lt;b&gt;【190.aware：気づいて, 知って】&lt;/b&gt;&lt;/span&gt;
&lt;span class="ml"&gt;gewær（用心深い, 警戒している）にさかのぼる語。
&lt;span class="spacer"&gt;&lt;/span&gt;用心や警戒といった注意しているという感覚から、対象に注意を向けて「気づいて, 知って」という意味になった。&lt;/span&gt;</v>
      </c>
      <c r="AU498" s="15"/>
      <c r="AV498" s="1" t="s">
        <v>1502</v>
      </c>
      <c r="BG498" s="7" t="s">
        <v>1503</v>
      </c>
      <c r="BH498" s="1" t="s">
        <v>1959</v>
      </c>
      <c r="BI498" s="2" t="s">
        <v>3498</v>
      </c>
      <c r="BJ498" s="1" t="s">
        <v>1875</v>
      </c>
      <c r="BK498" s="1" t="s">
        <v>3499</v>
      </c>
      <c r="BL498" s="1" t="s">
        <v>1877</v>
      </c>
      <c r="BM498" s="2" t="s">
        <v>3500</v>
      </c>
    </row>
    <row r="499" spans="1:69" ht="198" x14ac:dyDescent="0.45">
      <c r="A499" s="5">
        <v>498</v>
      </c>
      <c r="B499" s="8" t="s">
        <v>331</v>
      </c>
      <c r="C499" s="6" t="s">
        <v>6851</v>
      </c>
      <c r="D499" s="7" t="s">
        <v>9752</v>
      </c>
      <c r="E499" s="1" t="s">
        <v>29</v>
      </c>
      <c r="F499" s="1" t="s">
        <v>7815</v>
      </c>
      <c r="G499" s="1"/>
      <c r="J499" s="1" t="s">
        <v>9753</v>
      </c>
      <c r="K499" s="2" t="s">
        <v>7816</v>
      </c>
      <c r="L499" s="4" t="s">
        <v>8389</v>
      </c>
      <c r="M499" s="1" t="s">
        <v>12163</v>
      </c>
      <c r="P499" s="7" t="s">
        <v>1241</v>
      </c>
      <c r="Q499" s="14" t="str">
        <f>INDEX($L:$L, MATCH("medium", $B:$B, 0))</f>
        <v>&lt;span class="w"&gt;&lt;b&gt;【144.medium：媒体, 手段, メディアmediaの単数形】&lt;/b&gt;&lt;/span&gt;
&lt;span class="ml"&gt;ラテン語medius（中間の）に由来する。
&lt;span class="spacer"&gt;&lt;/span&gt;この語の核は「中間にあるもの」。情報を送る側と受ける側の間にあるものなら「媒体」という意味になる。また行動と目的の間にあるものなら「手段」という意味になる。
&lt;span class="spacer"&gt;&lt;/span&gt;またmediumのmed部分は、middle（ミドル, 真ん中の）と同じ語源にさかのぼる。&lt;/span&gt;</v>
      </c>
      <c r="R499" s="14" t="str">
        <f>INDEX($L:$L, MATCH("means", $B:$B, 0))</f>
        <v>&lt;span class="w"&gt;&lt;b&gt;【757.means：手段, 資力, 収入】&lt;/b&gt;&lt;/span&gt;
&lt;span class="ml"&gt;ラテン語medius（中間の）に由来する。
&lt;span class="spacer"&gt;&lt;/span&gt;この語の核は「スタートとゴールの中間にあるもの」。そこから、ゴール（目的）に到達するための「手段」という意味になった。また目的を達成するための手段として「資力, 収入」という意味にもなった。
&lt;div class="sample_image means"&gt;&lt;/div&gt;&lt;/span&gt;</v>
      </c>
      <c r="S499" s="14" t="str">
        <f>INDEX($L:$L, MATCH("medieval", $B:$B, 0))</f>
        <v>&lt;span class="w"&gt;&lt;b&gt;【1097.medieval：中世の】&lt;/b&gt;&lt;/span&gt;
&lt;span class="ml"&gt;近代英語において、ラテン語をもとに造られた語で、以下の2つの要素から成る。
&lt;span class="spacer"&gt;&lt;/span&gt;medium（中間）
aevum（時代）
&lt;span class="spacer"&gt;&lt;/span&gt;このまま日本語にすると「中間の時代」となる。そこから原始時代と近代の間の「中世の」という意味になった。
&lt;span class="spacer"&gt;&lt;/span&gt;ラテン語aevumはageやeverと同じ語源にさかのぼる。英語で言えばmiddle＋age＝medievalだと考えればよい。&lt;/span&gt;</v>
      </c>
      <c r="T499" s="15"/>
      <c r="AU499" s="15"/>
      <c r="AV499" s="1" t="s">
        <v>1502</v>
      </c>
      <c r="BG499" s="7" t="s">
        <v>1503</v>
      </c>
      <c r="BH499" s="1" t="s">
        <v>1947</v>
      </c>
      <c r="BI499" s="2" t="s">
        <v>7817</v>
      </c>
      <c r="BJ499" s="1" t="s">
        <v>2036</v>
      </c>
      <c r="BK499" s="2" t="s">
        <v>3501</v>
      </c>
      <c r="BL499" s="1" t="s">
        <v>1959</v>
      </c>
      <c r="BM499" s="1" t="s">
        <v>3502</v>
      </c>
      <c r="BN499" s="1" t="s">
        <v>1875</v>
      </c>
      <c r="BO499" s="2" t="s">
        <v>3503</v>
      </c>
    </row>
    <row r="500" spans="1:69" ht="198" x14ac:dyDescent="0.45">
      <c r="A500" s="5">
        <v>499</v>
      </c>
      <c r="B500" s="8" t="s">
        <v>332</v>
      </c>
      <c r="C500" s="6" t="s">
        <v>6851</v>
      </c>
      <c r="D500" s="7" t="s">
        <v>9752</v>
      </c>
      <c r="E500" s="1" t="s">
        <v>1701</v>
      </c>
      <c r="F500" s="1" t="s">
        <v>1379</v>
      </c>
      <c r="G500" s="1"/>
      <c r="J500" s="1" t="s">
        <v>9753</v>
      </c>
      <c r="K500" s="2" t="s">
        <v>7818</v>
      </c>
      <c r="L500" s="3" t="s">
        <v>8661</v>
      </c>
      <c r="P500" s="7" t="s">
        <v>1241</v>
      </c>
      <c r="AU500" s="15"/>
      <c r="AV500" s="1" t="s">
        <v>1502</v>
      </c>
      <c r="BG500" s="7" t="s">
        <v>1503</v>
      </c>
      <c r="BH500" s="1" t="s">
        <v>1947</v>
      </c>
      <c r="BI500" s="2" t="s">
        <v>3504</v>
      </c>
      <c r="BJ500" s="1" t="s">
        <v>1996</v>
      </c>
      <c r="BK500" s="1" t="s">
        <v>7819</v>
      </c>
      <c r="BL500" s="1" t="s">
        <v>1877</v>
      </c>
      <c r="BM500" s="2" t="s">
        <v>3505</v>
      </c>
    </row>
    <row r="501" spans="1:69" ht="234" x14ac:dyDescent="0.45">
      <c r="A501" s="5">
        <v>500</v>
      </c>
      <c r="B501" s="8" t="s">
        <v>333</v>
      </c>
      <c r="C501" s="6" t="s">
        <v>6853</v>
      </c>
      <c r="D501" s="7" t="s">
        <v>9752</v>
      </c>
      <c r="E501" s="1" t="s">
        <v>1702</v>
      </c>
      <c r="F501" s="1" t="s">
        <v>1703</v>
      </c>
      <c r="G501" s="1"/>
      <c r="J501" s="1" t="s">
        <v>9753</v>
      </c>
      <c r="K501" s="2" t="s">
        <v>7820</v>
      </c>
      <c r="L501" s="9" t="s">
        <v>8390</v>
      </c>
      <c r="P501" s="7" t="s">
        <v>1241</v>
      </c>
      <c r="AU501" s="15"/>
      <c r="AV501" s="1" t="s">
        <v>1502</v>
      </c>
      <c r="BG501" s="7" t="s">
        <v>1503</v>
      </c>
      <c r="BH501" s="1" t="s">
        <v>1872</v>
      </c>
      <c r="BI501" s="2" t="s">
        <v>3506</v>
      </c>
      <c r="BJ501" s="1" t="s">
        <v>1875</v>
      </c>
      <c r="BK501" s="2" t="s">
        <v>3507</v>
      </c>
    </row>
    <row r="502" spans="1:69" ht="198" x14ac:dyDescent="0.45">
      <c r="A502" s="5">
        <v>501</v>
      </c>
      <c r="B502" s="8" t="s">
        <v>1708</v>
      </c>
      <c r="C502" s="6" t="s">
        <v>1816</v>
      </c>
      <c r="D502" s="7" t="s">
        <v>9752</v>
      </c>
      <c r="E502" s="1" t="s">
        <v>1730</v>
      </c>
      <c r="F502" s="1" t="s">
        <v>8955</v>
      </c>
      <c r="G502" s="1"/>
      <c r="J502" s="1" t="s">
        <v>9753</v>
      </c>
      <c r="K502" s="2" t="s">
        <v>7821</v>
      </c>
      <c r="L502" s="3" t="s">
        <v>8391</v>
      </c>
      <c r="P502" s="7" t="s">
        <v>1241</v>
      </c>
      <c r="Q502" s="23" t="str">
        <f>INDEX($L:$L, MATCH("appreciate", $B:$B, 0))</f>
        <v>&lt;span class="w"&gt;&lt;b&gt;【340.appreciate：〜を正当に評価する, 〜を鑑賞する, 〜を感謝する】&lt;/b&gt;&lt;/span&gt;
&lt;span class="ml"&gt;ラテン語に由来する語で、以下の2つの要素から成る。
&lt;span class="spacer"&gt;&lt;/span&gt;ad（～へ）
pretium（価格：priceの語源）
&lt;span class="spacer"&gt;&lt;/span&gt;このまま日本語にすると「何かへ価格をつける」となる。価格をつけるということは、価値あるものを「正当に評価する」という意味に繋がる。そして高い価値を認めたものを目にしたり耳にしたりする＝「鑑賞する」となり、価値ある物事を享受できることに対して「感謝する」という意味になる。
&lt;div class="sample_image appreciate"&gt;&lt;/div&gt;&lt;/span&gt;</v>
      </c>
      <c r="R502" s="23" t="str">
        <f>INDEX($L:$L, MATCH("praise", $B:$B, 0))</f>
        <v>&lt;span class="w"&gt;&lt;b&gt;【425.praise：〜を賞賛する】&lt;/b&gt;&lt;/span&gt;
&lt;span class="ml"&gt;ラテン語pretium（価値：priceの語源）から派生した動詞pretiare（値段をつける, 評価する）に由来する。
&lt;span class="spacer"&gt;&lt;/span&gt;この語の核は、何かに価値をつけて評価すること。praiseは、特に高い価値や価格をつけることを表し、「賞賛する」という意味になる。
&lt;div class="sample_image praise"&gt;&lt;/div&gt;&lt;/span&gt;</v>
      </c>
      <c r="S502" s="18" t="str">
        <f>INDEX($L:$L, MATCH("precious", $B:$B, 0))</f>
        <v>&lt;span class="w"&gt;&lt;b&gt;【879.precious：貴重な, 高価な】&lt;/b&gt;&lt;/span&gt;
&lt;span class="ml"&gt;ラテン語に由来する語で、以下の2つの要素から成る。
&lt;span class="spacer"&gt;&lt;/span&gt;pretium（価値, 価格）
osus（形容詞化：〜に満ちている）
&lt;span class="spacer"&gt;&lt;/span&gt;price（価格, 価値）が形容詞となったと考えればよい。価値や価格で満ちているということから 「貴重な, 高価な」という意味になる。&lt;/span&gt;</v>
      </c>
      <c r="AU502" s="15"/>
      <c r="AV502" s="1" t="s">
        <v>1502</v>
      </c>
      <c r="BG502" s="7" t="s">
        <v>1503</v>
      </c>
      <c r="BH502" s="1" t="s">
        <v>1976</v>
      </c>
      <c r="BI502" s="2" t="s">
        <v>3508</v>
      </c>
      <c r="BJ502" s="1" t="s">
        <v>1947</v>
      </c>
      <c r="BK502" s="2" t="s">
        <v>3509</v>
      </c>
      <c r="BL502" s="1" t="s">
        <v>1959</v>
      </c>
      <c r="BM502" s="1" t="s">
        <v>3510</v>
      </c>
      <c r="BN502" s="1" t="s">
        <v>1875</v>
      </c>
      <c r="BO502" s="2" t="s">
        <v>3511</v>
      </c>
    </row>
    <row r="503" spans="1:69" ht="144" x14ac:dyDescent="0.45">
      <c r="A503" s="5">
        <v>502</v>
      </c>
      <c r="B503" s="8" t="s">
        <v>334</v>
      </c>
      <c r="C503" s="6" t="s">
        <v>1816</v>
      </c>
      <c r="D503" s="7" t="s">
        <v>9752</v>
      </c>
      <c r="E503" s="1" t="s">
        <v>1725</v>
      </c>
      <c r="F503" s="1" t="s">
        <v>8849</v>
      </c>
      <c r="G503" s="1"/>
      <c r="J503" s="1" t="s">
        <v>9753</v>
      </c>
      <c r="K503" s="2" t="s">
        <v>7865</v>
      </c>
      <c r="L503" s="3" t="s">
        <v>8392</v>
      </c>
      <c r="M503" s="1" t="s">
        <v>12124</v>
      </c>
      <c r="P503" s="7" t="s">
        <v>1241</v>
      </c>
      <c r="Q503" s="13" t="str">
        <f>INDEX($L:$L, MATCH("relate", $B:$B, 0))</f>
        <v>&lt;span class="w"&gt;&lt;b&gt;【28.relate：～を関連づける, 関連する】&lt;/b&gt;&lt;/span&gt;
&lt;span class="ml"&gt;ラテン語に由来する語で、以下の2つの要素から成る。
&lt;span class="spacer"&gt;&lt;/span&gt;re（再び）
ferre（運ぶ）の過去分詞latus
&lt;span class="spacer"&gt;&lt;/span&gt;このまま日本語にすると「再び運ぶ」となる。これは場所Aから場所Bへ移動し、そこで何かを取り、再び元の場所Aへ運ぶというイメージ。このようなAとBの間で何かを送り合う関係を作る行動から、AとBを結び付ける、AとBが結びついている＝「関連付ける, 関連している」という意味になる。
&lt;div class="sample_image relate"&gt;&lt;/div&gt;
&lt;span class="spacer"&gt;&lt;/span&gt;このラテン語はrefer（言及する, 参照する）の語源でもあるので関連させて覚える。&lt;/span&gt;</v>
      </c>
      <c r="R503" s="13" t="str">
        <f>INDEX($L:$L, MATCH("correlation", $B:$B, 0))</f>
        <v>&lt;span class="w"&gt;&lt;b&gt;【778.correlation：相互関係, 相関】&lt;/b&gt;&lt;/span&gt;
&lt;span class="ml"&gt;フランス語に由来する語で、以下の2つの要素から成る。
&lt;span class="spacer"&gt;&lt;/span&gt;com（共に）
relation（つながり）
&lt;span class="spacer"&gt;&lt;/span&gt;この語の核は「共につながりがある状態」。AとBがあるとき、AからBへのつながりがあり、BからAへのつながりもある状態。そこから「相互関係, 相関」という意味になる。&lt;/span&gt;</v>
      </c>
      <c r="S503" s="13" t="str">
        <f>INDEX($L:$L, MATCH("unrelated", $B:$B, 0))</f>
        <v>&lt;span class="w"&gt;&lt;b&gt;【992.unrelated：無関係の, 血縁関係がない】&lt;/b&gt;&lt;/span&gt;
&lt;span class="ml"&gt;近代英語にさかのぼり、以下の2つの要素から成る。
&lt;span class="spacer"&gt;&lt;/span&gt;un（否定）
related（関係のある）
&lt;span class="spacer"&gt;&lt;/span&gt;このまま日本語にすると「無関係の, 血縁関係がない」という意味になる。&lt;/span&gt;</v>
      </c>
      <c r="T503" s="13" t="str">
        <f>INDEX($L:$L, MATCH("legislation", $B:$B, 0))</f>
        <v>&lt;span class="w"&gt;&lt;b&gt;【1346.legislation：（不可算）立法, 法律】&lt;/b&gt;&lt;/span&gt;
&lt;span class="ml"&gt;ラテン語に由来する語で、以下の2つの要素から成る。
&lt;span class="spacer"&gt;&lt;/span&gt;legis（法律）
latio（運ぶこと）
&lt;span class="spacer"&gt;&lt;/span&gt;このまま日本語にすると「法律を運ぶこと」となる。そこから、法律を提出して成立させるプロセス＝「立法」という意味になる。また、議会で制定された法律のまとまりや法制度という意味で「法律」にもなる。
&lt;span class="spacer"&gt;&lt;/span&gt;このlation部分は、translateやrelateのlateと同じで、運ぶことを表す。
&lt;div class="sample_image legislation"&gt;&lt;/div&gt;&lt;/span&gt;</v>
      </c>
      <c r="AU503" s="15"/>
      <c r="AV503" s="1" t="s">
        <v>1502</v>
      </c>
      <c r="BG503" s="7" t="s">
        <v>1503</v>
      </c>
      <c r="BH503" s="1" t="s">
        <v>1947</v>
      </c>
      <c r="BI503" s="2" t="s">
        <v>3512</v>
      </c>
      <c r="BJ503" s="1" t="s">
        <v>1959</v>
      </c>
      <c r="BK503" s="2" t="s">
        <v>3513</v>
      </c>
      <c r="BL503" s="1" t="s">
        <v>1875</v>
      </c>
      <c r="BM503" s="2" t="s">
        <v>3514</v>
      </c>
    </row>
    <row r="504" spans="1:69" ht="108" x14ac:dyDescent="0.45">
      <c r="A504" s="5">
        <v>503</v>
      </c>
      <c r="B504" s="8" t="s">
        <v>1704</v>
      </c>
      <c r="C504" s="6" t="s">
        <v>1816</v>
      </c>
      <c r="D504" s="7" t="s">
        <v>9752</v>
      </c>
      <c r="E504" s="1" t="s">
        <v>46</v>
      </c>
      <c r="F504" s="1" t="s">
        <v>1705</v>
      </c>
      <c r="G504" s="1"/>
      <c r="J504" s="1" t="s">
        <v>9753</v>
      </c>
      <c r="K504" s="2" t="s">
        <v>7866</v>
      </c>
      <c r="L504" s="9" t="s">
        <v>8393</v>
      </c>
      <c r="P504" s="7" t="s">
        <v>1241</v>
      </c>
      <c r="AU504" s="15"/>
      <c r="AV504" s="1" t="s">
        <v>1502</v>
      </c>
      <c r="BG504" s="7" t="s">
        <v>1503</v>
      </c>
      <c r="BH504" s="1" t="s">
        <v>1947</v>
      </c>
      <c r="BI504" s="2" t="s">
        <v>3515</v>
      </c>
      <c r="BJ504" s="1" t="s">
        <v>1994</v>
      </c>
      <c r="BK504" s="2" t="s">
        <v>3516</v>
      </c>
      <c r="BL504" s="1" t="s">
        <v>1877</v>
      </c>
      <c r="BM504" s="2" t="s">
        <v>3517</v>
      </c>
    </row>
    <row r="505" spans="1:69" ht="180" x14ac:dyDescent="0.45">
      <c r="A505" s="5">
        <v>504</v>
      </c>
      <c r="B505" s="8" t="s">
        <v>335</v>
      </c>
      <c r="C505" s="6" t="s">
        <v>1816</v>
      </c>
      <c r="D505" s="7" t="s">
        <v>9752</v>
      </c>
      <c r="E505" s="1" t="s">
        <v>1251</v>
      </c>
      <c r="F505" s="1" t="s">
        <v>1078</v>
      </c>
      <c r="G505" s="1"/>
      <c r="J505" s="1" t="s">
        <v>9753</v>
      </c>
      <c r="K505" s="2" t="s">
        <v>7822</v>
      </c>
      <c r="L505" s="4" t="s">
        <v>8394</v>
      </c>
      <c r="M505" s="1" t="s">
        <v>12116</v>
      </c>
      <c r="P505" s="7" t="s">
        <v>1241</v>
      </c>
      <c r="Q505" s="14" t="str">
        <f>INDEX($L:$L, MATCH("require", $B:$B, 0))</f>
        <v>&lt;span class="w"&gt;&lt;b&gt;【13.require：～を要求する】&lt;/b&gt;&lt;/span&gt;
&lt;span class="ml"&gt;ラテン語に由来する語で、以下の2つの要素から成る。
&lt;span class="spacer"&gt;&lt;/span&gt;re（繰り返し）
quaerere（尋ねる, 求める, 探す）
&lt;span class="spacer"&gt;&lt;/span&gt;このまま日本語にすると「繰り返し求める」となり、ここから「要求する」という意味になる。
&lt;span class="spacer"&gt;&lt;/span&gt;requireはrequest（リクエスト）と同じ語源に遡るため、一緒に覚えておく。
request：依頼
require：規則や条件に基づく要求&lt;/span&gt;</v>
      </c>
      <c r="R505" s="13" t="str">
        <f>INDEX($L:$L, MATCH("acquire", $B:$B, 0))</f>
        <v>&lt;span class="w"&gt;&lt;b&gt;【315.acquire：～を得る, ～を獲得する】&lt;/b&gt;&lt;/span&gt;
&lt;span class="ml"&gt;ラテン語に由来する語で、以下の2つの要素から成る。
&lt;span class="spacer"&gt;&lt;/span&gt;ad（～へ）
quaerere（追い求める）
&lt;span class="spacer"&gt;&lt;/span&gt;このまま日本語にすると「〜へ追い求める」となる。acが求める物の方向へ突き進むイメージで、ただ追い求めるだけではなく、その結果の「得る, 獲得する」という意味にまで至る。
&lt;div class="sample_image acquire"&gt;&lt;/div&gt;&lt;/span&gt;</v>
      </c>
      <c r="S505" s="13" t="str">
        <f>INDEX($L:$L, MATCH("conquer", $B:$B, 0))</f>
        <v>&lt;span class="w"&gt;&lt;b&gt;【1404.conquer：〜を征服する, 〜を克服する】&lt;/b&gt;&lt;/span&gt;
&lt;span class="ml"&gt;ラテン語に由来する語で、以下の2つの要素から成る。
&lt;span class="spacer"&gt;&lt;/span&gt;com（強意）
quaerere（求める）
&lt;span class="spacer"&gt;&lt;/span&gt;このまま日本語にすると「徹底的に探し求める」となる。そこから、苦労して探し求めて自分のものにする、多大な努力をして獲得するという意味合いに変化し、やがて武力で「征服する」や困難を乗り越えて「克服する」という意味になった。
&lt;div class="sample_image conquer"&gt;&lt;/div&gt;&lt;/span&gt;</v>
      </c>
      <c r="T505" s="13" t="str">
        <f>INDEX($L:$L, MATCH("quest", $B:$B, 0))</f>
        <v>&lt;span class="w"&gt;&lt;b&gt;【1341.quest：探求】&lt;/b&gt;&lt;/span&gt;
&lt;span class="ml"&gt;ラテン語quaerere（探求する, 尋ねる）に由来する。
&lt;span class="spacer"&gt;&lt;/span&gt;このラテン語からはquest. question, requestといった名詞が生まれている。これら3つの核は「求めること」。questは、何かを探し求めて進むことから「探求（探し求める旅）」という意味になった。
&lt;span class="spacer"&gt;&lt;/span&gt;questionは答えを求めることから「疑問」に、requestは繰り返し（re）求めることから「要求」という意味になった。&lt;/span&gt;</v>
      </c>
      <c r="AU505" s="15"/>
      <c r="AV505" s="1" t="s">
        <v>1502</v>
      </c>
      <c r="BG505" s="7" t="s">
        <v>1503</v>
      </c>
      <c r="BH505" s="1" t="s">
        <v>1947</v>
      </c>
      <c r="BI505" s="2" t="s">
        <v>3518</v>
      </c>
      <c r="BJ505" s="1" t="s">
        <v>2026</v>
      </c>
      <c r="BK505" s="1" t="s">
        <v>3519</v>
      </c>
      <c r="BL505" s="1" t="s">
        <v>1959</v>
      </c>
      <c r="BM505" s="1" t="s">
        <v>3520</v>
      </c>
      <c r="BN505" s="1" t="s">
        <v>1875</v>
      </c>
      <c r="BO505" s="2" t="s">
        <v>3521</v>
      </c>
      <c r="BP505" s="1" t="s">
        <v>1877</v>
      </c>
      <c r="BQ505" s="2" t="s">
        <v>3522</v>
      </c>
    </row>
    <row r="506" spans="1:69" ht="234" x14ac:dyDescent="0.45">
      <c r="A506" s="5">
        <v>505</v>
      </c>
      <c r="B506" s="8" t="s">
        <v>1709</v>
      </c>
      <c r="C506" s="6" t="s">
        <v>1816</v>
      </c>
      <c r="D506" s="7" t="s">
        <v>9752</v>
      </c>
      <c r="E506" s="1" t="s">
        <v>8956</v>
      </c>
      <c r="F506" s="1" t="s">
        <v>1519</v>
      </c>
      <c r="G506" s="1"/>
      <c r="J506" s="1" t="s">
        <v>9753</v>
      </c>
      <c r="K506" s="2" t="s">
        <v>7823</v>
      </c>
      <c r="L506" s="4" t="s">
        <v>8395</v>
      </c>
      <c r="P506" s="7" t="s">
        <v>1241</v>
      </c>
      <c r="Q506" s="13" t="str">
        <f>INDEX($L:$L, MATCH("crisis", $B:$B, 0))</f>
        <v>&lt;span class="w"&gt;&lt;b&gt;【366.crisis：危機】&lt;/b&gt;&lt;/span&gt;
&lt;span class="ml"&gt;ギリシャ語に由来する語で、以下の2つの要素から成る。
&lt;span class="spacer"&gt;&lt;/span&gt;krinein（分ける）
sis（名詞化）
&lt;span class="spacer"&gt;&lt;/span&gt;このまま日本語にすると「分けること」となる。もともとは医療において、病気からの回復か死かを分ける点という意味で使われていた。ここから医療に限らず、物事の危機的な状況＝「危機」という意味になる。
&lt;div class="sample_image crisis"&gt;&lt;/div&gt;&lt;/span&gt;</v>
      </c>
      <c r="R506" s="13" t="str">
        <f>INDEX($L:$L, MATCH("criterion", $B:$B, 0))</f>
        <v>&lt;span class="w"&gt;&lt;b&gt;【1343.criterion：判断や評価の基準】&lt;/b&gt;&lt;/span&gt;
&lt;span class="ml"&gt;ギリシャ語に由来する語で、以下の3つの要素から成る。
&lt;span class="spacer"&gt;&lt;/span&gt;krinein（判断する）
tes（〜する人）
ion（名詞化：手段）
&lt;span class="spacer"&gt;&lt;/span&gt;ギリシャ語krineinは、印欧祖語*krei-（ふるいにかける）にさかのぼる。物事をふるいにかけることから、その善悪や良し悪しなどを判断することへと発展した。
&lt;span class="spacer"&gt;&lt;/span&gt;そしてそこにtesが付いて判断する人・裁判官を表すようになり、さらにionが付いて判断する人が用いる手段、つまり「判断や評価の基準」という意味になった。
&lt;div class="sample_image criterion"&gt;&lt;/div&gt;&lt;/span&gt;</v>
      </c>
      <c r="AV506" s="1" t="s">
        <v>1502</v>
      </c>
      <c r="BG506" s="7" t="s">
        <v>1503</v>
      </c>
      <c r="BH506" s="1" t="s">
        <v>1976</v>
      </c>
      <c r="BI506" s="1" t="s">
        <v>3523</v>
      </c>
      <c r="BJ506" s="1" t="s">
        <v>2458</v>
      </c>
      <c r="BK506" s="2" t="s">
        <v>7824</v>
      </c>
      <c r="BL506" s="1" t="s">
        <v>1947</v>
      </c>
      <c r="BM506" s="1" t="s">
        <v>3524</v>
      </c>
      <c r="BN506" s="1" t="s">
        <v>3525</v>
      </c>
      <c r="BO506" s="1" t="s">
        <v>3526</v>
      </c>
      <c r="BP506" s="1" t="s">
        <v>1877</v>
      </c>
      <c r="BQ506" s="2" t="s">
        <v>3527</v>
      </c>
    </row>
    <row r="507" spans="1:69" ht="144" x14ac:dyDescent="0.45">
      <c r="A507" s="5">
        <v>506</v>
      </c>
      <c r="B507" s="8" t="s">
        <v>336</v>
      </c>
      <c r="C507" s="6" t="s">
        <v>1816</v>
      </c>
      <c r="D507" s="7" t="s">
        <v>9752</v>
      </c>
      <c r="E507" s="1" t="s">
        <v>1537</v>
      </c>
      <c r="F507" s="1" t="s">
        <v>1362</v>
      </c>
      <c r="G507" s="1"/>
      <c r="J507" s="1" t="s">
        <v>9753</v>
      </c>
      <c r="K507" s="2" t="s">
        <v>7825</v>
      </c>
      <c r="L507" s="9" t="s">
        <v>8396</v>
      </c>
      <c r="P507" s="7" t="s">
        <v>1241</v>
      </c>
      <c r="Q507" s="13" t="str">
        <f>INDEX($L:$L, MATCH("income", $B:$B, 0))</f>
        <v>&lt;span class="w"&gt;&lt;b&gt;【171.income：収入】&lt;/b&gt;&lt;/span&gt;
&lt;span class="ml"&gt;古英語にさかのぼる語で、以下の2つの要素から成る。
&lt;span class="spacer"&gt;&lt;/span&gt;in（中に）
cuman（来る）
&lt;span class="spacer"&gt;&lt;/span&gt;このまま日本語にすると「中に来る」となる。仕事などを通じて自分の中に入ってくるお金を指し、「収入」という意味になる。&lt;/span&gt;</v>
      </c>
      <c r="R507" s="13" t="str">
        <f>INDEX($L:$L, MATCH("outcome", $B:$B, 0))</f>
        <v>&lt;span class="w"&gt;&lt;b&gt;【452.outcome：結果, 成り行き】&lt;/b&gt;&lt;/span&gt;
&lt;span class="ml"&gt;近代英語にさかのぼり、以下の2つの要素から成る。
&lt;span class="spacer"&gt;&lt;/span&gt;out（外に）
come（来る）
&lt;span class="spacer"&gt;&lt;/span&gt;このまま日本語にすると「外に来る」となる。これは、何かから生じるものを表し、「結果, 成り行き」という意味になる。&lt;/span&gt;</v>
      </c>
      <c r="AU507" s="15"/>
      <c r="AV507" s="1" t="s">
        <v>1502</v>
      </c>
      <c r="BG507" s="7" t="s">
        <v>1503</v>
      </c>
      <c r="BH507" s="1" t="s">
        <v>1872</v>
      </c>
      <c r="BI507" s="2" t="s">
        <v>7826</v>
      </c>
      <c r="BJ507" s="1" t="s">
        <v>1875</v>
      </c>
      <c r="BK507" s="2" t="s">
        <v>3528</v>
      </c>
    </row>
    <row r="508" spans="1:69" ht="216" x14ac:dyDescent="0.45">
      <c r="A508" s="5">
        <v>507</v>
      </c>
      <c r="B508" s="8" t="s">
        <v>1710</v>
      </c>
      <c r="C508" s="6" t="s">
        <v>1816</v>
      </c>
      <c r="D508" s="7" t="s">
        <v>9752</v>
      </c>
      <c r="E508" s="1" t="s">
        <v>1397</v>
      </c>
      <c r="F508" s="1" t="s">
        <v>1332</v>
      </c>
      <c r="G508" s="1"/>
      <c r="J508" s="1" t="s">
        <v>9753</v>
      </c>
      <c r="K508" s="2" t="s">
        <v>7827</v>
      </c>
      <c r="L508" s="3" t="s">
        <v>8397</v>
      </c>
      <c r="M508" s="1" t="s">
        <v>12157</v>
      </c>
      <c r="P508" s="7" t="s">
        <v>1241</v>
      </c>
      <c r="Q508" s="14" t="str">
        <f>INDEX($L:$L, MATCH("maintain", $B:$B, 0))</f>
        <v>&lt;span class="w"&gt;&lt;b&gt;【206.maintain：～を維持する, ～を主張する】&lt;/b&gt;&lt;/span&gt;
&lt;span class="ml"&gt;ラテン語に由来する語で、以下の2つの要素から成る。
&lt;span class="spacer"&gt;&lt;/span&gt;manus（手）
tenere（保つ, 握る）
&lt;span class="spacer"&gt;&lt;/span&gt;このまま日本語にすると「手で保つ」となる。手を使って何かを支えるイメージから、状態が続くように支える＝「維持する」という意味になる。手ではなく発言で誰かを支えるとなれば「主張する」という意味になる。&lt;/span&gt;</v>
      </c>
      <c r="R508" s="14" t="str">
        <f>INDEX($L:$L, MATCH("sustain", $B:$B, 0))</f>
        <v>&lt;span class="w"&gt;&lt;b&gt;【738.sustain：〜を持続させる】&lt;/b&gt;&lt;/span&gt;
&lt;span class="ml"&gt;ラテン語に由来する語で、以下の2つの要素から成る。
&lt;span class="spacer"&gt;&lt;/span&gt;sub（下から）
tenere（保つ, 保持する）
&lt;span class="spacer"&gt;&lt;/span&gt;このまま日本語にすると「下から保つ」となる。下から支えるイメージから、何かを「持続させる」という意味になる。
&lt;div class="sample_image sustain"&gt;&lt;/div&gt;&lt;/span&gt;</v>
      </c>
      <c r="S508" s="14" t="str">
        <f>INDEX($L:$L, MATCH("retain", $B:$B, 0))</f>
        <v>&lt;span class="w"&gt;&lt;b&gt;【916.retain：〜を保持する】&lt;/b&gt;&lt;/span&gt;
&lt;span class="ml"&gt;ラテン語に由来する語で、以下の2つの要素から成る。
&lt;span class="spacer"&gt;&lt;/span&gt;re（後ろに）
tenere（つかむ）
&lt;span class="spacer"&gt;&lt;/span&gt;このまま日本語にすると「つかんで後ろに」となる。何かを後ろ方向につかんで引き止めるイメージから、なくならないように留めておく、つまり何かを「保持する」という意味になる。
&lt;div class="sample_image retain"&gt;&lt;/div&gt;&lt;/span&gt;</v>
      </c>
      <c r="T508" s="14" t="str">
        <f>INDEX($L:$L, MATCH("entertain", $B:$B, 0))</f>
        <v>&lt;span class="w"&gt;&lt;b&gt;【919.entertain：〜を楽しませる, 〜をもてなす】&lt;/b&gt;&lt;/span&gt;
&lt;span class="ml"&gt;古フランス語に由来する語で、以下の2つの要素から成る。
&lt;span class="spacer"&gt;&lt;/span&gt;entre（間に）
tenir（保つ）
&lt;span class="spacer"&gt;&lt;/span&gt;この語の核は「自分と相手の間にある関係や状態を保つ」。良好な関係に保つために、客人を「もてなす」や相手を「楽しませる」という意味になる。&lt;/span&gt;</v>
      </c>
      <c r="U508" s="14" t="str">
        <f>INDEX($L:$L, MATCH("contain", $B:$B, 0))</f>
        <v>&lt;span class="w"&gt;&lt;b&gt;【130.contain：〜を含む, 感情などを抑える】&lt;/b&gt;&lt;/span&gt;
&lt;span class="ml"&gt;ラテン語に由来する語で、以下の2つの要素から成る。
&lt;span class="spacer"&gt;&lt;/span&gt;com（共に）
tenere（保持する）
&lt;span class="spacer"&gt;&lt;/span&gt;このまま日本語にすると「共に保持する」となる。ある状態や物を一緒にまとめて保っておくイメージ。ここから感情を自分の内側にまとめて保つ＝「感情などを抑える」、物を何かの中にまとめて保つ＝「含む」という意味になる。&lt;/span&gt;</v>
      </c>
      <c r="V508" s="13" t="str">
        <f>INDEX($L:$L, MATCH("content", $B:$B, 0))</f>
        <v>&lt;span class="w"&gt;&lt;b&gt;【249.content：内容. 中身, コンテンツ】&lt;/b&gt;&lt;/span&gt;
&lt;span class="ml"&gt;ラテン語に由来する語で、以下の2つの要素から成る。
&lt;span class="spacer"&gt;&lt;/span&gt;com（共に）
tenere（保つ, 握る）
&lt;span class="spacer"&gt;&lt;/span&gt;このまま日本語にすると「共に保つ」となる。内側にまとめて保たれているものから「内容, 中身, コンテンツ」という意味になる。
&lt;span class="spacer"&gt;&lt;/span&gt;contain（含む）の名詞と考えればよい。&lt;/span&gt;</v>
      </c>
      <c r="AU508" s="15"/>
      <c r="AV508" s="1" t="s">
        <v>1502</v>
      </c>
      <c r="BG508" s="7" t="s">
        <v>1503</v>
      </c>
      <c r="BH508" s="1" t="s">
        <v>1947</v>
      </c>
      <c r="BI508" s="2" t="s">
        <v>7828</v>
      </c>
      <c r="BJ508" s="1" t="s">
        <v>1959</v>
      </c>
      <c r="BK508" s="1" t="s">
        <v>3529</v>
      </c>
      <c r="BL508" s="1" t="s">
        <v>1875</v>
      </c>
      <c r="BM508" s="2" t="s">
        <v>3530</v>
      </c>
    </row>
    <row r="509" spans="1:69" ht="252" x14ac:dyDescent="0.45">
      <c r="A509" s="5">
        <v>508</v>
      </c>
      <c r="B509" s="8" t="s">
        <v>337</v>
      </c>
      <c r="C509" s="6" t="s">
        <v>1816</v>
      </c>
      <c r="D509" s="7" t="s">
        <v>9752</v>
      </c>
      <c r="E509" s="1" t="s">
        <v>27</v>
      </c>
      <c r="F509" s="1" t="s">
        <v>1326</v>
      </c>
      <c r="G509" s="1"/>
      <c r="J509" s="1" t="s">
        <v>9753</v>
      </c>
      <c r="K509" s="2" t="s">
        <v>7829</v>
      </c>
      <c r="L509" s="4" t="s">
        <v>8398</v>
      </c>
      <c r="M509" s="1" t="s">
        <v>12207</v>
      </c>
      <c r="P509" s="7" t="s">
        <v>1241</v>
      </c>
      <c r="Q509" s="14" t="str">
        <f>INDEX($L:$L, MATCH("transform", $B:$B, 0))</f>
        <v>&lt;span class="w"&gt;&lt;b&gt;【519.transform：〜を変える】&lt;/b&gt;&lt;/span&gt;
&lt;span class="ml"&gt;ラテン語に由来する語で、以下の2つの要素から成る。
&lt;span class="spacer"&gt;&lt;/span&gt;trans（越えて）
forma（形）から派生したformare（形作る）
&lt;span class="spacer"&gt;&lt;/span&gt;このまま日本語にすると「越えて形作る」となる。これは、今ある状態から別の状態へと形を変えるイメージで、形や質を「変える」という意味になる。&lt;/span&gt;</v>
      </c>
      <c r="R509" s="14" t="str">
        <f>INDEX($L:$L, MATCH("reform", $B:$B, 0))</f>
        <v>&lt;span class="w"&gt;&lt;b&gt;【735.reform：〜を改革する, 〜を改心させる】&lt;/b&gt;&lt;/span&gt;
&lt;span class="ml"&gt;ラテン語に由来する語で、以下の2つの要素から成る。
&lt;span class="spacer"&gt;&lt;/span&gt;re（再び）
formare（形作る）
&lt;span class="spacer"&gt;&lt;/span&gt;このまま日本語にすると「再び形作る」となる。これは、前よりも良い形に変えることを表し、人を「改心させる」や政府や制度を「改革する」という意味になる。&lt;/span&gt;</v>
      </c>
      <c r="S509" s="14" t="str">
        <f>INDEX($L:$L, MATCH("platform", $B:$B, 0))</f>
        <v>&lt;span class="w"&gt;&lt;b&gt;【771.platform：プラットフォーム, 演壇, 舞台】&lt;/b&gt;&lt;/span&gt;
&lt;span class="ml"&gt;古フランス語に由来する語で、以下の2つの要素から成る。
&lt;span class="spacer"&gt;&lt;/span&gt;plat（平らな, 水平な）
forme（形）
&lt;span class="spacer"&gt;&lt;/span&gt;このまま日本語にすると「平らな形」となる。最初は建物の平面図や地形の平らな場所を指したが、そこから物理的な一段高くなった台、つまり「駅のホーム」や「演壇, 舞台」といった意味になった。
&lt;span class="spacer"&gt;&lt;/span&gt;さらにその後、意見や方針を発表するための基盤＝政党の綱領や現代のITプラットフォームなどといった抽象的な意味にも広がった。&lt;/span&gt;</v>
      </c>
      <c r="T509" s="14" t="str">
        <f>INDEX($L:$L, MATCH("formation", $B:$B, 0))</f>
        <v>&lt;span class="w"&gt;&lt;b&gt;【942.formation：形成】&lt;/b&gt;&lt;/span&gt;
&lt;span class="ml"&gt;ラテン語に由来する語で、以下の2つの要素から成る。
&lt;span class="spacer"&gt;&lt;/span&gt;
forma（形, 姿）から派生した動詞formare（形作る）
io（名詞化）
&lt;span class="spacer"&gt;&lt;/span&gt;このまま日本語にすると「形作ること, 形成」という意味になる。&lt;/span&gt;</v>
      </c>
      <c r="U509" s="14" t="str">
        <f>INDEX($L:$L, MATCH("format", $B:$B, 0))</f>
        <v>&lt;span class="w"&gt;&lt;b&gt;【1263.format：書式, 形式】&lt;/b&gt;&lt;/span&gt;
&lt;span class="ml"&gt;ラテン語forma（型, 形）に由来する。
&lt;span class="spacer"&gt;&lt;/span&gt;もともとは、本を作る際の形や大きさなど、決められた型を表した。本や文章は決まった形を持たないので、どんなふうにでも表現できてしまう。それらに対して、形やサイズ、どこにどんな文章を配置するかなど、明確な形を与えるのがフォーマット。
&lt;span class="spacer"&gt;&lt;/span&gt;いまでは本に限らず、データや履歴書、テレビ番組などの様々なものに対して決まった形、つまり「書式, 形式」という意味で使われる。&lt;/span&gt;</v>
      </c>
      <c r="V509" s="14" t="str">
        <f>INDEX($L:$L, MATCH("informal", $B:$B, 0))</f>
        <v>&lt;span class="w"&gt;&lt;b&gt;【982.informal：形式ばらない】&lt;/b&gt;&lt;/span&gt;
&lt;span class="ml"&gt;ラテン語に由来する語で、以下の3つの要素から成る。
&lt;span class="spacer"&gt;&lt;/span&gt;&lt;span class="obsolete"&gt;in（否定）は英語段階で付いた&lt;/span&gt;
forma（形, 型）
alis（形容詞化）
&lt;span class="spacer"&gt;&lt;/span&gt;形や型を表すformから、決まった型があるformalになる。そしてそれを否定したinformalは「型がない, 形式ばらない」という意味になる。&lt;/span&gt;</v>
      </c>
      <c r="W509" s="14" t="str">
        <f>INDEX($L:$L, MATCH("formula", $B:$B, 0))</f>
        <v>&lt;span class="w"&gt;&lt;b&gt;【1366.formula：方法, 公式】&lt;/b&gt;&lt;/span&gt;
&lt;span class="ml"&gt;ラテン語
forma（形, 型）
ula（小さいことを表す）
&lt;span class="spacer"&gt;&lt;/span&gt;このまま日本語にすると「小さな型（フォーム）」となり、もともとは同じものを量産するためのひな型を表した。ひな型に材料を流し込めば必ず同じ形ができるように、同じ手順を踏めば同じ結果になるという考えから、決まった型通りの「方法」や数学の「公式」という意味になった。&lt;/span&gt;</v>
      </c>
      <c r="AU509" s="15"/>
      <c r="AV509" s="1" t="s">
        <v>1502</v>
      </c>
      <c r="BG509" s="7" t="s">
        <v>1503</v>
      </c>
      <c r="BH509" s="1" t="s">
        <v>1947</v>
      </c>
      <c r="BI509" s="2" t="s">
        <v>3531</v>
      </c>
      <c r="BJ509" s="1" t="s">
        <v>1959</v>
      </c>
      <c r="BK509" s="1" t="s">
        <v>3532</v>
      </c>
      <c r="BL509" s="1" t="s">
        <v>1875</v>
      </c>
      <c r="BM509" s="2" t="s">
        <v>3533</v>
      </c>
    </row>
    <row r="510" spans="1:69" ht="396" x14ac:dyDescent="0.45">
      <c r="A510" s="5">
        <v>509</v>
      </c>
      <c r="B510" s="8" t="s">
        <v>1711</v>
      </c>
      <c r="C510" s="6" t="s">
        <v>1816</v>
      </c>
      <c r="D510" s="7" t="s">
        <v>9752</v>
      </c>
      <c r="E510" s="1" t="s">
        <v>1447</v>
      </c>
      <c r="F510" s="1" t="s">
        <v>6430</v>
      </c>
      <c r="G510" s="1"/>
      <c r="J510" s="1" t="s">
        <v>9753</v>
      </c>
      <c r="K510" s="1" t="s">
        <v>7830</v>
      </c>
      <c r="L510" s="4" t="s">
        <v>8399</v>
      </c>
      <c r="M510" s="1" t="s">
        <v>12202</v>
      </c>
      <c r="P510" s="7" t="s">
        <v>1241</v>
      </c>
      <c r="Q510" s="14" t="str">
        <f>INDEX($L:$L, MATCH("secure", $B:$B, 0))</f>
        <v>&lt;span class="w"&gt;&lt;b&gt;【721.secure：〜を確保する, 〜を守る】&lt;/b&gt;&lt;/span&gt;
&lt;span class="ml"&gt;ラテン語に由来する語で、以下の2つの要素から成る。
&lt;span class="spacer"&gt;&lt;/span&gt;se（離れて）
cura（心配）
&lt;span class="spacer"&gt;&lt;/span&gt;このまま日本語にすると「心配から離れた」となる。心配から解放された安全な状態にすることから、なくなる心配がないように何かを「確保する」という意味になった。&lt;/span&gt;</v>
      </c>
      <c r="R510" s="14" t="str">
        <f>INDEX($L:$L, MATCH("assure", $B:$B, 0))</f>
        <v>&lt;span class="w"&gt;&lt;b&gt;【1301.assure：〜保証する, 〜に自信を持って言う】&lt;/b&gt;&lt;/span&gt;
&lt;span class="ml"&gt;ラテン語に由来する語で、以下の3つの要素から成る。
&lt;span class="spacer"&gt;&lt;/span&gt;ad（〜へ）
se（離れて）
cura（注意）
&lt;span class="spacer"&gt;&lt;/span&gt;このまま日本語にすると「対象を注意から離れた状態にする」となる。相手を心配がない状態にすることから、何かを「保証する, 自信を持って言う」という意味になる。
&lt;div class="sample_image assure"&gt;&lt;/div&gt;
&lt;span class="spacer"&gt;&lt;/span&gt;ラテン語se（離れて）＋cura（注意）からは、英語のsure（確信して）やsecure（安全な）も生まれている。
&lt;span class="spacer"&gt;&lt;/span&gt;どちらも核は、注意から離れている状態。注意（や心配）から解放されているということが、一切の不安のない確信（sure）や安全（secure）へとつながった。
&lt;span class="spacer"&gt;&lt;/span&gt;このイメージからassureは、相手へ確信や安心をもたらすように「保証する, 自信をもって言う」と考えればよい。&lt;/span&gt;</v>
      </c>
      <c r="S510" s="14" t="str">
        <f>INDEX($L:$L, MATCH("insurance", $B:$B, 0))</f>
        <v>&lt;span class="w"&gt;&lt;b&gt;【659.insurance：保険】&lt;/b&gt;&lt;/span&gt;
&lt;span class="ml"&gt;この語は2段階で考える。
sura部分は英語のsureと同じ。ラテン語に由来し、以下の2つの要素から成る。
&lt;span class="spacer"&gt;&lt;/span&gt;se（離れて）
cura（心配）
&lt;span class="spacer"&gt;&lt;/span&gt;sura部分は「心配から離れて安全・確実」というイメージ。
&lt;span class="spacer"&gt;&lt;/span&gt;このラテン語から古フランス語になって、以下の3つの要素からinsuranceが出来上がる。
&lt;span class="spacer"&gt;&lt;/span&gt;en（〜にする）
sur（安全な, 確実な）
ance（名詞化）
&lt;span class="spacer"&gt;&lt;/span&gt;このまま日本語にすると「（心配を取り除いて）確実で安全な状態にすること」となる。ここからリスクに対する不安を取り除き、安全な状態にする「保険」という意味になった。
&lt;div class="sample_image insurance"&gt;&lt;/div&gt;&lt;/span&gt;</v>
      </c>
      <c r="T510" s="14" t="str">
        <f>INDEX($L:$L, MATCH("cure", $B:$B, 0))</f>
        <v>&lt;span class="w"&gt;&lt;b&gt;【527.cure：〜を治す, 〜を取り除く, 病気が治る】&lt;/b&gt;&lt;/span&gt;
&lt;span class="ml"&gt;ラテン語curare（世話をする）に由来する。
&lt;span class="spacer"&gt;&lt;/span&gt;これは対象の状態に注意を払い、管理し、整えることを意味する。医療的な文脈では、病人の世話をして健康な状態へ導くことから、「病気を治す, 病を取り除く, 病気が治る」という意味になる。&lt;/span&gt;</v>
      </c>
      <c r="U510" s="14" t="str">
        <f>INDEX($L:$L, MATCH("accurate", $B:$B, 0))</f>
        <v>&lt;span class="w"&gt;&lt;b&gt;【382.accurate：正確な, 精密な】&lt;/b&gt;&lt;/span&gt;
&lt;span class="ml"&gt;ラテン語に由来する語で、以下の2つの要素から成る。
&lt;span class="spacer"&gt;&lt;/span&gt;ad（～へ）
cura（注意）から派生したcurare（注意を払う）
&lt;span class="spacer"&gt;&lt;/span&gt;このまま日本語にすると「対象へ注意を払う」となる。ここから何かを注意深く念入りに行うことから「正確な, 精密な」という意味になる。&lt;/span&gt;</v>
      </c>
      <c r="V510" s="13" t="str">
        <f>INDEX($L:$L, MATCH("curious", $B:$B, 0))</f>
        <v>&lt;span class="w"&gt;&lt;b&gt;【580.curious：好奇心の強い】&lt;/b&gt;&lt;/span&gt;
&lt;span class="ml"&gt;ラテン語に由来する語で、以下の2つの要素から成る。
cura（注意, 関心）
osus（形容詞化：〜に満ちた）
&lt;span class="spacer"&gt;&lt;/span&gt;このまま日本語にすると「注意や関心に満ちた」となる。ここから関心が溢れて、熱心に探りたがる、つまり「好奇心が強い」という意味になる。
&lt;div class="sample_image curious"&gt;&lt;/div&gt;&lt;/span&gt;</v>
      </c>
      <c r="AU510" s="15"/>
      <c r="AV510" s="1" t="s">
        <v>1502</v>
      </c>
      <c r="BG510" s="7" t="s">
        <v>1503</v>
      </c>
      <c r="BH510" s="1" t="s">
        <v>1947</v>
      </c>
      <c r="BI510" s="2" t="s">
        <v>3534</v>
      </c>
      <c r="BJ510" s="1" t="s">
        <v>1959</v>
      </c>
      <c r="BK510" s="1" t="s">
        <v>3535</v>
      </c>
      <c r="BL510" s="1" t="s">
        <v>2114</v>
      </c>
      <c r="BM510" s="2" t="s">
        <v>3536</v>
      </c>
      <c r="BN510" s="1" t="s">
        <v>1875</v>
      </c>
      <c r="BO510" s="1" t="s">
        <v>7831</v>
      </c>
    </row>
    <row r="511" spans="1:69" ht="144" x14ac:dyDescent="0.45">
      <c r="A511" s="5">
        <v>510</v>
      </c>
      <c r="B511" s="8" t="s">
        <v>338</v>
      </c>
      <c r="C511" s="6" t="s">
        <v>1816</v>
      </c>
      <c r="D511" s="7" t="s">
        <v>9752</v>
      </c>
      <c r="E511" s="1" t="s">
        <v>1595</v>
      </c>
      <c r="F511" s="1" t="s">
        <v>1706</v>
      </c>
      <c r="G511" s="1"/>
      <c r="J511" s="1" t="s">
        <v>9753</v>
      </c>
      <c r="K511" s="2" t="s">
        <v>7832</v>
      </c>
      <c r="L511" s="9" t="s">
        <v>8400</v>
      </c>
      <c r="P511" s="7" t="s">
        <v>1241</v>
      </c>
      <c r="Q511" s="13" t="str">
        <f>INDEX($L:$L, MATCH("pronounce", $B:$B, 0))</f>
        <v>&lt;span class="w"&gt;&lt;b&gt;【911.pronounce：〜を発音する, 〜を宣言する】&lt;/b&gt;&lt;/span&gt;
&lt;span class="ml"&gt;ラテン語に由来する語で、以下の2つの要素から成る。
&lt;span class="spacer"&gt;&lt;/span&gt;pro（前へ）
nuntius（使者）から派生したnuntiare（告知する）
&lt;span class="spacer"&gt;&lt;/span&gt;この語は、使者が人前へ出て大きな声で伝えるイメージ。そこから、言葉を声に出すこと＝「発音する」や何かを「宣言する」という意味になった。
&lt;div class="sample_image pronounce"&gt;&lt;/div&gt;&lt;/span&gt;</v>
      </c>
      <c r="AU511" s="15"/>
      <c r="AV511" s="1" t="s">
        <v>1502</v>
      </c>
      <c r="BG511" s="7" t="s">
        <v>1503</v>
      </c>
      <c r="BH511" s="1" t="s">
        <v>1947</v>
      </c>
      <c r="BI511" s="2" t="s">
        <v>3537</v>
      </c>
      <c r="BJ511" s="1" t="s">
        <v>1959</v>
      </c>
      <c r="BK511" s="2" t="s">
        <v>3538</v>
      </c>
      <c r="BL511" s="1" t="s">
        <v>1875</v>
      </c>
      <c r="BM511" s="2" t="s">
        <v>3539</v>
      </c>
    </row>
    <row r="512" spans="1:69" ht="180" x14ac:dyDescent="0.45">
      <c r="A512" s="5">
        <v>511</v>
      </c>
      <c r="B512" s="8" t="s">
        <v>339</v>
      </c>
      <c r="C512" s="6" t="s">
        <v>1816</v>
      </c>
      <c r="D512" s="7" t="s">
        <v>9752</v>
      </c>
      <c r="E512" s="1" t="s">
        <v>339</v>
      </c>
      <c r="F512" s="1"/>
      <c r="G512" s="1"/>
      <c r="J512" s="1" t="s">
        <v>9753</v>
      </c>
      <c r="K512" s="2" t="s">
        <v>7833</v>
      </c>
      <c r="L512" s="3" t="s">
        <v>8401</v>
      </c>
      <c r="P512" s="7" t="s">
        <v>1241</v>
      </c>
      <c r="Q512" s="14" t="str">
        <f>INDEX($L:$L, MATCH("credit", $B:$B, 0))</f>
        <v>&lt;span class="w"&gt;&lt;b&gt;【518.credit：〜を信じる, （功績などを）〜に帰属させる】&lt;/b&gt;&lt;/span&gt;
&lt;span class="ml"&gt;ラテン語credere（信じる）に由来する。
&lt;span class="spacer"&gt;&lt;/span&gt;「対象を信じる」という意味はラテン語と変わらない。しかし英語では、ここから発展して、信頼によって功績と人や物を結びつける、つまり「（功績などを）〜に帰属させる」という意味にもなった。&lt;/span&gt;</v>
      </c>
      <c r="R512" s="13" t="str">
        <f>INDEX($L:$L, MATCH("incredible", $B:$B, 0))</f>
        <v>&lt;span class="w"&gt;&lt;b&gt;【797.incredible：信じられない】&lt;/b&gt;&lt;/span&gt;
&lt;span class="ml"&gt;ラテン語に由来する語で、以下の3つの要素から成る。
&lt;span class="spacer"&gt;&lt;/span&gt;in（否定）
credere（信じる）
bilis（できる）
&lt;span class="spacer"&gt;&lt;/span&gt;このまま日本語にすると「信じられない」という意味になる。&lt;/span&gt;</v>
      </c>
      <c r="AU512" s="15"/>
      <c r="AV512" s="1" t="s">
        <v>1502</v>
      </c>
      <c r="BG512" s="7" t="s">
        <v>1503</v>
      </c>
      <c r="BH512" s="1" t="s">
        <v>1947</v>
      </c>
      <c r="BI512" s="2" t="s">
        <v>3540</v>
      </c>
      <c r="BJ512" s="1" t="s">
        <v>1959</v>
      </c>
      <c r="BK512" s="2" t="s">
        <v>3541</v>
      </c>
      <c r="BL512" s="1" t="s">
        <v>1875</v>
      </c>
      <c r="BM512" s="2" t="s">
        <v>3542</v>
      </c>
      <c r="BN512" s="1" t="s">
        <v>1877</v>
      </c>
      <c r="BO512" s="2" t="s">
        <v>3543</v>
      </c>
    </row>
    <row r="513" spans="1:71" ht="90" x14ac:dyDescent="0.45">
      <c r="A513" s="5">
        <v>512</v>
      </c>
      <c r="B513" s="8" t="s">
        <v>340</v>
      </c>
      <c r="C513" s="6" t="s">
        <v>1816</v>
      </c>
      <c r="D513" s="7" t="s">
        <v>9752</v>
      </c>
      <c r="E513" s="6" t="s">
        <v>340</v>
      </c>
      <c r="F513" s="1"/>
      <c r="G513" s="1"/>
      <c r="J513" s="1" t="s">
        <v>9753</v>
      </c>
      <c r="K513" s="2" t="s">
        <v>7834</v>
      </c>
      <c r="L513" s="9" t="s">
        <v>8402</v>
      </c>
      <c r="P513" s="7" t="s">
        <v>1241</v>
      </c>
      <c r="AU513" s="15"/>
      <c r="AV513" s="1" t="s">
        <v>1502</v>
      </c>
      <c r="BG513" s="7" t="s">
        <v>1503</v>
      </c>
      <c r="BH513" s="1" t="s">
        <v>1872</v>
      </c>
      <c r="BI513" s="2" t="s">
        <v>3544</v>
      </c>
      <c r="BJ513" s="1" t="s">
        <v>1875</v>
      </c>
      <c r="BK513" s="2" t="s">
        <v>3545</v>
      </c>
      <c r="BL513" s="1" t="s">
        <v>1877</v>
      </c>
      <c r="BM513" s="2" t="s">
        <v>3546</v>
      </c>
      <c r="BN513" s="1" t="s">
        <v>3496</v>
      </c>
      <c r="BO513" s="2" t="s">
        <v>3547</v>
      </c>
    </row>
    <row r="514" spans="1:71" ht="409.6" x14ac:dyDescent="0.45">
      <c r="A514" s="5">
        <v>513</v>
      </c>
      <c r="B514" s="8" t="s">
        <v>1712</v>
      </c>
      <c r="C514" s="6" t="s">
        <v>1816</v>
      </c>
      <c r="D514" s="7" t="s">
        <v>9752</v>
      </c>
      <c r="E514" s="1" t="s">
        <v>1343</v>
      </c>
      <c r="F514" s="1" t="s">
        <v>4639</v>
      </c>
      <c r="G514" s="1"/>
      <c r="J514" s="1" t="s">
        <v>9753</v>
      </c>
      <c r="K514" s="2" t="s">
        <v>7739</v>
      </c>
      <c r="L514" s="3" t="s">
        <v>8403</v>
      </c>
      <c r="M514" s="1" t="s">
        <v>12153</v>
      </c>
      <c r="P514" s="7" t="s">
        <v>1241</v>
      </c>
      <c r="Q514" s="14" t="str">
        <f>INDEX($L:$L, MATCH("pose", $B:$B, 0))</f>
        <v>&lt;span class="w"&gt;&lt;b&gt;【804.pose：（危険）を引き起こす, （問題など）を提起する, ポーズをとる, 装う】&lt;/b&gt;&lt;/span&gt;
&lt;span class="ml"&gt;ラテン語に由来する語で、以下の2つの要素から成る。
&lt;span class="spacer"&gt;&lt;/span&gt;pausere（止まる, 休む, 休ませる）
ponere（置く）
&lt;span class="spacer"&gt;&lt;/span&gt;この語の核は「何かを置く」。問題や危険を置くことから「問題を提起する, 危険を引き起こす」という意味になる。またある態度や性格に身を置くことから、態度や性格を「装う」、またモデルなどが「ポーズをとる」という意味になる。
&lt;span class="spacer"&gt;&lt;/span&gt;poseの目的語にくるものを「置く」ことから文に合った訳を考えればよい。
&lt;div class="sample_image pose"&gt;&lt;/div&gt;&lt;/span&gt;</v>
      </c>
      <c r="R514" s="14" t="str">
        <f>INDEX($L:$L, MATCH("expose", $B:$B, 0))</f>
        <v>&lt;span class="w"&gt;&lt;b&gt;【433.expose：～をさらす, 〜を暴露する】&lt;/b&gt;&lt;/span&gt;
&lt;span class="ml"&gt;ラテン語に由来する語で、以下の2つの要素から成る。
&lt;span class="spacer"&gt;&lt;/span&gt;ex（外に）
ponere（置く）
&lt;span class="spacer"&gt;&lt;/span&gt;このまま日本語にすると「外に置く」となる。これは、内側にあるものを外側に置くイメージ。そこから何かを「さらす, 暴露する」という意味になる。
&lt;div class="sample_image expose"&gt;&lt;/div&gt;&lt;/span&gt;</v>
      </c>
      <c r="S514" s="14" t="str">
        <f>INDEX($L:$L, MATCH("impose", $B:$B, 0))</f>
        <v>&lt;span class="w"&gt;&lt;b&gt;【826.impose：〜を課す, 〜を押し付ける】&lt;/b&gt;&lt;/span&gt;
&lt;span class="ml"&gt;古フランス語に由来する語で、以下の2つの要素から成る。
&lt;span class="spacer"&gt;&lt;/span&gt;in（中に）
poser（置く）
&lt;span class="spacer"&gt;&lt;/span&gt;このまま日本語にすると「中に置く」となる。相手の領域の中に押し込んで置くイメージから、対象に何かを「押し付ける, 課す」という意味になる。
&lt;div class="sample_image impose"&gt;&lt;/div&gt;&lt;/span&gt;</v>
      </c>
      <c r="T514" s="14" t="str">
        <f>INDEX($L:$L, MATCH("propose", $B:$B, 0))</f>
        <v>&lt;span class="w"&gt;&lt;b&gt;【436.propose：〜を提案する】&lt;/b&gt;&lt;/span&gt;
&lt;span class="ml"&gt;ラテン語に由来する語で、以下の2つの要素から成る。
&lt;span class="spacer"&gt;&lt;/span&gt;pro（前へ）
ponere（置く）
&lt;span class="spacer"&gt;&lt;/span&gt;このまま日本語にすると「前に置く」となる。意見や考えを相手の前に置くイメージから「提案する」という意味になる。&lt;/span&gt;</v>
      </c>
      <c r="U514" s="14" t="str">
        <f>INDEX($L:$L, MATCH("dispose", $B:$B, 0))</f>
        <v>&lt;span class="w"&gt;&lt;b&gt;【1435.dispose：（of ~）〜を処分する, （dispose ~ to do）〜する気にさせる】&lt;/b&gt;&lt;/span&gt;
&lt;span class="ml"&gt;ラテン語に由来する語で、以下の2つの要素から成る。
&lt;span class="spacer"&gt;&lt;/span&gt;dis（離れて）
ponere（置く）
&lt;span class="spacer"&gt;&lt;/span&gt;このまま日本語にすると「離して置く」となるが、この語の核は「ごちゃごちゃしたものをそれぞれ離して整理し、あるべき位置へ置く」イメージ。
&lt;span class="spacer"&gt;&lt;/span&gt;不要なもの・問題などを整理して、それがあるべき場所へ置くことから「処分する」という意味になる。
&lt;span class="spacer"&gt;&lt;/span&gt;また相手の気持ちを整理して進むべき方向へ置くことから「何かをする気にさせる」となる。
&lt;span class="spacer"&gt;&lt;/span&gt;dispose 人 to do
人 be disposed to do
&lt;div class="sample_image dispose"&gt;&lt;/div&gt;&lt;/span&gt;</v>
      </c>
      <c r="V514" s="14" t="str">
        <f>INDEX($L:$L, MATCH("compose", $B:$B, 0))</f>
        <v>&lt;span class="w"&gt;&lt;b&gt;【833.compose：～を構成する, ～を創作する】&lt;/b&gt;&lt;/span&gt;
&lt;span class="ml"&gt;ラテン語に由来する語で、以下の2つの要素から成る。
&lt;span class="spacer"&gt;&lt;/span&gt;com（共に）
ponere（置く）
&lt;span class="spacer"&gt;&lt;/span&gt;このまま日本語にすると「共に置く」となる。2つ以上のものを一緒に置いて全体を形作ることから、構成要素となって全体を作り上げる＝「構成する, 創作する」という意味になる。
&lt;div class="sample_image compose"&gt;&lt;/div&gt;&lt;/span&gt;</v>
      </c>
      <c r="W514" s="14" t="str">
        <f>INDEX($L:$L, MATCH("suppose", $B:$B, 0))</f>
        <v>&lt;span class="w"&gt;&lt;b&gt;【121.suppose：～と仮定する, と思う】&lt;/b&gt;&lt;/span&gt;
&lt;span class="ml"&gt;ラテン語に由来する語で、以下の2つの要素から成る。
&lt;span class="spacer"&gt;&lt;/span&gt;sub（下に）
ponere（置く）
&lt;span class="spacer"&gt;&lt;/span&gt;このまま日本語にすると「下に置く」となる。思考において、何かを既にあるものとして土台に置くイメージから、何かを前提として置く＝「仮定する」という意味になる。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&lt;div class="sample_image suppose"&gt;&lt;/div&gt;
&lt;span class="spacer"&gt;&lt;/span&gt;supposeを「前提に置く」というイメージで覚えておけば、be supposed to do A（Aすることになっている）は、要は「Aするということが前提として置かれている」だけだと理解できる。&lt;/span&gt;</v>
      </c>
      <c r="X514" s="14" t="str">
        <f>INDEX($L:$L, MATCH("positive", $B:$B, 0))</f>
        <v>&lt;span class="w"&gt;&lt;b&gt;【179.positive：肯定的な, 確信して, （検査で）陽性の】&lt;/b&gt;&lt;/span&gt;
&lt;span class="ml"&gt;ラテン語に由来する語で、以下の2つの要素から成る。
&lt;span class="spacer"&gt;&lt;/span&gt;ponere（置く）の過去分詞positus（置かれる）
ivus（形容詞化）
&lt;span class="spacer"&gt;&lt;/span&gt;もともとは法律用語。法や権威あるものによって置かれる、つまり法や権威によって定められて否定のしようがないという意味で使われた。ここから「肯定的な, 確信して, 陽性の」という意味になる。&lt;/span&gt;</v>
      </c>
      <c r="Y514" s="14" t="str">
        <f>INDEX($L:$L, MATCH("deposit", $B:$B, 0))</f>
        <v>&lt;span class="w"&gt;&lt;b&gt;【1315.deposit：〜を置く, 〜を預ける】&lt;/b&gt;&lt;/span&gt;
&lt;span class="ml"&gt;ラテン語に由来する語で、以下の2つの要素から成る。
&lt;span class="spacer"&gt;&lt;/span&gt;de（離れて, 下に）
ponere（置く）
&lt;span class="spacer"&gt;&lt;/span&gt;このまま日本語にすると「離れて置く, 下に置く」となる。物理的に何かを「置く」という意味もあるが、金銭や貴重品を離れた場所に「預ける」という意味にもなる。
&lt;span class="spacer"&gt;&lt;/span&gt;depositのposit部分は、positionと同じなので、そこから「置く」というイメージ持っておくとよい。
&lt;div class="sample_image deposit"&gt;&lt;/div&gt;&lt;/span&gt;</v>
      </c>
      <c r="Z514" s="14" t="str">
        <f>INDEX($L:$L, MATCH("compound", $B:$B, 0))</f>
        <v>&lt;span class="w"&gt;&lt;b&gt;【1129.compound：〜を悪化させる, 〜を合成する, 〜を混合する】&lt;/b&gt;&lt;/span&gt;
&lt;span class="ml"&gt;ラテン語に由来する語で、以下の2つの要素から成る。
&lt;span class="spacer"&gt;&lt;/span&gt;com（共に）
ponere（置く）
&lt;span class="spacer"&gt;&lt;/span&gt;このまま日本語にすると「共に置く」となる。複数のものを一緒にすることから、何かを「合成する, 混合する, 調合する」といった意味になる。さらに、問題や困難などがどんどん一緒に置かれて積もっていくことから、状況や問題などを「悪化させる」という意味にもなる。
&lt;div class="sample_image compound"&gt;&lt;/div&gt;&lt;/span&gt;</v>
      </c>
      <c r="AA514" s="14" t="str">
        <f>INDEX($L:$L, MATCH("postpone", $B:$B, 0))</f>
        <v>&lt;span class="w"&gt;&lt;b&gt;【1134.postpone：〜を延期する】&lt;/b&gt;&lt;/span&gt;
&lt;span class="ml"&gt;ラテン語に由来する語で、以下の2つの要素から成る。
&lt;span class="spacer"&gt;&lt;/span&gt;post（後に）
ponere（置く）
&lt;span class="spacer"&gt;&lt;/span&gt;このまま日本語にすると「後に置く」となる。予定や物事を時間的に後に置くことから「延期する」という意味になる。&lt;/span&gt;
&lt;div class="animation postpone"&gt;&lt;/div&gt;</v>
      </c>
      <c r="AB514" s="14" t="str">
        <f>INDEX($L:$L, MATCH("component", $B:$B, 0))</f>
        <v>&lt;span class="w"&gt;&lt;b&gt;【677.component：構成要素, 部品】&lt;/b&gt;&lt;/span&gt;
&lt;span class="ml"&gt;ラテン語に由来する語で、以下の2つの要素から成る。
&lt;span class="spacer"&gt;&lt;/span&gt;com（共に）
ponere（置く）
&lt;span class="spacer"&gt;&lt;/span&gt;このまま日本語にすると「共に置く」となる。いくつかの部分を一緒に置くことで全体が構成されることから、全体の「構成要素, 部品」という意味になる。
&lt;div class="sample_image component"&gt;&lt;/div&gt;&lt;/span&gt;</v>
      </c>
      <c r="AC514" s="14" t="str">
        <f>INDEX($L:$L, MATCH("opponent", $B:$B, 0))</f>
        <v>&lt;span class="w"&gt;&lt;b&gt;【762.opponent：（試合や論争などの）相手, 反対者】&lt;/b&gt;&lt;/span&gt;
&lt;span class="ml"&gt;ラテン語に由来する語で、以下の3つの要素から成る。
&lt;span class="spacer"&gt;&lt;/span&gt;ob（前に, 対して）
ponere（置く）
ens（現在分詞を作る：〜しているもの）
&lt;span class="spacer"&gt;&lt;/span&gt;この語の核は「何かに対立する位置に置いてあるもの」。ここから「対戦相手, 反対者」という意味になる。
&lt;div class="sample_image opponent"&gt;&lt;/div&gt;&lt;/span&gt;</v>
      </c>
      <c r="AD514" s="14" t="str">
        <f>INDEX($L:$L, MATCH("posture", $B:$B, 0))</f>
        <v>&lt;span class="w"&gt;&lt;b&gt;【1451.posture：姿勢, 心構え】&lt;/b&gt;&lt;/span&gt;
&lt;span class="ml"&gt;ラテン語に由来する語で、以下の2つの要素から成る。
&lt;span class="spacer"&gt;&lt;/span&gt;ponere（置く）の過去分詞positus
ura（名詞化）
&lt;span class="spacer"&gt;&lt;/span&gt;このまま日本語にすると「置かれた状態」となる。これは何かの位置や配置を表したが、特に身体の各パーツの位置を指すようになり、そこから身体のポジション＝「姿勢」という意味になった。
&lt;span class="spacer"&gt;&lt;/span&gt;さらにそこから比喩的に、状況に対する心理的な姿勢＝「心構え」という意味にもなった。&lt;/span&gt;</v>
      </c>
      <c r="AE514" s="14" t="str">
        <f>INDEX($L:$L, MATCH("puzzle", $B:$B, 0))</f>
        <v>&lt;span class="w"&gt;&lt;b&gt;【624.puzzle：〜を当惑させる, 〜を困惑させる】&lt;/b&gt;&lt;/span&gt;
&lt;span class="ml"&gt;近代英語pose（難しい問題や質問で当惑させる）にさかのぼる。
&lt;span class="spacer"&gt;&lt;/span&gt;この語はパズルのように「頭に引っかかって前に進めない状態にする」というイメージ。ここから「当惑させる, 困惑させる」という意味になる。
&lt;span class="spacer"&gt;&lt;/span&gt;もともとはposeという形だったが、反復・継続を表すpuzzleという形になった。これにより困惑や当惑が反復・継続している状態、つまり頭の中がぐるぐる回るような状態を表した。&lt;/span&gt;</v>
      </c>
      <c r="AF514" s="15"/>
      <c r="AG514" s="15"/>
      <c r="AU514" s="15"/>
      <c r="AV514" s="1" t="s">
        <v>1502</v>
      </c>
      <c r="BG514" s="7" t="s">
        <v>1503</v>
      </c>
      <c r="BH514" s="1" t="s">
        <v>1947</v>
      </c>
      <c r="BI514" s="2" t="s">
        <v>7835</v>
      </c>
      <c r="BJ514" s="1" t="s">
        <v>1959</v>
      </c>
      <c r="BK514" s="2" t="s">
        <v>3548</v>
      </c>
      <c r="BL514" s="1" t="s">
        <v>1875</v>
      </c>
      <c r="BM514" s="2" t="s">
        <v>3549</v>
      </c>
      <c r="BN514" s="1" t="s">
        <v>1877</v>
      </c>
      <c r="BO514" s="2" t="s">
        <v>3550</v>
      </c>
    </row>
    <row r="515" spans="1:71" ht="360" x14ac:dyDescent="0.45">
      <c r="A515" s="5">
        <v>514</v>
      </c>
      <c r="B515" s="8" t="s">
        <v>1713</v>
      </c>
      <c r="C515" s="6" t="s">
        <v>1816</v>
      </c>
      <c r="D515" s="7" t="s">
        <v>9752</v>
      </c>
      <c r="E515" s="1" t="s">
        <v>8957</v>
      </c>
      <c r="F515" s="1" t="s">
        <v>1250</v>
      </c>
      <c r="G515" s="1"/>
      <c r="J515" s="1" t="s">
        <v>9753</v>
      </c>
      <c r="K515" s="2" t="s">
        <v>7836</v>
      </c>
      <c r="L515" s="4" t="s">
        <v>8404</v>
      </c>
      <c r="M515" s="1" t="s">
        <v>12115</v>
      </c>
      <c r="P515" s="7" t="s">
        <v>1241</v>
      </c>
      <c r="Q515" s="14" t="str">
        <f>INDEX($L:$L, MATCH("offer", $B:$B, 0))</f>
        <v>&lt;span class="w"&gt;&lt;b&gt;【12.offer：～を提供する, ～を申し出る】&lt;/b&gt;&lt;/span&gt;
&lt;span class="ml"&gt;ラテン語に由来する語で、以下の2つの要素から成る。
&lt;span class="spacer"&gt;&lt;/span&gt;ob（～に対して）
ferre（運ぶ）
&lt;span class="spacer"&gt;&lt;/span&gt;このまま日本語にすると「～に対して運ぶ」となる。何かを相手に対して運ぶイメージから「提供する, 申し出る」という意味になる。&lt;/span&gt;</v>
      </c>
      <c r="R515" s="14" t="str">
        <f>INDEX($L:$L, MATCH("refer", $B:$B, 0))</f>
        <v>&lt;span class="w"&gt;&lt;b&gt;【102.refer：言及する, 参照する】&lt;/b&gt;&lt;/span&gt;
&lt;span class="ml"&gt;ラテン語に由来する語で、以下の2つの要素から成る。
&lt;span class="spacer"&gt;&lt;/span&gt;re（戻る）
ferre（運ぶ）
&lt;span class="spacer"&gt;&lt;/span&gt;このまま日本語にすると「運んで戻る」となる。離れた場所にある情報を取りに行き、それを運んで戻って来ることから「参照する」という意味になる。
&lt;span class="spacer"&gt;&lt;/span&gt;また別の場所へ行って再び元の場所に戻るというイメージから、会話の中である話題に立ち寄る＝何かに「言及する」という意味になる。
&lt;div class="sample_image refer"&gt;&lt;/div&gt;&lt;/span&gt;</v>
      </c>
      <c r="S515" s="14" t="str">
        <f>INDEX($L:$L, MATCH("prefer", $B:$B, 0))</f>
        <v>&lt;span class="w"&gt;&lt;b&gt;【123.prefer：～を好む】&lt;/b&gt;&lt;/span&gt;
&lt;span class="ml"&gt;ラテン語に由来する語で、以下の2つの要素から成る。
&lt;span class="spacer"&gt;&lt;/span&gt;prae（前に, 先に）
ferre（運ぶ）
&lt;span class="spacer"&gt;&lt;/span&gt;このまま日本語にすると「前に運ぶ」となる。他のものよりも前に出すことから、他よりも高く評価する、他のよりも何かを「好む」という意味になる。
&lt;div class="sample_image prefer"&gt;&lt;/div&gt;
&lt;span class="spacer"&gt;&lt;/span&gt;prefer A to B（AよりBを好む）では、比較の対象をtoで示す。これは「前へ運ぶ」が、何に対して前なのかを示すため。つまり、Bに対して（to B）Aを前に運ぶ（好む）ことを表している。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v>
      </c>
      <c r="T515" s="14" t="str">
        <f>INDEX($L:$L, MATCH("suffer", $B:$B, 0))</f>
        <v>&lt;span class="w"&gt;&lt;b&gt;【138.suffer：苦しむ, 患う】&lt;/b&gt;&lt;/span&gt;
&lt;span class="ml"&gt;ラテン語に由来する語で、以下の2つの要素から成る。
&lt;span class="spacer"&gt;&lt;/span&gt;sub（下に）
ferre（運ぶ）
&lt;span class="spacer"&gt;&lt;/span&gt;このまま日本語にすると「下に運ぶ」となる。もともとは、物理的に重いものがのしかかることを表したが、そこからその苦しみの表現へ発展し、苦痛を受けて「苦しむ」や病気を「患う」という意味になった。
&lt;div class="sample_image suffer"&gt;&lt;/div&gt;&lt;/span&gt;</v>
      </c>
      <c r="U515" s="14" t="str">
        <f>INDEX($L:$L, MATCH("transfer", $B:$B, 0))</f>
        <v>&lt;span class="w"&gt;&lt;b&gt;【611.transfer：〜を移す, 乗り換える】&lt;/b&gt;&lt;/span&gt;
&lt;span class="ml"&gt;ラテン語に由来する語で、以下の2つの要素から成る。
&lt;span class="spacer"&gt;&lt;/span&gt;trans（越えて）
ferre（運ぶ）
&lt;span class="spacer"&gt;&lt;/span&gt;このまま日本語にすると「越えて運ぶ」となる。これは、ある場所から越えた向こう側へ運ぶイメージ。そこから、物や人を一つの状態・場所・手段から別の状態・場所・手段に「移す」という意味になる。
&lt;div class="sample_image transfer"&gt;&lt;/div&gt;&lt;/span&gt;</v>
      </c>
      <c r="V515" s="14" t="str">
        <f>INDEX($L:$L, MATCH("infer", $B:$B, 0))</f>
        <v>&lt;span class="w"&gt;&lt;b&gt;【1201.infer：〜を推論する, 推測する】&lt;/b&gt;&lt;/span&gt;
&lt;span class="ml"&gt;ラテン語に由来する語で、以下の2つの要素から成る。
&lt;span class="spacer"&gt;&lt;/span&gt;in（中に）
ferre（運ぶ）
&lt;span class="spacer"&gt;&lt;/span&gt;このまま日本語にすると「中に運ぶ」となる。既にある事柄を思考の中に持ち込んで結論を出すことから、既知の情報をもとに「推論する, 推測する」という意味になる。
&lt;div class="sample_image infer"&gt;&lt;/div&gt;&lt;/span&gt;</v>
      </c>
      <c r="W515" s="14" t="str">
        <f>INDEX($L:$L, MATCH("conference", $B:$B, 0))</f>
        <v>&lt;span class="w"&gt;&lt;b&gt;【461.conference：会議, 協議】&lt;/b&gt;&lt;/span&gt;
&lt;span class="ml"&gt;ラテン語に由来する語で、以下の2つの要素から成る。
&lt;span class="spacer"&gt;&lt;/span&gt;com（共に）
ferre（運ぶ）
&lt;span class="spacer"&gt;&lt;/span&gt;このまま日本語にすると「共に運ぶ」となる。これは、人々が意見や話題を持ち寄って集まるというイメージ。そこから、意見や問題を持ち寄って話し合う「会議, 協議」という意味になる。
&lt;div class="sample_image conference"&gt;&lt;/div&gt;&lt;/span&gt;</v>
      </c>
      <c r="X515" s="13" t="str">
        <f>INDEX($L:$L, MATCH("indifferent", $B:$B, 0))</f>
        <v>&lt;span class="w"&gt;&lt;b&gt;【1091.indifferent：無関心な, どちらでもいい】&lt;/b&gt;&lt;/span&gt;
&lt;span class="ml"&gt;ラテン語に由来する語で、以下の3つの要素から成る。
&lt;span class="spacer"&gt;&lt;/span&gt;in（否定）
dis（離れて）
ferre（運ぶ）
&lt;span class="spacer"&gt;&lt;/span&gt;different（異なる）に否定のinが付いたと考えればよい。興味を引くような違いがない、違いがあったとしても気にしないというイメージから「無関心な, どちらでもいい」という意味になる。&lt;/span&gt;</v>
      </c>
      <c r="AU515" s="15"/>
      <c r="AV515" s="1" t="s">
        <v>1502</v>
      </c>
      <c r="BG515" s="7" t="s">
        <v>1503</v>
      </c>
      <c r="BH515" s="1" t="s">
        <v>1947</v>
      </c>
      <c r="BI515" s="2" t="s">
        <v>3551</v>
      </c>
      <c r="BJ515" s="1" t="s">
        <v>1959</v>
      </c>
      <c r="BK515" s="2" t="s">
        <v>3552</v>
      </c>
      <c r="BL515" s="1" t="s">
        <v>1875</v>
      </c>
      <c r="BM515" s="2" t="s">
        <v>3553</v>
      </c>
      <c r="BN515" s="1" t="s">
        <v>1877</v>
      </c>
      <c r="BO515" s="2" t="s">
        <v>3554</v>
      </c>
    </row>
    <row r="516" spans="1:71" ht="90" x14ac:dyDescent="0.45">
      <c r="A516" s="5">
        <v>515</v>
      </c>
      <c r="B516" s="8" t="s">
        <v>341</v>
      </c>
      <c r="C516" s="6" t="s">
        <v>1816</v>
      </c>
      <c r="D516" s="7" t="s">
        <v>9752</v>
      </c>
      <c r="E516" s="6" t="s">
        <v>341</v>
      </c>
      <c r="F516" s="1"/>
      <c r="G516" s="1"/>
      <c r="J516" s="1" t="s">
        <v>9753</v>
      </c>
      <c r="K516" s="2" t="s">
        <v>3555</v>
      </c>
      <c r="L516" s="9" t="s">
        <v>8405</v>
      </c>
      <c r="P516" s="7" t="s">
        <v>1241</v>
      </c>
      <c r="AV516" s="1" t="s">
        <v>1502</v>
      </c>
      <c r="BG516" s="7" t="s">
        <v>1503</v>
      </c>
      <c r="BH516" s="1" t="s">
        <v>1872</v>
      </c>
      <c r="BI516" s="1" t="s">
        <v>7837</v>
      </c>
    </row>
    <row r="517" spans="1:71" ht="216" x14ac:dyDescent="0.45">
      <c r="A517" s="5">
        <v>516</v>
      </c>
      <c r="B517" s="8" t="s">
        <v>1714</v>
      </c>
      <c r="C517" s="6" t="s">
        <v>1816</v>
      </c>
      <c r="D517" s="7" t="s">
        <v>9752</v>
      </c>
      <c r="E517" s="1" t="s">
        <v>1825</v>
      </c>
      <c r="F517" s="1" t="s">
        <v>8958</v>
      </c>
      <c r="G517" s="1"/>
      <c r="H517" s="1" t="s">
        <v>1259</v>
      </c>
      <c r="J517" s="1" t="s">
        <v>9753</v>
      </c>
      <c r="K517" s="2" t="s">
        <v>7838</v>
      </c>
      <c r="L517" s="3" t="s">
        <v>8406</v>
      </c>
      <c r="P517" s="7" t="s">
        <v>1241</v>
      </c>
      <c r="Q517" s="14" t="str">
        <f>INDEX($L:$L, MATCH("phenomenon", $B:$B, 0))</f>
        <v>&lt;span class="w"&gt;&lt;b&gt;【344.phenomenon：現象】&lt;/b&gt;&lt;/span&gt;
&lt;span class="ml"&gt;ギリシャ語phainein（明らかにする, 出現させる）の現在分詞phainomenon（現れるもの, 見えるもの）に由来する。
&lt;span class="spacer"&gt;&lt;/span&gt;目の前に現れるもの、つまり「現象」という意味になる。
&lt;span class="spacer"&gt;&lt;/span&gt;phenomenonのphe部分は、語源的に光・輝きを意味し、光や輝きのように何かが現れるというイメージになる。
光を取り込んで現像する写真＝photographのphoto部分も同じく光を意味する。&lt;/span&gt;</v>
      </c>
      <c r="R517" s="14" t="str">
        <f>INDEX($L:$L, MATCH("phase", $B:$B, 0))</f>
        <v>&lt;span class="w"&gt;&lt;b&gt;【843.phase：段階, 局面】&lt;/b&gt;&lt;/span&gt;
&lt;span class="ml"&gt;ギリシャ語phainein（現れる）から派生したphasis（星の出現, 月の位相・満ち欠け）に由来する。
&lt;span class="spacer"&gt;&lt;/span&gt;もともとは、月が時間をかけて異なる姿になっていく月の満ち欠けを表した。そこから、進行によって変化・発展していく物事の「段階, 局面」という意味になった。&lt;/span&gt;</v>
      </c>
      <c r="S517" s="14" t="str">
        <f>INDEX($L:$L, MATCH("fantasy", $B:$B, 0))</f>
        <v>&lt;span class="w"&gt;&lt;b&gt;【1076.fantasy：空想, 幻想】&lt;/b&gt;&lt;/span&gt;
&lt;span class="ml"&gt;ギリシャ語phainesthai（現れる）に由来する。
&lt;span class="spacer"&gt;&lt;/span&gt;もともとは目に見えるように現れることを表した。そこから意味が抽象化し、心の中に現れる像を指すようになり、さらに発展して現実ではない「空想, 幻想」という意味になった。&lt;/span&gt;</v>
      </c>
      <c r="T517" s="14" t="str">
        <f>INDEX($L:$L, MATCH("fancy", $B:$B, 0))</f>
        <v>&lt;span class="w"&gt;&lt;b&gt;【1077.fancy：（気まぐれな）好み, 気分】&lt;/b&gt;&lt;/span&gt;
&lt;span class="ml"&gt;中英語においてfantasyが短縮されてできた語。
&lt;span class="spacer"&gt;&lt;/span&gt;fantasy（空想, 幻想）は、想像する人自身の心に形成されるため、その人が思いついた瞬間の好みや気分、欲望を反映している。
&lt;span class="spacer"&gt;&lt;/span&gt;fantasyが心の中に出来上がった空想や幻想を意味する語として使われるようになった一方で、fancyはその空想や幻想に含まれる「（気まぐれな）好み」や「そのときの気分」という意味で使われるようになった。&lt;/span&gt;</v>
      </c>
      <c r="U517" s="15"/>
      <c r="AU517" s="15"/>
      <c r="AV517" s="1" t="s">
        <v>1502</v>
      </c>
      <c r="BG517" s="7" t="s">
        <v>1503</v>
      </c>
      <c r="BH517" s="1" t="s">
        <v>2458</v>
      </c>
      <c r="BI517" s="2" t="s">
        <v>3556</v>
      </c>
      <c r="BJ517" s="1" t="s">
        <v>1947</v>
      </c>
      <c r="BK517" s="1" t="s">
        <v>3557</v>
      </c>
      <c r="BL517" s="1" t="s">
        <v>1877</v>
      </c>
      <c r="BM517" s="2" t="s">
        <v>3558</v>
      </c>
    </row>
    <row r="518" spans="1:71" ht="324" x14ac:dyDescent="0.45">
      <c r="A518" s="5">
        <v>517</v>
      </c>
      <c r="B518" s="8" t="s">
        <v>1715</v>
      </c>
      <c r="C518" s="6" t="s">
        <v>1816</v>
      </c>
      <c r="D518" s="7" t="s">
        <v>9752</v>
      </c>
      <c r="E518" s="1" t="s">
        <v>1825</v>
      </c>
      <c r="F518" s="1" t="s">
        <v>8959</v>
      </c>
      <c r="G518" s="1"/>
      <c r="J518" s="1" t="s">
        <v>9753</v>
      </c>
      <c r="K518" s="2" t="s">
        <v>7839</v>
      </c>
      <c r="L518" s="3" t="s">
        <v>8407</v>
      </c>
      <c r="M518" s="1" t="s">
        <v>12155</v>
      </c>
      <c r="P518" s="7" t="s">
        <v>1241</v>
      </c>
      <c r="Q518" s="14" t="str">
        <f>INDEX($L:$L, MATCH("apply", $B:$B, 0))</f>
        <v>&lt;span class="w"&gt;&lt;b&gt;【127.apply：～を適用する, 申し込む】&lt;/b&gt;&lt;/span&gt;
&lt;span class="ml"&gt;ラテン語に由来する語で、以下の2つの要素から成る。
&lt;span class="spacer"&gt;&lt;/span&gt;ad（～へ）
plicare（折る）
&lt;span class="spacer"&gt;&lt;/span&gt;このまま日本語にすると「〜へ折り重ねる」となる。apply A to Bは、AをBにぴったり折り重ねるイメージから「AをBに適用する」となる。
&lt;span class="spacer"&gt;&lt;/span&gt;同様に、
S apply for 求めるもの
S apply to 求める相手
これでSを求めるものや求める相手に折り重ねるイメージから「Sは〜に申し込む」という意味になる。
&lt;div class="sample_image apply"&gt;&lt;/div&gt;&lt;/span&gt;</v>
      </c>
      <c r="R518" s="14" t="str">
        <f>INDEX($L:$L, MATCH("imply", $B:$B, 0))</f>
        <v>&lt;span class="w"&gt;&lt;b&gt;【423.imply：〜を暗に意味する】&lt;/b&gt;&lt;/span&gt;
&lt;span class="ml"&gt;ラテン語に由来する語で、以下の2つの要素から成る。
&lt;span class="spacer"&gt;&lt;/span&gt;in（中に）
plicare（折る, 畳む）
&lt;span class="spacer"&gt;&lt;/span&gt;このまま日本語にすると「中に折る」となる。これは、何かを中に入れた状態で折りたたんで包み込むイメージ。そこから、言葉の中に直接は言わない意味を包み込むことを表し、「暗に意味する」という意味になる。
&lt;div class="sample_image imply"&gt;&lt;/div&gt;&lt;/span&gt;</v>
      </c>
      <c r="S518" s="14" t="str">
        <f>INDEX($L:$L, MATCH("exploit", $B:$B, 0))</f>
        <v>&lt;span class="w"&gt;&lt;b&gt;【1237.exploit：〜を活用する, 〜を搾取する, 〜を開発する】&lt;/b&gt;&lt;/span&gt;
&lt;span class="ml"&gt;ラテン語に由来する語で、以下の2つの要素から成る。
&lt;span class="spacer"&gt;&lt;/span&gt;ex（外に）
plicare（折る）
&lt;span class="spacer"&gt;&lt;/span&gt;もともとは、折りたたまれているものを外へ開くことを表した。そこから、まだ手がつけられていない土地や、眠っている天然資源（鉱山など）を広げて展開し、目に見える形にして役立てる＝「開発する, 活用する」という意味になった。
&lt;span class="spacer"&gt;&lt;/span&gt;さらに、利益のために土地を開発して資源を活用するという言葉が、人間に対して使われるようになり、利益のために人々を使う＝「搾取する」というネガティブな意味にもなった。
&lt;div class="sample_image exploit"&gt;&lt;/div&gt;&lt;/span&gt;</v>
      </c>
      <c r="T518" s="14" t="str">
        <f>INDEX($L:$L, MATCH("display", $B:$B, 0))</f>
        <v>&lt;span class="w"&gt;&lt;b&gt;【230.display：～を示す, ～を展示する】&lt;/b&gt;&lt;/span&gt;
&lt;span class="ml"&gt;ラテン語に由来する語で、以下の2つの要素から成る。
&lt;span class="spacer"&gt;&lt;/span&gt;dis（離れて）
plicare（折る）
&lt;span class="spacer"&gt;&lt;/span&gt;このまま日本語にすると「折られたものを離す」となる。折り紙を広げるようなイメージから、何かを展開する＝広げて見せる＝「展示する, 示す」という意味になる。&lt;/span&gt;</v>
      </c>
      <c r="U518" s="14" t="str">
        <f>INDEX($L:$L, MATCH("complicate", $B:$B, 0))</f>
        <v>&lt;span class="w"&gt;&lt;b&gt;【1036.complicate：複雑にする】&lt;/b&gt;&lt;/span&gt;
&lt;span class="ml"&gt;ラテン語に由来する語で、以下の2つの要素から成る。
&lt;span class="spacer"&gt;&lt;/span&gt;com（共に）
plicare（折る）
&lt;span class="spacer"&gt;&lt;/span&gt;このまま日本語にすると「共に折る」となる。様々なものを一緒にして折り込むことで単純ではなく「複雑にする」という意味になる。&lt;/span&gt;</v>
      </c>
      <c r="V518" s="14" t="str">
        <f>INDEX($L:$L, MATCH("complex", $B:$B, 0))</f>
        <v>&lt;span class="w"&gt;&lt;b&gt;【181.complex：複雑な】&lt;/b&gt;&lt;/span&gt;
&lt;span class="ml"&gt;ラテン語に由来する語で、以下の2つの要素から成る。
&lt;span class="spacer"&gt;&lt;/span&gt;com（共に）
plectere（編む）
&lt;span class="spacer"&gt;&lt;/span&gt;このまま日本語にすると「共に編む」となる。複数の要素が編み込まれて入り組んでいるイメージから「複雑な」という意味になる。
&lt;div class="sample_image complex"&gt;&lt;/div&gt;&lt;/span&gt;</v>
      </c>
      <c r="W518" s="14" t="str">
        <f>INDEX($L:$L, MATCH("multiple", $B:$B, 0))</f>
        <v>&lt;span class="w"&gt;&lt;b&gt;【479.multiple：多様な】&lt;/b&gt;&lt;/span&gt;
&lt;span class="ml"&gt;ラテン語に由来する語で、以下の2つの要素から成る。
&lt;span class="spacer"&gt;&lt;/span&gt;multi（多数の）
plus（n倍, n重）
&lt;span class="spacer"&gt;&lt;/span&gt;このまま日本語にすると「多重の」となる。たくさん折り重なっているイメージから「多様な」という意味になる。
&lt;span class="spacer"&gt;&lt;/span&gt;-plus（n倍の, n重の）はラテン語plicare（折る, 重ねる）と関係がある。折り重ねることからn重という意味になる。ラテン語-plusは、以下の英語にも見られる。
&lt;span class="spacer"&gt;&lt;/span&gt;double（2倍, 2重）
dou（2）ble（-plus）
&lt;span class="spacer"&gt;&lt;/span&gt;triple（3倍, 3重）
tri（3）ple（-plus）&lt;/span&gt;</v>
      </c>
      <c r="X518" s="15"/>
      <c r="Y518" s="15"/>
      <c r="AU518" s="15"/>
      <c r="AV518" s="1" t="s">
        <v>1502</v>
      </c>
      <c r="BG518" s="7" t="s">
        <v>1503</v>
      </c>
      <c r="BH518" s="1" t="s">
        <v>1947</v>
      </c>
      <c r="BI518" s="2" t="s">
        <v>3559</v>
      </c>
      <c r="BJ518" s="1" t="s">
        <v>2036</v>
      </c>
      <c r="BK518" s="1" t="s">
        <v>3560</v>
      </c>
      <c r="BL518" s="1" t="s">
        <v>1959</v>
      </c>
      <c r="BM518" s="2" t="s">
        <v>3561</v>
      </c>
      <c r="BN518" s="1" t="s">
        <v>1875</v>
      </c>
      <c r="BO518" s="2" t="s">
        <v>3562</v>
      </c>
      <c r="BP518" s="1" t="s">
        <v>1877</v>
      </c>
      <c r="BQ518" s="2" t="s">
        <v>3563</v>
      </c>
    </row>
    <row r="519" spans="1:71" ht="180" x14ac:dyDescent="0.45">
      <c r="A519" s="5">
        <v>518</v>
      </c>
      <c r="B519" s="8" t="s">
        <v>1716</v>
      </c>
      <c r="C519" s="6" t="s">
        <v>1816</v>
      </c>
      <c r="D519" s="7" t="s">
        <v>9752</v>
      </c>
      <c r="E519" s="1" t="s">
        <v>342</v>
      </c>
      <c r="F519" s="1"/>
      <c r="G519" s="1"/>
      <c r="J519" s="1" t="s">
        <v>9753</v>
      </c>
      <c r="K519" s="2" t="s">
        <v>7840</v>
      </c>
      <c r="L519" s="4" t="s">
        <v>8408</v>
      </c>
      <c r="P519" s="7" t="s">
        <v>1241</v>
      </c>
      <c r="Q519" s="14" t="str">
        <f>INDEX($L:$L, MATCH("grant", $B:$B, 0))</f>
        <v>&lt;span class="w"&gt;&lt;b&gt;【511.grant：（人）に（許可・権利など）を与える, 〜を認める】&lt;/b&gt;&lt;/span&gt;
&lt;span class="ml"&gt;ラテン語credere（信じる）に由来する。
&lt;span class="spacer"&gt;&lt;/span&gt;相手を信用するから「許可や権利を与える, 認める」という意味になる。
&lt;span class="spacer"&gt;&lt;/span&gt;［take A for granted］
これはtake A for B（AをBと受け取る）のBにgrantedが入っている形。grantedは「すでに与えられているもの, 認められているもの」から「当然のもの」を意味する。ここから「Aを当然のこととして受け取る」となる。
&lt;div class="sample_image grant"&gt;&lt;/div&gt;&lt;/span&gt;</v>
      </c>
      <c r="R519" s="13" t="str">
        <f>INDEX($L:$L, MATCH("incredible", $B:$B, 0))</f>
        <v>&lt;span class="w"&gt;&lt;b&gt;【797.incredible：信じられない】&lt;/b&gt;&lt;/span&gt;
&lt;span class="ml"&gt;ラテン語に由来する語で、以下の3つの要素から成る。
&lt;span class="spacer"&gt;&lt;/span&gt;in（否定）
credere（信じる）
bilis（できる）
&lt;span class="spacer"&gt;&lt;/span&gt;このまま日本語にすると「信じられない」という意味になる。&lt;/span&gt;</v>
      </c>
      <c r="AU519" s="15"/>
      <c r="AV519" s="1" t="s">
        <v>1502</v>
      </c>
      <c r="BG519" s="7" t="s">
        <v>1503</v>
      </c>
      <c r="BH519" s="1" t="s">
        <v>1947</v>
      </c>
      <c r="BI519" s="2" t="s">
        <v>3564</v>
      </c>
      <c r="BJ519" s="1" t="s">
        <v>3565</v>
      </c>
      <c r="BK519" s="1" t="s">
        <v>3566</v>
      </c>
      <c r="BL519" s="1" t="s">
        <v>1996</v>
      </c>
      <c r="BM519" s="2" t="s">
        <v>3567</v>
      </c>
      <c r="BN519" s="1" t="s">
        <v>1877</v>
      </c>
      <c r="BO519" s="2" t="s">
        <v>3568</v>
      </c>
    </row>
    <row r="520" spans="1:71" ht="252" x14ac:dyDescent="0.45">
      <c r="A520" s="5">
        <v>519</v>
      </c>
      <c r="B520" s="8" t="s">
        <v>1717</v>
      </c>
      <c r="C520" s="6" t="s">
        <v>1816</v>
      </c>
      <c r="D520" s="7" t="s">
        <v>9752</v>
      </c>
      <c r="E520" s="1" t="s">
        <v>1725</v>
      </c>
      <c r="F520" s="1" t="s">
        <v>1326</v>
      </c>
      <c r="G520" s="1"/>
      <c r="J520" s="1" t="s">
        <v>9753</v>
      </c>
      <c r="K520" s="2" t="s">
        <v>7841</v>
      </c>
      <c r="L520" s="4" t="s">
        <v>8409</v>
      </c>
      <c r="M520" s="1" t="s">
        <v>12207</v>
      </c>
      <c r="P520" s="7" t="s">
        <v>1241</v>
      </c>
      <c r="Q520" s="14" t="str">
        <f>INDEX($L:$L, MATCH("inform", $B:$B, 0))</f>
        <v>&lt;span class="w"&gt;&lt;b&gt;【508.inform：〜に知らせる, 情報を提供する】&lt;/b&gt;&lt;/span&gt;
&lt;span class="ml"&gt;ラテン語に由来する語で、以下の2つの要素から成る。
&lt;span class="spacer"&gt;&lt;/span&gt;in（中に）
formare（形作る）
&lt;span class="spacer"&gt;&lt;/span&gt;このまま日本語にすると「内側に形作る」となる。これは、相手の頭の中に知識を形成するというイメージ。ここから、教育によって教えることへとつながる。そして教育することから情報の伝達が意味の中心となり、相手に「情報を与える, 知らせる」という意味になった。&lt;/span&gt;</v>
      </c>
      <c r="R520" s="14" t="str">
        <f>INDEX($L:$L, MATCH("reform", $B:$B, 0))</f>
        <v>&lt;span class="w"&gt;&lt;b&gt;【735.reform：〜を改革する, 〜を改心させる】&lt;/b&gt;&lt;/span&gt;
&lt;span class="ml"&gt;ラテン語に由来する語で、以下の2つの要素から成る。
&lt;span class="spacer"&gt;&lt;/span&gt;re（再び）
formare（形作る）
&lt;span class="spacer"&gt;&lt;/span&gt;このまま日本語にすると「再び形作る」となる。これは、前よりも良い形に変えることを表し、人を「改心させる」や政府や制度を「改革する」という意味になる。&lt;/span&gt;</v>
      </c>
      <c r="S520" s="14" t="str">
        <f>INDEX($L:$L, MATCH("platform", $B:$B, 0))</f>
        <v>&lt;span class="w"&gt;&lt;b&gt;【771.platform：プラットフォーム, 演壇, 舞台】&lt;/b&gt;&lt;/span&gt;
&lt;span class="ml"&gt;古フランス語に由来する語で、以下の2つの要素から成る。
&lt;span class="spacer"&gt;&lt;/span&gt;plat（平らな, 水平な）
forme（形）
&lt;span class="spacer"&gt;&lt;/span&gt;このまま日本語にすると「平らな形」となる。最初は建物の平面図や地形の平らな場所を指したが、そこから物理的な一段高くなった台、つまり「駅のホーム」や「演壇, 舞台」といった意味になった。
&lt;span class="spacer"&gt;&lt;/span&gt;さらにその後、意見や方針を発表するための基盤＝政党の綱領や現代のITプラットフォームなどといった抽象的な意味にも広がった。&lt;/span&gt;</v>
      </c>
      <c r="T520" s="14" t="str">
        <f>INDEX($L:$L, MATCH("formation", $B:$B, 0))</f>
        <v>&lt;span class="w"&gt;&lt;b&gt;【942.formation：形成】&lt;/b&gt;&lt;/span&gt;
&lt;span class="ml"&gt;ラテン語に由来する語で、以下の2つの要素から成る。
&lt;span class="spacer"&gt;&lt;/span&gt;
forma（形, 姿）から派生した動詞formare（形作る）
io（名詞化）
&lt;span class="spacer"&gt;&lt;/span&gt;このまま日本語にすると「形作ること, 形成」という意味になる。&lt;/span&gt;</v>
      </c>
      <c r="U520" s="14" t="str">
        <f>INDEX($L:$L, MATCH("format", $B:$B, 0))</f>
        <v>&lt;span class="w"&gt;&lt;b&gt;【1263.format：書式, 形式】&lt;/b&gt;&lt;/span&gt;
&lt;span class="ml"&gt;ラテン語forma（型, 形）に由来する。
&lt;span class="spacer"&gt;&lt;/span&gt;もともとは、本を作る際の形や大きさなど、決められた型を表した。本や文章は決まった形を持たないので、どんなふうにでも表現できてしまう。それらに対して、形やサイズ、どこにどんな文章を配置するかなど、明確な形を与えるのがフォーマット。
&lt;span class="spacer"&gt;&lt;/span&gt;いまでは本に限らず、データや履歴書、テレビ番組などの様々なものに対して決まった形、つまり「書式, 形式」という意味で使われる。&lt;/span&gt;</v>
      </c>
      <c r="V520" s="14" t="str">
        <f>INDEX($L:$L, MATCH("informal", $B:$B, 0))</f>
        <v>&lt;span class="w"&gt;&lt;b&gt;【982.informal：形式ばらない】&lt;/b&gt;&lt;/span&gt;
&lt;span class="ml"&gt;ラテン語に由来する語で、以下の3つの要素から成る。
&lt;span class="spacer"&gt;&lt;/span&gt;&lt;span class="obsolete"&gt;in（否定）は英語段階で付いた&lt;/span&gt;
forma（形, 型）
alis（形容詞化）
&lt;span class="spacer"&gt;&lt;/span&gt;形や型を表すformから、決まった型があるformalになる。そしてそれを否定したinformalは「型がない, 形式ばらない」という意味になる。&lt;/span&gt;</v>
      </c>
      <c r="W520" s="14" t="str">
        <f>INDEX($L:$L, MATCH("formula", $B:$B, 0))</f>
        <v>&lt;span class="w"&gt;&lt;b&gt;【1366.formula：方法, 公式】&lt;/b&gt;&lt;/span&gt;
&lt;span class="ml"&gt;ラテン語
forma（形, 型）
ula（小さいことを表す）
&lt;span class="spacer"&gt;&lt;/span&gt;このまま日本語にすると「小さな型（フォーム）」となり、もともとは同じものを量産するためのひな型を表した。ひな型に材料を流し込めば必ず同じ形ができるように、同じ手順を踏めば同じ結果になるという考えから、決まった型通りの「方法」や数学の「公式」という意味になった。&lt;/span&gt;</v>
      </c>
      <c r="AU520" s="15"/>
      <c r="AV520" s="1" t="s">
        <v>1502</v>
      </c>
      <c r="BG520" s="7" t="s">
        <v>1503</v>
      </c>
      <c r="BH520" s="1" t="s">
        <v>1947</v>
      </c>
      <c r="BI520" s="2" t="s">
        <v>3569</v>
      </c>
      <c r="BJ520" s="1" t="s">
        <v>1959</v>
      </c>
      <c r="BK520" s="1" t="s">
        <v>3570</v>
      </c>
      <c r="BL520" s="1" t="s">
        <v>1875</v>
      </c>
      <c r="BM520" s="2" t="s">
        <v>3571</v>
      </c>
      <c r="BN520" s="1" t="s">
        <v>1877</v>
      </c>
      <c r="BO520" s="2" t="s">
        <v>3572</v>
      </c>
    </row>
    <row r="521" spans="1:71" ht="234" x14ac:dyDescent="0.45">
      <c r="A521" s="5">
        <v>520</v>
      </c>
      <c r="B521" s="8" t="s">
        <v>1718</v>
      </c>
      <c r="C521" s="6" t="s">
        <v>1816</v>
      </c>
      <c r="D521" s="7" t="s">
        <v>9752</v>
      </c>
      <c r="E521" s="1" t="s">
        <v>46</v>
      </c>
      <c r="F521" s="1" t="s">
        <v>7745</v>
      </c>
      <c r="G521" s="1"/>
      <c r="J521" s="1" t="s">
        <v>9753</v>
      </c>
      <c r="K521" s="2" t="s">
        <v>7842</v>
      </c>
      <c r="L521" s="3" t="s">
        <v>8410</v>
      </c>
      <c r="M521" s="1" t="s">
        <v>12162</v>
      </c>
      <c r="P521" s="7" t="s">
        <v>1241</v>
      </c>
      <c r="Q521" s="14" t="str">
        <f>INDEX($L:$L, MATCH("structure", $B:$B, 0))</f>
        <v>&lt;span class="w"&gt;&lt;b&gt;【175.structure：構造, 体系, 構造物】&lt;/b&gt;&lt;/span&gt;
&lt;span class="ml"&gt;ラテン語に由来する語で、以下の2つの要素から成る。
&lt;span class="spacer"&gt;&lt;/span&gt;struere（積み上げる）の過去分詞structus
ura（名詞化）
&lt;span class="spacer"&gt;&lt;/span&gt;このまま日本語にすると「積み上げられたもの」となる。ここから「構造物, 構造, 体系」といった意味になる。
&lt;div class="sample_image structure"&gt;&lt;/div&gt;&lt;/span&gt;</v>
      </c>
      <c r="R521" s="14" t="str">
        <f>INDEX($L:$L, MATCH("infrastructure", $B:$B, 0))</f>
        <v>&lt;span class="w"&gt;&lt;b&gt;【1046.infrastructure：インフラ, 基本的施設, 基盤】&lt;/b&gt;&lt;/span&gt;
&lt;span class="ml"&gt;フランス語に由来する語で、以下の2つの要素から成る。
&lt;span class="spacer"&gt;&lt;/span&gt;infra（下の）
structure（構造）
&lt;span class="spacer"&gt;&lt;/span&gt;このまま日本語にすると「下にある構造」となる。そこから物事の支えとなる「基盤」や、社会や経済に必要な「基本的施設」という意味になった。これらを「インフラ」と呼ぶ。&lt;/span&gt;</v>
      </c>
      <c r="S521" s="14" t="str">
        <f>INDEX($L:$L, MATCH("instruction", $B:$B, 0))</f>
        <v>&lt;span class="w"&gt;&lt;b&gt;【442.instruction：指示, 使用書】&lt;/b&gt;&lt;/span&gt;
&lt;span class="ml"&gt;ラテン語に由来する語で、以下の2つの要素から成る。
&lt;span class="spacer"&gt;&lt;/span&gt;in（中に）
struere（積み上げる）
&lt;span class="spacer"&gt;&lt;/span&gt;このまま日本語にすると「中に積み上げる」となる。これは、相手の中に知識や方法を積み上げていくイメージ。そこから、何かをするための知識や手順を与えることを表し、「指示, 使用書」という意味になる。&lt;/span&gt;</v>
      </c>
      <c r="T521" s="14" t="str">
        <f>INDEX($L:$L, MATCH("instrument", $B:$B, 0))</f>
        <v>&lt;span class="w"&gt;&lt;b&gt;【449.instrument：器具, 道具,  楽器】&lt;/b&gt;&lt;/span&gt;
&lt;span class="ml"&gt;ラテン語に由来する語で、以下の3つの要素から成る。
&lt;span class="spacer"&gt;&lt;/span&gt;in（中に）
struere（積み上げる）
mentum（名詞化）
&lt;span class="spacer"&gt;&lt;/span&gt;このまま日本語にすると「中に積み上げるもの」となる。これは、何かを秩序立てて築き上げるための手段というイメージ。そこから、何かを作り上げる・目的を達成するため手段＝「器具, 道具」という意味になり、音楽を作り上げるためのものなら「楽器」という意味になる。
&lt;div class="sample_image instrument"&gt;&lt;/div&gt;&lt;/span&gt;</v>
      </c>
      <c r="U521" s="13" t="str">
        <f>INDEX($L:$L, MATCH("industry", $B:$B, 0))</f>
        <v>&lt;span class="w"&gt;&lt;b&gt;【143.industry：産業, 勤勉】&lt;/b&gt;&lt;/span&gt;
&lt;span class="ml"&gt;ラテン語に由来する語で、以下の2つの要素から成る。
&lt;span class="spacer"&gt;&lt;/span&gt;indu（中に）
struere（積み上げる, 築く）
&lt;span class="spacer"&gt;&lt;/span&gt;このまま日本語にすると「中に積み上げる」となる。コツコツと努力して積み上げていくイメージから「勤勉」という意味になる。そして「勤勉」から勤勉な労働、仕事、仕事の分野と広がっていき、「産業」という意味になる。&lt;/span&gt;</v>
      </c>
      <c r="V521" s="13" t="str">
        <f>INDEX($L:$L, MATCH("destroy", $B:$B, 0))</f>
        <v>&lt;span class="w"&gt;&lt;b&gt;【326.destroy：～を破壊する】&lt;/b&gt;&lt;/span&gt;
&lt;span class="ml"&gt;ラテン語に由来する語で、以下の2つの要素から成る。
&lt;span class="spacer"&gt;&lt;/span&gt;de（下へ, 反対）
struere（積み上げる, 築く）
&lt;span class="spacer"&gt;&lt;/span&gt;これは積み上げるの反対なので、積み上げられたものを「破壊する」という意味になる。&lt;/span&gt;</v>
      </c>
      <c r="AU521" s="15"/>
      <c r="AV521" s="1" t="s">
        <v>1502</v>
      </c>
      <c r="BG521" s="7" t="s">
        <v>1503</v>
      </c>
      <c r="BH521" s="1" t="s">
        <v>1947</v>
      </c>
      <c r="BI521" s="2" t="s">
        <v>3573</v>
      </c>
      <c r="BJ521" s="1" t="s">
        <v>1877</v>
      </c>
      <c r="BK521" s="2" t="s">
        <v>3574</v>
      </c>
    </row>
    <row r="522" spans="1:71" ht="180" x14ac:dyDescent="0.45">
      <c r="A522" s="5">
        <v>521</v>
      </c>
      <c r="B522" s="8" t="s">
        <v>343</v>
      </c>
      <c r="C522" s="6" t="s">
        <v>1816</v>
      </c>
      <c r="D522" s="7" t="s">
        <v>9752</v>
      </c>
      <c r="E522" s="1" t="s">
        <v>1621</v>
      </c>
      <c r="F522" s="1" t="s">
        <v>1707</v>
      </c>
      <c r="G522" s="1"/>
      <c r="J522" s="1" t="s">
        <v>9753</v>
      </c>
      <c r="K522" s="2" t="s">
        <v>7843</v>
      </c>
      <c r="L522" s="9" t="s">
        <v>8411</v>
      </c>
      <c r="P522" s="7" t="s">
        <v>1241</v>
      </c>
      <c r="AU522" s="15"/>
      <c r="AV522" s="1" t="s">
        <v>1502</v>
      </c>
      <c r="BG522" s="7" t="s">
        <v>1503</v>
      </c>
      <c r="BH522" s="1" t="s">
        <v>1872</v>
      </c>
      <c r="BI522" s="2" t="s">
        <v>3575</v>
      </c>
      <c r="BJ522" s="1" t="s">
        <v>1875</v>
      </c>
      <c r="BK522" s="2" t="s">
        <v>3576</v>
      </c>
      <c r="BL522" s="1" t="s">
        <v>1877</v>
      </c>
      <c r="BM522" s="1" t="s">
        <v>3577</v>
      </c>
    </row>
    <row r="523" spans="1:71" ht="108" x14ac:dyDescent="0.45">
      <c r="A523" s="5">
        <v>522</v>
      </c>
      <c r="B523" s="8" t="s">
        <v>344</v>
      </c>
      <c r="C523" s="6" t="s">
        <v>1816</v>
      </c>
      <c r="D523" s="7" t="s">
        <v>9752</v>
      </c>
      <c r="E523" s="6" t="s">
        <v>344</v>
      </c>
      <c r="F523" s="1"/>
      <c r="G523" s="1"/>
      <c r="J523" s="1" t="s">
        <v>9753</v>
      </c>
      <c r="K523" s="2" t="s">
        <v>7844</v>
      </c>
      <c r="L523" s="9" t="s">
        <v>8412</v>
      </c>
      <c r="P523" s="7" t="s">
        <v>1241</v>
      </c>
      <c r="Q523" s="19" t="str">
        <f>INDEX($L:$L, MATCH("debate", $B:$B, 0))</f>
        <v>&lt;span class="w"&gt;&lt;b&gt;【264.debate：討論, 論争, 討論会】&lt;/b&gt;&lt;/span&gt;
&lt;span class="ml"&gt;古フランス語に由来する語で、以下の2つの要素から成る。
&lt;span class="spacer"&gt;&lt;/span&gt;de（完全に）
betre（打つ）
&lt;span class="spacer"&gt;&lt;/span&gt;このまま日本語にすると「完全に打つ」となる。戦うイメージから、議論で戦う＝「討論, 論争」という意味になる。またきちんと準備された「討論会」という意味にもなる。&lt;/span&gt;</v>
      </c>
      <c r="AV523" s="1" t="s">
        <v>1502</v>
      </c>
      <c r="BG523" s="7" t="s">
        <v>1503</v>
      </c>
      <c r="BH523" s="1" t="s">
        <v>1872</v>
      </c>
      <c r="BI523" s="1" t="s">
        <v>3578</v>
      </c>
      <c r="BJ523" s="1" t="s">
        <v>1875</v>
      </c>
      <c r="BK523" s="2" t="s">
        <v>3579</v>
      </c>
      <c r="BL523" s="1" t="s">
        <v>1877</v>
      </c>
      <c r="BM523" s="2" t="s">
        <v>3580</v>
      </c>
    </row>
    <row r="524" spans="1:71" ht="162" x14ac:dyDescent="0.45">
      <c r="A524" s="5">
        <v>523</v>
      </c>
      <c r="B524" s="8" t="s">
        <v>345</v>
      </c>
      <c r="C524" s="6" t="s">
        <v>1816</v>
      </c>
      <c r="D524" s="7" t="s">
        <v>9752</v>
      </c>
      <c r="E524" s="1" t="s">
        <v>1251</v>
      </c>
      <c r="F524" s="1" t="s">
        <v>1719</v>
      </c>
      <c r="G524" s="1"/>
      <c r="J524" s="1" t="s">
        <v>9753</v>
      </c>
      <c r="K524" s="2"/>
      <c r="L524" s="9" t="s">
        <v>9204</v>
      </c>
      <c r="P524" s="7" t="s">
        <v>1241</v>
      </c>
      <c r="AU524" s="15"/>
      <c r="AV524" s="1" t="s">
        <v>1502</v>
      </c>
      <c r="BG524" s="7" t="s">
        <v>1503</v>
      </c>
      <c r="BH524" s="1" t="s">
        <v>1959</v>
      </c>
      <c r="BI524" s="2" t="s">
        <v>3581</v>
      </c>
      <c r="BJ524" s="1" t="s">
        <v>1875</v>
      </c>
      <c r="BK524" s="2" t="s">
        <v>3582</v>
      </c>
      <c r="BL524" s="1" t="s">
        <v>1877</v>
      </c>
      <c r="BM524" s="2" t="s">
        <v>3583</v>
      </c>
    </row>
    <row r="525" spans="1:71" ht="324" x14ac:dyDescent="0.45">
      <c r="A525" s="5">
        <v>524</v>
      </c>
      <c r="B525" s="8" t="s">
        <v>346</v>
      </c>
      <c r="C525" s="6" t="s">
        <v>1816</v>
      </c>
      <c r="D525" s="7" t="s">
        <v>9752</v>
      </c>
      <c r="E525" s="1" t="s">
        <v>49</v>
      </c>
      <c r="F525" s="1" t="s">
        <v>1720</v>
      </c>
      <c r="G525" s="1"/>
      <c r="J525" s="1" t="s">
        <v>9753</v>
      </c>
      <c r="K525" s="2" t="s">
        <v>7845</v>
      </c>
      <c r="L525" s="9" t="s">
        <v>8413</v>
      </c>
      <c r="M525" s="1" t="s">
        <v>12208</v>
      </c>
      <c r="P525" s="7" t="s">
        <v>1241</v>
      </c>
      <c r="Q525" s="14" t="str">
        <f>INDEX($L:$L, MATCH("alternate", $B:$B, 0))</f>
        <v>&lt;span class="w"&gt;&lt;b&gt;【1490.alternate：交互の, 代わりの】&lt;/b&gt;&lt;/span&gt;
&lt;span class="ml"&gt;印欧祖語に由来する語で、以下の2つの要素から成る。
&lt;span class="spacer"&gt;&lt;/span&gt;*al-（〜の向こうに）
tero（比較級を作る）
&lt;span class="spacer"&gt;&lt;/span&gt;印欧祖語*al-tero-は、こちら側と向こう側を比較して（結果的に）向こう側というイメージから、2つのうちの他方を指す。
&lt;span class="spacer"&gt;&lt;/span&gt;AとBがあるときに、Aから見た向こう側B、Bから見た向こう側Aを繰り返す、すなわちA→B→A→B→…となることから「交互の」という意味になった。
I visit my grandmother on alternate weekends.
訪れる週→訪れない週→…（つまり隔週）
&lt;span class="spacer"&gt;&lt;/span&gt;また現在あるものが使えない場合に、他方を使うという発想から、「代わりの」という意味にもなった。
&lt;div class="sample_image alternate"&gt;&lt;/div&gt;&lt;/span&gt;</v>
      </c>
      <c r="R525" s="14" t="str">
        <f>INDEX($L:$L, MATCH("alien", $B:$B, 0))</f>
        <v>&lt;span class="w"&gt;&lt;b&gt;【596.alien：異質の, 外国の, 宇宙人の】&lt;/b&gt;&lt;/span&gt;
&lt;span class="ml"&gt;印欧祖語*al-（向こうに, 越えて）から派生したラテン語alius（他の, 別の）に由来する。
&lt;span class="spacer"&gt;&lt;/span&gt;これは、自分たち側ではない、つまり自分たちとは違うということから「異質の」という意味になる。古代の人々の視点で考えれば、住む場所が違えば、言葉や文化、宗教などが異なり、理解の及ばない異質な存在となる。そのため「向こうに」から「他の, 別の」そして「異質な」へと発展したと考えられる。
&lt;span class="spacer"&gt;&lt;/span&gt;これが国単位になれば「外国の」となり、地球単位で考えれば「宇宙人の」という意味になる。
&lt;span class="spacer"&gt;&lt;/span&gt;ちなみにミステリ小説などで使われる「アリバイ」という言葉は、ラテン語aliusが、場所を意味する形になったalibi（他の場所）に由来する。事件当時に他の場所にいたことを示すことから、alibiという語が使われるようになった。&lt;/span&gt;</v>
      </c>
      <c r="S525" s="13" t="str">
        <f>INDEX($L:$L, MATCH("parallel", $B:$B, 0))</f>
        <v>&lt;span class="w"&gt;&lt;b&gt;【1186.parallel：平行の, 並行の】&lt;/b&gt;&lt;/span&gt;
&lt;span class="ml"&gt;ギリシャ語に由来する語で、以下の2つの要素から成る。
&lt;span class="spacer"&gt;&lt;/span&gt;para（傍らに）
allēlois（お互いに）
&lt;span class="spacer"&gt;&lt;/span&gt;このまま日本語にすると「お互いが傍にある」となる。そこから幾何学において、お互いが傍にあって交わらない＝「平行な」や、お互いが傍に並んで進んで行く＝「並行な」という意味になった。
&lt;div class="sample_image parallel"&gt;&lt;/div&gt;&lt;/span&gt;</v>
      </c>
      <c r="AU525" s="15"/>
      <c r="AV525" s="1" t="s">
        <v>1502</v>
      </c>
      <c r="BG525" s="7" t="s">
        <v>1503</v>
      </c>
      <c r="BH525" s="1" t="s">
        <v>1976</v>
      </c>
      <c r="BI525" s="2" t="s">
        <v>3584</v>
      </c>
      <c r="BJ525" s="1" t="s">
        <v>1947</v>
      </c>
      <c r="BK525" s="2" t="s">
        <v>3585</v>
      </c>
      <c r="BL525" s="1" t="s">
        <v>1967</v>
      </c>
      <c r="BM525" s="1" t="s">
        <v>3586</v>
      </c>
      <c r="BN525" s="1" t="s">
        <v>1959</v>
      </c>
      <c r="BO525" s="1" t="s">
        <v>3587</v>
      </c>
      <c r="BP525" s="1" t="s">
        <v>1875</v>
      </c>
      <c r="BQ525" s="2" t="s">
        <v>3588</v>
      </c>
      <c r="BR525" s="1" t="s">
        <v>1877</v>
      </c>
      <c r="BS525" s="2" t="s">
        <v>3589</v>
      </c>
    </row>
    <row r="526" spans="1:71" ht="162" x14ac:dyDescent="0.45">
      <c r="A526" s="5">
        <v>525</v>
      </c>
      <c r="B526" s="8" t="s">
        <v>347</v>
      </c>
      <c r="C526" s="6" t="s">
        <v>1816</v>
      </c>
      <c r="D526" s="7" t="s">
        <v>9752</v>
      </c>
      <c r="E526" s="1" t="s">
        <v>1721</v>
      </c>
      <c r="F526" s="1" t="s">
        <v>1722</v>
      </c>
      <c r="G526" s="1"/>
      <c r="J526" s="1" t="s">
        <v>9753</v>
      </c>
      <c r="K526" s="2" t="s">
        <v>7846</v>
      </c>
      <c r="L526" s="3" t="s">
        <v>8414</v>
      </c>
      <c r="P526" s="7" t="s">
        <v>1241</v>
      </c>
      <c r="AU526" s="15"/>
      <c r="AV526" s="1" t="s">
        <v>1502</v>
      </c>
      <c r="BG526" s="7" t="s">
        <v>1503</v>
      </c>
      <c r="BH526" s="1" t="s">
        <v>1947</v>
      </c>
      <c r="BI526" s="2" t="s">
        <v>3590</v>
      </c>
      <c r="BJ526" s="1" t="s">
        <v>1959</v>
      </c>
      <c r="BK526" s="2" t="s">
        <v>3591</v>
      </c>
      <c r="BL526" s="1" t="s">
        <v>1875</v>
      </c>
      <c r="BM526" s="2" t="s">
        <v>3592</v>
      </c>
      <c r="BN526" s="1" t="s">
        <v>1877</v>
      </c>
      <c r="BO526" s="2" t="s">
        <v>3593</v>
      </c>
    </row>
    <row r="527" spans="1:71" ht="180" x14ac:dyDescent="0.45">
      <c r="A527" s="5">
        <v>526</v>
      </c>
      <c r="B527" s="8" t="s">
        <v>348</v>
      </c>
      <c r="C527" s="6" t="s">
        <v>1816</v>
      </c>
      <c r="D527" s="7" t="s">
        <v>9752</v>
      </c>
      <c r="E527" s="1" t="s">
        <v>1505</v>
      </c>
      <c r="F527" s="1" t="s">
        <v>1329</v>
      </c>
      <c r="G527" s="1" t="s">
        <v>1723</v>
      </c>
      <c r="J527" s="1" t="s">
        <v>9753</v>
      </c>
      <c r="K527" s="2" t="s">
        <v>7847</v>
      </c>
      <c r="L527" s="2" t="s">
        <v>9205</v>
      </c>
      <c r="P527" s="7" t="s">
        <v>1241</v>
      </c>
      <c r="AU527" s="15"/>
      <c r="AV527" s="1" t="s">
        <v>1502</v>
      </c>
      <c r="BG527" s="7" t="s">
        <v>1503</v>
      </c>
      <c r="BH527" s="1" t="s">
        <v>1947</v>
      </c>
      <c r="BI527" s="2" t="s">
        <v>3594</v>
      </c>
      <c r="BJ527" s="1" t="s">
        <v>1959</v>
      </c>
      <c r="BK527" s="2" t="s">
        <v>7848</v>
      </c>
      <c r="BL527" s="1" t="s">
        <v>1875</v>
      </c>
      <c r="BM527" s="2" t="s">
        <v>3595</v>
      </c>
    </row>
    <row r="528" spans="1:71" ht="396" x14ac:dyDescent="0.45">
      <c r="A528" s="5">
        <v>527</v>
      </c>
      <c r="B528" s="8" t="s">
        <v>1724</v>
      </c>
      <c r="C528" s="6" t="s">
        <v>1816</v>
      </c>
      <c r="D528" s="7" t="s">
        <v>9752</v>
      </c>
      <c r="E528" s="1" t="s">
        <v>1834</v>
      </c>
      <c r="F528" s="1"/>
      <c r="G528" s="1"/>
      <c r="J528" s="1" t="s">
        <v>9753</v>
      </c>
      <c r="K528" s="2"/>
      <c r="L528" s="4" t="s">
        <v>8415</v>
      </c>
      <c r="M528" s="1" t="s">
        <v>12202</v>
      </c>
      <c r="P528" s="7" t="s">
        <v>1241</v>
      </c>
      <c r="Q528" s="14" t="str">
        <f>INDEX($L:$L, MATCH("secure", $B:$B, 0))</f>
        <v>&lt;span class="w"&gt;&lt;b&gt;【721.secure：〜を確保する, 〜を守る】&lt;/b&gt;&lt;/span&gt;
&lt;span class="ml"&gt;ラテン語に由来する語で、以下の2つの要素から成る。
&lt;span class="spacer"&gt;&lt;/span&gt;se（離れて）
cura（心配）
&lt;span class="spacer"&gt;&lt;/span&gt;このまま日本語にすると「心配から離れた」となる。心配から解放された安全な状態にすることから、なくなる心配がないように何かを「確保する」という意味になった。&lt;/span&gt;</v>
      </c>
      <c r="R528" s="14" t="str">
        <f>INDEX($L:$L, MATCH("assure", $B:$B, 0))</f>
        <v>&lt;span class="w"&gt;&lt;b&gt;【1301.assure：〜保証する, 〜に自信を持って言う】&lt;/b&gt;&lt;/span&gt;
&lt;span class="ml"&gt;ラテン語に由来する語で、以下の3つの要素から成る。
&lt;span class="spacer"&gt;&lt;/span&gt;ad（〜へ）
se（離れて）
cura（注意）
&lt;span class="spacer"&gt;&lt;/span&gt;このまま日本語にすると「対象を注意から離れた状態にする」となる。相手を心配がない状態にすることから、何かを「保証する, 自信を持って言う」という意味になる。
&lt;div class="sample_image assure"&gt;&lt;/div&gt;
&lt;span class="spacer"&gt;&lt;/span&gt;ラテン語se（離れて）＋cura（注意）からは、英語のsure（確信して）やsecure（安全な）も生まれている。
&lt;span class="spacer"&gt;&lt;/span&gt;どちらも核は、注意から離れている状態。注意（や心配）から解放されているということが、一切の不安のない確信（sure）や安全（secure）へとつながった。
&lt;span class="spacer"&gt;&lt;/span&gt;このイメージからassureは、相手へ確信や安心をもたらすように「保証する, 自信をもって言う」と考えればよい。&lt;/span&gt;</v>
      </c>
      <c r="S528" s="14" t="str">
        <f>INDEX($L:$L, MATCH("ensure", $B:$B, 0))</f>
        <v>&lt;span class="w"&gt;&lt;b&gt;【509.ensure：～を確実にする】&lt;/b&gt;&lt;/span&gt;
&lt;span class="ml"&gt;古フランス語に由来する語で、以下の2つの要素から成る。
&lt;span class="spacer"&gt;&lt;/span&gt;en（動詞化）
seur（確実な, 確かな：sureの語源）
&lt;span class="spacer"&gt;&lt;/span&gt;このまま日本語にすると「確実な状態にする」となる。つまり「何かが確実にそうなるようにする」というイメージで、ここから「〜を確実にする」という意味になる。&lt;/span&gt;</v>
      </c>
      <c r="T528" s="14" t="str">
        <f>INDEX($L:$L, MATCH("insurance", $B:$B, 0))</f>
        <v>&lt;span class="w"&gt;&lt;b&gt;【659.insurance：保険】&lt;/b&gt;&lt;/span&gt;
&lt;span class="ml"&gt;この語は2段階で考える。
sura部分は英語のsureと同じ。ラテン語に由来し、以下の2つの要素から成る。
&lt;span class="spacer"&gt;&lt;/span&gt;se（離れて）
cura（心配）
&lt;span class="spacer"&gt;&lt;/span&gt;sura部分は「心配から離れて安全・確実」というイメージ。
&lt;span class="spacer"&gt;&lt;/span&gt;このラテン語から古フランス語になって、以下の3つの要素からinsuranceが出来上がる。
&lt;span class="spacer"&gt;&lt;/span&gt;en（〜にする）
sur（安全な, 確実な）
ance（名詞化）
&lt;span class="spacer"&gt;&lt;/span&gt;このまま日本語にすると「（心配を取り除いて）確実で安全な状態にすること」となる。ここからリスクに対する不安を取り除き、安全な状態にする「保険」という意味になった。
&lt;div class="sample_image insurance"&gt;&lt;/div&gt;&lt;/span&gt;</v>
      </c>
      <c r="U528" s="14" t="str">
        <f>INDEX($L:$L, MATCH("accurate", $B:$B, 0))</f>
        <v>&lt;span class="w"&gt;&lt;b&gt;【382.accurate：正確な, 精密な】&lt;/b&gt;&lt;/span&gt;
&lt;span class="ml"&gt;ラテン語に由来する語で、以下の2つの要素から成る。
&lt;span class="spacer"&gt;&lt;/span&gt;ad（～へ）
cura（注意）から派生したcurare（注意を払う）
&lt;span class="spacer"&gt;&lt;/span&gt;このまま日本語にすると「対象へ注意を払う」となる。ここから何かを注意深く念入りに行うことから「正確な, 精密な」という意味になる。&lt;/span&gt;</v>
      </c>
      <c r="V528" s="13" t="str">
        <f>INDEX($L:$L, MATCH("curious", $B:$B, 0))</f>
        <v>&lt;span class="w"&gt;&lt;b&gt;【580.curious：好奇心の強い】&lt;/b&gt;&lt;/span&gt;
&lt;span class="ml"&gt;ラテン語に由来する語で、以下の2つの要素から成る。
cura（注意, 関心）
osus（形容詞化：〜に満ちた）
&lt;span class="spacer"&gt;&lt;/span&gt;このまま日本語にすると「注意や関心に満ちた」となる。ここから関心が溢れて、熱心に探りたがる、つまり「好奇心が強い」という意味になる。
&lt;div class="sample_image curious"&gt;&lt;/div&gt;&lt;/span&gt;</v>
      </c>
      <c r="AU528" s="15"/>
      <c r="AV528" s="1" t="s">
        <v>1502</v>
      </c>
      <c r="BG528" s="7" t="s">
        <v>1503</v>
      </c>
      <c r="BH528" s="1" t="s">
        <v>1947</v>
      </c>
      <c r="BI528" s="2" t="s">
        <v>3596</v>
      </c>
      <c r="BJ528" s="1" t="s">
        <v>1959</v>
      </c>
      <c r="BK528" s="1" t="s">
        <v>3597</v>
      </c>
      <c r="BL528" s="1" t="s">
        <v>1875</v>
      </c>
      <c r="BM528" s="2" t="s">
        <v>3598</v>
      </c>
    </row>
    <row r="529" spans="1:71" ht="198" x14ac:dyDescent="0.45">
      <c r="A529" s="5">
        <v>528</v>
      </c>
      <c r="B529" s="8" t="s">
        <v>349</v>
      </c>
      <c r="C529" s="6" t="s">
        <v>1816</v>
      </c>
      <c r="D529" s="7" t="s">
        <v>9752</v>
      </c>
      <c r="E529" s="1" t="s">
        <v>1725</v>
      </c>
      <c r="F529" s="1" t="s">
        <v>1726</v>
      </c>
      <c r="G529" s="1"/>
      <c r="J529" s="1" t="s">
        <v>9753</v>
      </c>
      <c r="K529" s="2" t="s">
        <v>7849</v>
      </c>
      <c r="L529" s="9" t="s">
        <v>8416</v>
      </c>
      <c r="M529" s="1" t="s">
        <v>12161</v>
      </c>
      <c r="P529" s="7" t="s">
        <v>1241</v>
      </c>
      <c r="Q529" s="14" t="str">
        <f>INDEX($L:$L, MATCH("import", $B:$B, 0))</f>
        <v>&lt;span class="w"&gt;&lt;b&gt;【633.import：〜を輸入する, 〜を取り込む】&lt;/b&gt;&lt;/span&gt;
&lt;span class="ml"&gt;ラテン語に由来する語で、以下の2つの要素から成る。
&lt;span class="spacer"&gt;&lt;/span&gt;in（中に）
portare（運ぶ）
&lt;span class="spacer"&gt;&lt;/span&gt;このまま日本語にすると「中に運ぶ」となる。他国や他地域から運び込むイメージから「輸入する」や、外から「取り込む」という意味になる。&lt;/span&gt;</v>
      </c>
      <c r="R529" s="14" t="str">
        <f>INDEX($L:$L, MATCH("export", $B:$B, 0))</f>
        <v>&lt;span class="w"&gt;&lt;b&gt;【634.export：〜を輸出する】&lt;/b&gt;&lt;/span&gt;
&lt;span class="ml"&gt;ラテン語に由来する語で、以下の2つの要素から成る。
&lt;span class="spacer"&gt;&lt;/span&gt;ex（外に）
portare（運ぶ）
&lt;span class="spacer"&gt;&lt;/span&gt;このまま日本語にすると「外に運ぶ」となる。他国や他地域へ運び出すイメージから「輸出する」という意味になる。&lt;/span&gt;</v>
      </c>
      <c r="S529" s="14" t="str">
        <f>INDEX($L:$L, MATCH("opportunity", $B:$B, 0))</f>
        <v>&lt;span class="w"&gt;&lt;b&gt;【141.opportunity：機会, チャンス】&lt;/b&gt;&lt;/span&gt;
&lt;span class="ml"&gt;ラテン語に由来する語で、以下の2つの要素から成る。
&lt;span class="spacer"&gt;&lt;/span&gt;ob（〜に向かって）
portus（港）
&lt;span class="spacer"&gt;&lt;/span&gt;ラテン語ではob+portus+venire（来る）からなるフレーズが存在し、「港に向かって風が来ている」を表現した。風が吹いて港に入るのに適したチャンスということから「機会, チャンス」という意味になる。
&lt;div class="sample_image opportunity"&gt;&lt;/div&gt;&lt;/span&gt;</v>
      </c>
      <c r="T529" s="15"/>
      <c r="AU529" s="15"/>
      <c r="AV529" s="1" t="s">
        <v>1502</v>
      </c>
      <c r="BG529" s="7" t="s">
        <v>1503</v>
      </c>
      <c r="BH529" s="1" t="s">
        <v>1947</v>
      </c>
      <c r="BI529" s="2" t="s">
        <v>3599</v>
      </c>
      <c r="BJ529" s="1" t="s">
        <v>1959</v>
      </c>
      <c r="BK529" s="1" t="s">
        <v>3600</v>
      </c>
      <c r="BL529" s="1" t="s">
        <v>1875</v>
      </c>
      <c r="BM529" s="2" t="s">
        <v>3601</v>
      </c>
      <c r="BN529" s="1" t="s">
        <v>1877</v>
      </c>
      <c r="BO529" s="2" t="s">
        <v>3602</v>
      </c>
    </row>
    <row r="530" spans="1:71" ht="180" x14ac:dyDescent="0.45">
      <c r="A530" s="5">
        <v>529</v>
      </c>
      <c r="B530" s="8" t="s">
        <v>350</v>
      </c>
      <c r="C530" s="6" t="s">
        <v>1816</v>
      </c>
      <c r="D530" s="7" t="s">
        <v>9752</v>
      </c>
      <c r="E530" s="6" t="s">
        <v>350</v>
      </c>
      <c r="F530" s="1"/>
      <c r="G530" s="1"/>
      <c r="J530" s="1" t="s">
        <v>9753</v>
      </c>
      <c r="K530" s="2" t="s">
        <v>7850</v>
      </c>
      <c r="L530" s="2" t="s">
        <v>8417</v>
      </c>
      <c r="P530" s="7" t="s">
        <v>1241</v>
      </c>
      <c r="AU530" s="15"/>
      <c r="AV530" s="1" t="s">
        <v>1502</v>
      </c>
      <c r="BG530" s="7" t="s">
        <v>1503</v>
      </c>
      <c r="BH530" s="1" t="s">
        <v>1947</v>
      </c>
      <c r="BI530" s="2" t="s">
        <v>3603</v>
      </c>
      <c r="BJ530" s="1" t="s">
        <v>1959</v>
      </c>
      <c r="BK530" s="1" t="s">
        <v>3604</v>
      </c>
      <c r="BL530" s="1" t="s">
        <v>2114</v>
      </c>
      <c r="BM530" s="2" t="s">
        <v>3605</v>
      </c>
      <c r="BN530" s="1" t="s">
        <v>1875</v>
      </c>
      <c r="BO530" s="2" t="s">
        <v>3606</v>
      </c>
      <c r="BP530" s="1" t="s">
        <v>1877</v>
      </c>
      <c r="BQ530" s="2" t="s">
        <v>3607</v>
      </c>
    </row>
    <row r="531" spans="1:71" ht="72" x14ac:dyDescent="0.45">
      <c r="A531" s="5">
        <v>530</v>
      </c>
      <c r="B531" s="8" t="s">
        <v>351</v>
      </c>
      <c r="C531" s="6" t="s">
        <v>1816</v>
      </c>
      <c r="D531" s="7" t="s">
        <v>9752</v>
      </c>
      <c r="E531" s="1" t="s">
        <v>351</v>
      </c>
      <c r="F531" s="1"/>
      <c r="G531" s="1"/>
      <c r="J531" s="1" t="s">
        <v>9753</v>
      </c>
      <c r="K531" s="2" t="s">
        <v>7851</v>
      </c>
      <c r="L531" s="9" t="s">
        <v>8418</v>
      </c>
      <c r="P531" s="7" t="s">
        <v>1241</v>
      </c>
      <c r="AU531" s="15"/>
      <c r="AV531" s="1" t="s">
        <v>1502</v>
      </c>
      <c r="BG531" s="7" t="s">
        <v>1503</v>
      </c>
      <c r="BH531" s="1" t="s">
        <v>1872</v>
      </c>
      <c r="BI531" s="2" t="s">
        <v>3608</v>
      </c>
      <c r="BJ531" s="1" t="s">
        <v>1877</v>
      </c>
      <c r="BK531" s="2" t="s">
        <v>3609</v>
      </c>
    </row>
    <row r="532" spans="1:71" ht="108" x14ac:dyDescent="0.45">
      <c r="A532" s="5">
        <v>531</v>
      </c>
      <c r="B532" s="8" t="s">
        <v>352</v>
      </c>
      <c r="C532" s="6" t="s">
        <v>1816</v>
      </c>
      <c r="D532" s="7" t="s">
        <v>9752</v>
      </c>
      <c r="E532" s="6" t="s">
        <v>352</v>
      </c>
      <c r="F532" s="1"/>
      <c r="G532" s="1"/>
      <c r="J532" s="1" t="s">
        <v>9753</v>
      </c>
      <c r="K532" s="2" t="s">
        <v>7852</v>
      </c>
      <c r="L532" s="9" t="s">
        <v>8419</v>
      </c>
      <c r="P532" s="7" t="s">
        <v>1241</v>
      </c>
      <c r="AV532" s="1" t="s">
        <v>1502</v>
      </c>
      <c r="BG532" s="7" t="s">
        <v>1503</v>
      </c>
      <c r="BH532" s="1" t="s">
        <v>2036</v>
      </c>
      <c r="BI532" s="1" t="s">
        <v>7853</v>
      </c>
      <c r="BJ532" s="1" t="s">
        <v>2026</v>
      </c>
      <c r="BK532" s="1" t="s">
        <v>3610</v>
      </c>
      <c r="BL532" s="1" t="s">
        <v>1959</v>
      </c>
      <c r="BM532" s="1" t="s">
        <v>3611</v>
      </c>
      <c r="BN532" s="1" t="s">
        <v>1875</v>
      </c>
      <c r="BO532" s="2" t="s">
        <v>3612</v>
      </c>
    </row>
    <row r="533" spans="1:71" ht="126" x14ac:dyDescent="0.45">
      <c r="A533" s="5">
        <v>532</v>
      </c>
      <c r="B533" s="8" t="s">
        <v>353</v>
      </c>
      <c r="C533" s="6" t="s">
        <v>1816</v>
      </c>
      <c r="D533" s="7" t="s">
        <v>9752</v>
      </c>
      <c r="E533" s="1" t="s">
        <v>353</v>
      </c>
      <c r="F533" s="1"/>
      <c r="G533" s="1"/>
      <c r="J533" s="1" t="s">
        <v>9753</v>
      </c>
      <c r="K533" s="2" t="s">
        <v>1727</v>
      </c>
      <c r="L533" s="9" t="s">
        <v>10370</v>
      </c>
      <c r="P533" s="7" t="s">
        <v>1241</v>
      </c>
      <c r="AV533" s="1" t="s">
        <v>1502</v>
      </c>
      <c r="BG533" s="7" t="s">
        <v>1503</v>
      </c>
      <c r="BH533" s="1" t="s">
        <v>1872</v>
      </c>
      <c r="BI533" s="1" t="s">
        <v>3613</v>
      </c>
      <c r="BJ533" s="1" t="s">
        <v>1875</v>
      </c>
      <c r="BK533" s="2" t="s">
        <v>3614</v>
      </c>
    </row>
    <row r="534" spans="1:71" ht="90" x14ac:dyDescent="0.45">
      <c r="A534" s="5">
        <v>533</v>
      </c>
      <c r="B534" s="8" t="s">
        <v>354</v>
      </c>
      <c r="C534" s="6" t="s">
        <v>1816</v>
      </c>
      <c r="D534" s="7" t="s">
        <v>9752</v>
      </c>
      <c r="E534" s="1" t="s">
        <v>354</v>
      </c>
      <c r="F534" s="1"/>
      <c r="G534" s="1"/>
      <c r="J534" s="1" t="s">
        <v>9753</v>
      </c>
      <c r="K534" s="2" t="s">
        <v>10658</v>
      </c>
      <c r="L534" s="2" t="s">
        <v>8420</v>
      </c>
      <c r="P534" s="7" t="s">
        <v>1241</v>
      </c>
      <c r="AU534" s="15"/>
      <c r="AV534" s="1" t="s">
        <v>1502</v>
      </c>
      <c r="BG534" s="7" t="s">
        <v>1503</v>
      </c>
      <c r="BH534" s="1" t="s">
        <v>1947</v>
      </c>
      <c r="BI534" s="2" t="s">
        <v>3615</v>
      </c>
      <c r="BJ534" s="1" t="s">
        <v>3525</v>
      </c>
      <c r="BK534" s="2" t="s">
        <v>3616</v>
      </c>
      <c r="BL534" s="1" t="s">
        <v>1877</v>
      </c>
      <c r="BM534" s="2" t="s">
        <v>3617</v>
      </c>
    </row>
    <row r="535" spans="1:71" ht="108" x14ac:dyDescent="0.45">
      <c r="A535" s="5">
        <v>534</v>
      </c>
      <c r="B535" s="8" t="s">
        <v>355</v>
      </c>
      <c r="C535" s="6" t="s">
        <v>1816</v>
      </c>
      <c r="D535" s="7" t="s">
        <v>9752</v>
      </c>
      <c r="E535" s="1" t="s">
        <v>1251</v>
      </c>
      <c r="F535" s="1" t="s">
        <v>1728</v>
      </c>
      <c r="G535" s="1"/>
      <c r="J535" s="1" t="s">
        <v>9753</v>
      </c>
      <c r="K535" s="2" t="s">
        <v>7854</v>
      </c>
      <c r="L535" s="9" t="s">
        <v>8421</v>
      </c>
      <c r="P535" s="7" t="s">
        <v>1241</v>
      </c>
      <c r="AU535" s="15"/>
      <c r="AV535" s="1" t="s">
        <v>1502</v>
      </c>
      <c r="BG535" s="7" t="s">
        <v>1503</v>
      </c>
      <c r="BH535" s="1" t="s">
        <v>1947</v>
      </c>
      <c r="BI535" s="2" t="s">
        <v>3618</v>
      </c>
      <c r="BJ535" s="1" t="s">
        <v>1967</v>
      </c>
      <c r="BK535" s="1" t="s">
        <v>3619</v>
      </c>
      <c r="BL535" s="1" t="s">
        <v>1959</v>
      </c>
      <c r="BM535" s="1" t="s">
        <v>3620</v>
      </c>
      <c r="BN535" s="1" t="s">
        <v>2114</v>
      </c>
      <c r="BO535" s="2" t="s">
        <v>3621</v>
      </c>
      <c r="BP535" s="1" t="s">
        <v>1875</v>
      </c>
      <c r="BQ535" s="2" t="s">
        <v>3622</v>
      </c>
      <c r="BR535" s="1" t="s">
        <v>1877</v>
      </c>
      <c r="BS535" s="2" t="s">
        <v>3623</v>
      </c>
    </row>
    <row r="536" spans="1:71" ht="144" x14ac:dyDescent="0.45">
      <c r="A536" s="5">
        <v>535</v>
      </c>
      <c r="B536" s="8" t="s">
        <v>356</v>
      </c>
      <c r="C536" s="6" t="s">
        <v>1816</v>
      </c>
      <c r="D536" s="7" t="s">
        <v>9752</v>
      </c>
      <c r="E536" s="6" t="s">
        <v>356</v>
      </c>
      <c r="F536" s="1"/>
      <c r="G536" s="1"/>
      <c r="J536" s="1" t="s">
        <v>9753</v>
      </c>
      <c r="K536" s="2" t="s">
        <v>7855</v>
      </c>
      <c r="L536" s="9" t="s">
        <v>8422</v>
      </c>
      <c r="P536" s="7" t="s">
        <v>1241</v>
      </c>
      <c r="AU536" s="15"/>
      <c r="AV536" s="1" t="s">
        <v>1502</v>
      </c>
      <c r="BG536" s="7" t="s">
        <v>1503</v>
      </c>
      <c r="BH536" s="1" t="s">
        <v>1947</v>
      </c>
      <c r="BI536" s="2" t="s">
        <v>7856</v>
      </c>
      <c r="BJ536" s="1" t="s">
        <v>1875</v>
      </c>
      <c r="BK536" s="2" t="s">
        <v>3624</v>
      </c>
      <c r="BL536" s="1" t="s">
        <v>1877</v>
      </c>
      <c r="BM536" s="2" t="s">
        <v>3625</v>
      </c>
    </row>
    <row r="537" spans="1:71" ht="234" x14ac:dyDescent="0.45">
      <c r="A537" s="5">
        <v>536</v>
      </c>
      <c r="B537" s="8" t="s">
        <v>1729</v>
      </c>
      <c r="C537" s="6" t="s">
        <v>1816</v>
      </c>
      <c r="D537" s="7" t="s">
        <v>9752</v>
      </c>
      <c r="E537" s="1" t="s">
        <v>4883</v>
      </c>
      <c r="F537" s="1" t="s">
        <v>8960</v>
      </c>
      <c r="G537" s="1"/>
      <c r="J537" s="1" t="s">
        <v>9753</v>
      </c>
      <c r="K537" s="2" t="s">
        <v>7857</v>
      </c>
      <c r="L537" s="4" t="s">
        <v>8423</v>
      </c>
      <c r="P537" s="7" t="s">
        <v>1241</v>
      </c>
      <c r="Q537" s="14" t="str">
        <f>INDEX($L:$L, MATCH("manage", $B:$B, 0))</f>
        <v>&lt;span class="w"&gt;&lt;b&gt;【204.manage：～をなんとか成し遂げる, ～を管理する, （to do）なんとかやっていく】&lt;/b&gt;&lt;/span&gt;
&lt;span class="ml"&gt;ラテン語manus（手）に由来する。
&lt;span class="spacer"&gt;&lt;/span&gt;何かを手で扱うことからコントロールする＝「管理する」という意味になる。
&lt;span class="spacer"&gt;&lt;/span&gt;またなんとか管理して事を運ぶことから「なんとかやっていく」、その結果「なんとか成し遂げる」という意味になる（manage to do）。&lt;/span&gt;</v>
      </c>
      <c r="R537" s="14" t="str">
        <f>INDEX($L:$L, MATCH("manner", $B:$B, 0))</f>
        <v>&lt;span class="w"&gt;&lt;b&gt;【351.manner：作法, 方法】&lt;/b&gt;&lt;/span&gt;
&lt;span class="ml"&gt;ラテン語manus（手）に由来する。
&lt;span class="spacer"&gt;&lt;/span&gt;「手」というのは、何らかの作業や何かを扱うことと結びつきやすい。いまのような機械がなく、手作業・手仕事だったからである。
&lt;span class="spacer"&gt;&lt;/span&gt;こうした手作業においては、そのやり方や扱い方が固定化していく。ここから何かの「方法, 作法」という意味になる。&lt;/span&gt;</v>
      </c>
      <c r="S537" s="14" t="str">
        <f>INDEX($L:$L, MATCH("manual", $B:$B, 0))</f>
        <v>&lt;span class="w"&gt;&lt;b&gt;【889.manual：手（体）を使う, 手の, 手動の】&lt;/b&gt;&lt;/span&gt;
&lt;span class="ml"&gt;ラテン語に由来する語で、以下の2つの要素から成る。
&lt;span class="spacer"&gt;&lt;/span&gt;manus（手）
alis（形容詞化）
&lt;span class="spacer"&gt;&lt;/span&gt;このまま日本語にすると「手の, 手を使う, 手動の」という意味になる。&lt;/span&gt;</v>
      </c>
      <c r="T537" s="14" t="str">
        <f>INDEX($L:$L, MATCH("manipulate", $B:$B, 0))</f>
        <v>&lt;span class="w"&gt;&lt;b&gt;【1310.manipulate：〜を（巧みに）操る】&lt;/b&gt;&lt;/span&gt;
&lt;span class="ml"&gt;ラテン語に由来する語で、以下の2つの要素から成る。
&lt;span class="spacer"&gt;&lt;/span&gt;manus（手）
plere（満たす）
&lt;span class="spacer"&gt;&lt;/span&gt;このまま日本語にすると「手を満たす」となる。もともとは一握りでつかめる量を表し、薬の計量単位としても使われた。そこから何かを手で扱うということへと発展し、何かを巧みに「操る」という意味になった。
&lt;span class="spacer"&gt;&lt;/span&gt;このmani部分は、manual（手の, 取扱説明書, 手引書, 操作手順書）のmanuと同じで「手」を意味することを覚えておく。&lt;/span&gt;</v>
      </c>
      <c r="U537" s="13" t="str">
        <f>INDEX($L:$L, MATCH("command", $B:$B, 0))</f>
        <v>&lt;span class="w"&gt;&lt;b&gt;【808.command：〜を命じる, 〜を指揮する, （景色）を見渡せる】&lt;/b&gt;&lt;/span&gt;
&lt;span class="ml"&gt;ラテン語に由来する語で、以下の3つの要素から成る。
&lt;span class="spacer"&gt;&lt;/span&gt;com（強意）
manus（手）
dare（与える）
&lt;span class="spacer"&gt;&lt;/span&gt;このまま日本語にすると「しっかり手で与える」となる。もともとは何かを手渡すことや委ねることを表したが、そこから意味が強まって、権力をもって「命じる」という意味になった。また、命令によって他の人や物を動かすことから「指揮する」、軍事において指揮者が戦場全体を見渡すことから、一般的に「景色を見渡す」という意味にもなった。
&lt;div class="sample_image command"&gt;&lt;/div&gt;&lt;/span&gt;</v>
      </c>
      <c r="V537" s="13" t="str">
        <f>INDEX($L:$L, MATCH("maintain", $B:$B, 0))</f>
        <v>&lt;span class="w"&gt;&lt;b&gt;【206.maintain：～を維持する, ～を主張する】&lt;/b&gt;&lt;/span&gt;
&lt;span class="ml"&gt;ラテン語に由来する語で、以下の2つの要素から成る。
&lt;span class="spacer"&gt;&lt;/span&gt;manus（手）
tenere（保つ, 握る）
&lt;span class="spacer"&gt;&lt;/span&gt;このまま日本語にすると「手で保つ」となる。手を使って何かを支えるイメージから、状態が続くように支える＝「維持する」という意味になる。手ではなく発言で誰かを支えるとなれば「主張する」という意味になる。&lt;/span&gt;</v>
      </c>
      <c r="AU537" s="15"/>
      <c r="AV537" s="1" t="s">
        <v>1502</v>
      </c>
      <c r="BG537" s="7" t="s">
        <v>1503</v>
      </c>
      <c r="BH537" s="1" t="s">
        <v>1947</v>
      </c>
      <c r="BI537" s="2" t="s">
        <v>3626</v>
      </c>
      <c r="BJ537" s="1" t="s">
        <v>1967</v>
      </c>
      <c r="BK537" s="1" t="s">
        <v>3627</v>
      </c>
      <c r="BL537" s="1" t="s">
        <v>1996</v>
      </c>
      <c r="BM537" s="2" t="s">
        <v>3628</v>
      </c>
      <c r="BN537" s="1" t="s">
        <v>1877</v>
      </c>
      <c r="BO537" s="2" t="s">
        <v>7858</v>
      </c>
    </row>
    <row r="538" spans="1:71" ht="378" x14ac:dyDescent="0.45">
      <c r="A538" s="5">
        <v>537</v>
      </c>
      <c r="B538" s="8" t="s">
        <v>357</v>
      </c>
      <c r="C538" s="6" t="s">
        <v>1816</v>
      </c>
      <c r="D538" s="7" t="s">
        <v>9752</v>
      </c>
      <c r="E538" s="1" t="s">
        <v>1730</v>
      </c>
      <c r="F538" s="1" t="s">
        <v>1731</v>
      </c>
      <c r="G538" s="1"/>
      <c r="J538" s="1" t="s">
        <v>9753</v>
      </c>
      <c r="K538" s="2" t="s">
        <v>7859</v>
      </c>
      <c r="L538" s="4" t="s">
        <v>8424</v>
      </c>
      <c r="M538" s="1" t="s">
        <v>12174</v>
      </c>
      <c r="P538" s="7" t="s">
        <v>1241</v>
      </c>
      <c r="Q538" s="14" t="str">
        <f>INDEX($L:$L, MATCH("active", $B:$B, 0))</f>
        <v>&lt;span class="w"&gt;&lt;b&gt;【193.active：積極的な, 活動的な】&lt;/b&gt;&lt;/span&gt;
&lt;span class="ml"&gt;ラテン語に由来する語で、以下の2つの要素から成る。
&lt;span class="spacer"&gt;&lt;/span&gt;agere（行う）の過去分詞actus（行為）
ivus（形容詞化）
&lt;span class="spacer"&gt;&lt;/span&gt;この形容詞は何かの行為をしている状態を表し、そこから「活動的な」という意味になる。また自分で進んで活動することから「積極的な」という意味にもなる。&lt;/span&gt;</v>
      </c>
      <c r="R538" s="14" t="str">
        <f>INDEX($L:$L, MATCH("actual", $B:$B, 0))</f>
        <v>&lt;span class="w"&gt;&lt;b&gt;【297.actual：実際の, 現実の】&lt;/b&gt;&lt;/span&gt;
&lt;span class="ml"&gt;ラテン語に由来する語で、以下の2つの要素から成る。
&lt;span class="spacer"&gt;&lt;/span&gt;agere（行う）から派生したactus（行為）
alis（形容詞化）
&lt;span class="spacer"&gt;&lt;/span&gt;「行為に関する」という形容詞は、理想（ideal）や潜在（potential）ではなく、現実に行われたということを意味する。ここから「実際の, 現実の」となる。&lt;/span&gt;</v>
      </c>
      <c r="S538" s="14" t="str">
        <f>INDEX($L:$L, MATCH("transaction", $B:$B, 0))</f>
        <v>&lt;span class="w"&gt;&lt;b&gt;【1447.transaction：（商）取引, 決済, 処理】&lt;/b&gt;&lt;/span&gt;
&lt;span class="ml"&gt;ラテン語に由来する語で、以下の3つの要素から成る。
&lt;span class="spacer"&gt;&lt;/span&gt;trans（越えて, 通して）
agere（動かす, 行う）
io（名詞化）
&lt;span class="spacer"&gt;&lt;/span&gt;このまま日本語にすると「（物事を最後まで）通して行うこと」となる。もともとは、何かを最後までやり遂げることを表した。そこから、業務や契約などの正式な「処理」、さらに商業における「取引」や「決済」も意味するようになった。
&lt;div class="sample_image transaction"&gt;&lt;/div&gt;&lt;/span&gt;</v>
      </c>
      <c r="T538" s="14" t="str">
        <f>INDEX($L:$L, MATCH("exact", $B:$B, 0))</f>
        <v>&lt;span class="w"&gt;&lt;b&gt;【598.exact：正確な, まさにその】&lt;/b&gt;&lt;/span&gt;
&lt;span class="ml"&gt;ラテン語に由来する語で、以下の2つの要素から成る。
&lt;span class="spacer"&gt;&lt;/span&gt;ex（外へ）
agere（動かす, 駆り立てる）
&lt;span class="spacer"&gt;&lt;/span&gt;このまま日本語にすると「外へ駆り立てる」となる。これは、物事を最後まで徹底的にやり切らせることを表した。そこから、抜けや不足がなく徹底的に行われて完了したことを表すようになり、「正確な, まさにその」という意味へとつながった。&lt;/span&gt;</v>
      </c>
      <c r="U538" s="14" t="str">
        <f>INDEX($L:$L, MATCH("react", $B:$B, 0))</f>
        <v>&lt;span class="w"&gt;&lt;b&gt;【605.react：反応する】&lt;/b&gt;&lt;/span&gt;
&lt;span class="ml"&gt;近代英語にさかのぼり、以下の2つの要素から成る。
&lt;span class="spacer"&gt;&lt;/span&gt;re（後ろへ, 返して）
act（行う）
&lt;span class="spacer"&gt;&lt;/span&gt;このまま日本語にすると「何かに返して行う」となる。出来事や行為に対して何かを行うことから「反応する」という意味になる。&lt;/span&gt;</v>
      </c>
      <c r="V538" s="14" t="str">
        <f>INDEX($L:$L, MATCH("agent", $B:$B, 0))</f>
        <v>&lt;span class="w"&gt;&lt;b&gt;【752.agent：仲介者, 代理人】&lt;/b&gt;&lt;/span&gt;
&lt;span class="ml"&gt;ラテン語に由来する語で、以下の2つの要素から成る。
&lt;span class="spacer"&gt;&lt;/span&gt;agere（行う）
ens（現在分詞を作る：〜しているもの）
&lt;span class="spacer"&gt;&lt;/span&gt;このまま日本語にすると「何かを行なっているもの」となる。もともとは行為者を表していたが、そこから誰かに代わって行動する者、すなわち「代理人, 仲介者」という意味になった。また「特定の作用を引き起こす原因となる物質や力」という意味もある。&lt;/span&gt;</v>
      </c>
      <c r="W538" s="14" t="str">
        <f>INDEX($L:$L, MATCH("agenda", $B:$B, 0))</f>
        <v>&lt;span class="w"&gt;&lt;b&gt;【1347.agenda：協議事項, 会議の議題, 予定, 計画, 隠れた意図】&lt;/b&gt;&lt;/span&gt;
&lt;span class="ml"&gt;ラテン語agere（行う, 駆り立てる）から派生したagendus（行われるべき）に由来する。
&lt;span class="spacer"&gt;&lt;/span&gt;この語の核は「行われるべき事柄」。会議で行われるべきことなら「協議事項, 会議の議題」という意味に、個人や組織の行われるべきことなら「予定・計画」という意味に、表に出ていない行われるべきことなら「隠れた意図」という意味になる。
&lt;span class="spacer"&gt;&lt;/span&gt;イメージとしてはto-do list（やるべきことリスト）やplan（計画）に近い。
&lt;div class="sample_image agenda"&gt;&lt;/div&gt;
&lt;span class="spacer"&gt;&lt;/span&gt;ラテン語agereからは、act（行動する）やagent（代理人, 行為者）なども生まれている。actは行うという行為、agentは行う人、agendaは行うべきことの協議リストを指す。&lt;/span&gt;</v>
      </c>
      <c r="X538" s="14" t="str">
        <f>INDEX($L:$L, MATCH("ambiguous", $B:$B, 0))</f>
        <v>&lt;span class="w"&gt;&lt;b&gt;【1386.ambiguous：あいまいな, 多義的な】&lt;/b&gt;&lt;/span&gt;
&lt;span class="ml"&gt;ラテン語に由来する語で、以下の3つの要素から成る。
&lt;span class="spacer"&gt;&lt;/span&gt;ambi（～の周りに）
agere（駆り立てる, 行う）
us（形容詞化）
&lt;span class="spacer"&gt;&lt;/span&gt;もともとは、あちこち行き来するというような動きや、どちらにも決められず心が揺れ動く状態を表した。このような、どちらの方向にも動けて方向が定まらない、心がふらふらして一つの場所に定まらないという本来のイメージから転じて、言葉や態度がはっきりひとつの意味に定まらず「あいまいな, 多義的な」という意味になった。
&lt;div class="sample_image ambiguous"&gt;&lt;/div&gt;&lt;/span&gt;</v>
      </c>
      <c r="AU538" s="15"/>
      <c r="AV538" s="1" t="s">
        <v>1502</v>
      </c>
      <c r="BG538" s="7" t="s">
        <v>1503</v>
      </c>
      <c r="BH538" s="1" t="s">
        <v>1947</v>
      </c>
      <c r="BI538" s="2" t="s">
        <v>3629</v>
      </c>
      <c r="BJ538" s="1" t="s">
        <v>1875</v>
      </c>
      <c r="BK538" s="2" t="s">
        <v>3630</v>
      </c>
      <c r="BL538" s="1" t="s">
        <v>1877</v>
      </c>
      <c r="BM538" s="2" t="s">
        <v>3631</v>
      </c>
    </row>
    <row r="539" spans="1:71" ht="198" x14ac:dyDescent="0.45">
      <c r="A539" s="5">
        <v>538</v>
      </c>
      <c r="B539" s="8" t="s">
        <v>358</v>
      </c>
      <c r="C539" s="6" t="s">
        <v>1816</v>
      </c>
      <c r="D539" s="7" t="s">
        <v>9752</v>
      </c>
      <c r="E539" s="1" t="s">
        <v>1542</v>
      </c>
      <c r="F539" s="1" t="s">
        <v>123</v>
      </c>
      <c r="G539" s="1"/>
      <c r="J539" s="1" t="s">
        <v>9753</v>
      </c>
      <c r="K539" s="2" t="s">
        <v>7860</v>
      </c>
      <c r="L539" s="3" t="s">
        <v>8425</v>
      </c>
      <c r="P539" s="7" t="s">
        <v>1241</v>
      </c>
      <c r="Q539" s="13" t="str">
        <f>INDEX($L:$L, MATCH("range", $B:$B, 0))</f>
        <v>&lt;span class="w"&gt;&lt;b&gt;【156.range：範囲】&lt;/b&gt;&lt;/span&gt;
&lt;span class="ml"&gt;古フランス語renge（列, 隊列）に由来する。
&lt;span class="spacer"&gt;&lt;/span&gt;広く長く伸びる兵士の隊列
から、何かが広がる「範囲」という意味になる。
&lt;div class="sample_image range"&gt;&lt;/div&gt;&lt;/span&gt;</v>
      </c>
      <c r="AU539" s="15"/>
      <c r="AV539" s="1" t="s">
        <v>1502</v>
      </c>
      <c r="BG539" s="7" t="s">
        <v>1503</v>
      </c>
      <c r="BH539" s="1" t="s">
        <v>1959</v>
      </c>
      <c r="BI539" s="2" t="s">
        <v>7861</v>
      </c>
      <c r="BJ539" s="1" t="s">
        <v>1875</v>
      </c>
      <c r="BK539" s="2" t="s">
        <v>3632</v>
      </c>
      <c r="BL539" s="1" t="s">
        <v>1877</v>
      </c>
      <c r="BM539" s="2" t="s">
        <v>3633</v>
      </c>
    </row>
    <row r="540" spans="1:71" ht="180" x14ac:dyDescent="0.45">
      <c r="A540" s="5">
        <v>539</v>
      </c>
      <c r="B540" s="8" t="s">
        <v>359</v>
      </c>
      <c r="C540" s="6" t="s">
        <v>1816</v>
      </c>
      <c r="D540" s="7" t="s">
        <v>9752</v>
      </c>
      <c r="E540" s="1" t="s">
        <v>1459</v>
      </c>
      <c r="F540" s="1" t="s">
        <v>1732</v>
      </c>
      <c r="G540" s="1"/>
      <c r="J540" s="1" t="s">
        <v>9753</v>
      </c>
      <c r="K540" s="2" t="s">
        <v>7862</v>
      </c>
      <c r="L540" s="9" t="s">
        <v>8426</v>
      </c>
      <c r="P540" s="7" t="s">
        <v>1241</v>
      </c>
      <c r="AU540" s="15"/>
      <c r="AV540" s="1" t="s">
        <v>1502</v>
      </c>
      <c r="BG540" s="7" t="s">
        <v>1503</v>
      </c>
      <c r="BH540" s="1" t="s">
        <v>1947</v>
      </c>
      <c r="BI540" s="2" t="s">
        <v>7863</v>
      </c>
      <c r="BJ540" s="1" t="s">
        <v>1959</v>
      </c>
      <c r="BK540" s="1" t="s">
        <v>3634</v>
      </c>
      <c r="BL540" s="1" t="s">
        <v>1875</v>
      </c>
      <c r="BM540" s="2" t="s">
        <v>3635</v>
      </c>
      <c r="BN540" s="1" t="s">
        <v>1996</v>
      </c>
      <c r="BO540" s="2" t="s">
        <v>3636</v>
      </c>
      <c r="BP540" s="1" t="s">
        <v>1877</v>
      </c>
      <c r="BQ540" s="2" t="s">
        <v>3637</v>
      </c>
    </row>
    <row r="541" spans="1:71" ht="144" x14ac:dyDescent="0.45">
      <c r="A541" s="5">
        <v>540</v>
      </c>
      <c r="B541" s="8" t="s">
        <v>1733</v>
      </c>
      <c r="C541" s="6" t="s">
        <v>1816</v>
      </c>
      <c r="D541" s="7" t="s">
        <v>9752</v>
      </c>
      <c r="E541" s="1" t="s">
        <v>46</v>
      </c>
      <c r="F541" s="1" t="s">
        <v>263</v>
      </c>
      <c r="G541" s="1"/>
      <c r="J541" s="1" t="s">
        <v>9753</v>
      </c>
      <c r="K541" s="2" t="s">
        <v>7864</v>
      </c>
      <c r="L541" s="3" t="s">
        <v>8427</v>
      </c>
      <c r="P541" s="7" t="s">
        <v>1241</v>
      </c>
      <c r="Q541" s="13" t="str">
        <f>INDEX($L:$L, MATCH("firm", $B:$B, 0))</f>
        <v>&lt;span class="w"&gt;&lt;b&gt;【385.firm：確固たる, 堅固な, 安定した】&lt;/b&gt;&lt;/span&gt;
&lt;span class="ml"&gt;ラテン語firmus（堅固な, 安定した）に由来する。
&lt;span class="spacer"&gt;&lt;/span&gt;この語の核は「しっかりしていて動かない」ということ。そこから「堅固な, 安定した, 確固たる」という意味になる。&lt;/span&gt;</v>
      </c>
      <c r="AU541" s="15"/>
      <c r="AV541" s="1" t="s">
        <v>1502</v>
      </c>
      <c r="BG541" s="7" t="s">
        <v>1503</v>
      </c>
      <c r="BH541" s="1" t="s">
        <v>1947</v>
      </c>
      <c r="BI541" s="2" t="s">
        <v>3638</v>
      </c>
      <c r="BJ541" s="1" t="s">
        <v>1959</v>
      </c>
      <c r="BK541" s="2" t="s">
        <v>3639</v>
      </c>
      <c r="BL541" s="1" t="s">
        <v>1875</v>
      </c>
      <c r="BM541" s="2" t="s">
        <v>3640</v>
      </c>
    </row>
    <row r="542" spans="1:71" ht="108" x14ac:dyDescent="0.45">
      <c r="A542" s="5">
        <v>541</v>
      </c>
      <c r="B542" s="8" t="s">
        <v>1734</v>
      </c>
      <c r="C542" s="6" t="s">
        <v>6850</v>
      </c>
      <c r="D542" s="7" t="s">
        <v>9752</v>
      </c>
      <c r="E542" s="1" t="s">
        <v>27</v>
      </c>
      <c r="F542" s="1" t="s">
        <v>249</v>
      </c>
      <c r="G542" s="1"/>
      <c r="J542" s="1" t="s">
        <v>9753</v>
      </c>
      <c r="K542" s="2" t="s">
        <v>7867</v>
      </c>
      <c r="L542" s="4" t="s">
        <v>8428</v>
      </c>
      <c r="P542" s="7" t="s">
        <v>1241</v>
      </c>
      <c r="AU542" s="15"/>
      <c r="AV542" s="1" t="s">
        <v>1502</v>
      </c>
      <c r="BG542" s="7" t="s">
        <v>1503</v>
      </c>
      <c r="BH542" s="1" t="s">
        <v>1872</v>
      </c>
      <c r="BI542" s="2" t="s">
        <v>3641</v>
      </c>
      <c r="BJ542" s="1" t="s">
        <v>1875</v>
      </c>
      <c r="BK542" s="2" t="s">
        <v>3642</v>
      </c>
      <c r="BL542" s="1" t="s">
        <v>1877</v>
      </c>
      <c r="BM542" s="2" t="s">
        <v>3643</v>
      </c>
    </row>
    <row r="543" spans="1:71" ht="126" x14ac:dyDescent="0.45">
      <c r="A543" s="5">
        <v>542</v>
      </c>
      <c r="B543" s="8" t="s">
        <v>360</v>
      </c>
      <c r="C543" s="6" t="s">
        <v>6850</v>
      </c>
      <c r="D543" s="7" t="s">
        <v>9752</v>
      </c>
      <c r="E543" s="1" t="s">
        <v>27</v>
      </c>
      <c r="F543" s="1" t="s">
        <v>7868</v>
      </c>
      <c r="G543" s="1" t="s">
        <v>1584</v>
      </c>
      <c r="J543" s="1" t="s">
        <v>9753</v>
      </c>
      <c r="K543" s="2" t="s">
        <v>7869</v>
      </c>
      <c r="L543" s="4" t="s">
        <v>8429</v>
      </c>
      <c r="P543" s="7" t="s">
        <v>1241</v>
      </c>
      <c r="Q543" s="13" t="str">
        <f>INDEX($L:$L, MATCH("novel", $B:$B, 0))</f>
        <v>&lt;span class="w"&gt;&lt;b&gt;【196.novel：斬新な, 目新しい】&lt;/b&gt;&lt;/span&gt;
&lt;span class="ml"&gt;ラテン語に由来する語で、以下の2つの要素から成る。
&lt;span class="spacer"&gt;&lt;/span&gt;novus（新しい）
ellus（小さいことを表す）
&lt;span class="spacer"&gt;&lt;/span&gt;このまま日本語にすると「ちょっと新しい」となり、そこから「斬新な, 目新しい」という意味になる。
&lt;span class="spacer"&gt;&lt;/span&gt;名詞novel（小説）も同じ語源にさかのぼる。新しいことや新しい物語という意味から短編小説、そして長編の小説を指すようになった。&lt;/span&gt;</v>
      </c>
      <c r="R543" s="13" t="str">
        <f>INDEX($L:$L, MATCH("renew", $B:$B, 0))</f>
        <v>&lt;span class="w"&gt;&lt;b&gt;【1323.renew：〜を更新する, （資源を）再生する】&lt;/b&gt;&lt;/span&gt;
&lt;span class="ml"&gt;中英語に由来する語で、以下の2つの要素から成る。
&lt;span class="spacer"&gt;&lt;/span&gt;re（再び）
neuen（新しくする, 回復させる）
&lt;span class="spacer"&gt;&lt;/span&gt;このまま日本語にすると「再び新しくする」となる。元からあるものを再び新しくすることから「更新する, 再生する」という意味になる。&lt;/span&gt;</v>
      </c>
      <c r="AU543" s="15"/>
      <c r="AV543" s="1" t="s">
        <v>1502</v>
      </c>
      <c r="BG543" s="7" t="s">
        <v>1503</v>
      </c>
      <c r="BH543" s="1" t="s">
        <v>1947</v>
      </c>
      <c r="BI543" s="2" t="s">
        <v>3644</v>
      </c>
      <c r="BJ543" s="1" t="s">
        <v>2036</v>
      </c>
      <c r="BK543" s="2" t="s">
        <v>5079</v>
      </c>
      <c r="BL543" s="1" t="s">
        <v>1875</v>
      </c>
      <c r="BM543" s="2" t="s">
        <v>3645</v>
      </c>
    </row>
    <row r="544" spans="1:71" ht="108" x14ac:dyDescent="0.45">
      <c r="A544" s="5">
        <v>543</v>
      </c>
      <c r="B544" s="8" t="s">
        <v>361</v>
      </c>
      <c r="C544" s="6" t="s">
        <v>6850</v>
      </c>
      <c r="D544" s="7" t="s">
        <v>9752</v>
      </c>
      <c r="E544" s="6" t="s">
        <v>1909</v>
      </c>
      <c r="F544" s="1" t="s">
        <v>1910</v>
      </c>
      <c r="G544" s="1"/>
      <c r="J544" s="1" t="s">
        <v>9753</v>
      </c>
      <c r="K544" s="2"/>
      <c r="L544" s="3" t="s">
        <v>8430</v>
      </c>
      <c r="P544" s="7" t="s">
        <v>1241</v>
      </c>
      <c r="AU544" s="15"/>
      <c r="AV544" s="1" t="s">
        <v>1502</v>
      </c>
      <c r="BG544" s="7" t="s">
        <v>1503</v>
      </c>
      <c r="BH544" s="1" t="s">
        <v>1947</v>
      </c>
      <c r="BI544" s="2" t="s">
        <v>3646</v>
      </c>
      <c r="BJ544" s="1" t="s">
        <v>1959</v>
      </c>
      <c r="BK544" s="2" t="s">
        <v>3647</v>
      </c>
      <c r="BL544" s="1" t="s">
        <v>1875</v>
      </c>
      <c r="BM544" s="1" t="s">
        <v>3648</v>
      </c>
      <c r="BN544" s="1" t="s">
        <v>1877</v>
      </c>
      <c r="BO544" s="2" t="s">
        <v>7870</v>
      </c>
    </row>
    <row r="545" spans="1:71" ht="288" x14ac:dyDescent="0.45">
      <c r="A545" s="5">
        <v>544</v>
      </c>
      <c r="B545" s="8" t="s">
        <v>362</v>
      </c>
      <c r="C545" s="6" t="s">
        <v>6850</v>
      </c>
      <c r="D545" s="7" t="s">
        <v>9752</v>
      </c>
      <c r="E545" s="1" t="s">
        <v>362</v>
      </c>
      <c r="F545" s="1"/>
      <c r="G545" s="1"/>
      <c r="J545" s="1" t="s">
        <v>9753</v>
      </c>
      <c r="K545" s="2" t="s">
        <v>7871</v>
      </c>
      <c r="L545" s="9" t="s">
        <v>8431</v>
      </c>
      <c r="P545" s="7" t="s">
        <v>1241</v>
      </c>
      <c r="AV545" s="1" t="s">
        <v>1502</v>
      </c>
      <c r="BG545" s="7" t="s">
        <v>1503</v>
      </c>
      <c r="BH545" s="1" t="s">
        <v>1872</v>
      </c>
      <c r="BI545" s="1" t="s">
        <v>3649</v>
      </c>
      <c r="BJ545" s="1" t="s">
        <v>1959</v>
      </c>
      <c r="BK545" s="1" t="s">
        <v>3650</v>
      </c>
      <c r="BL545" s="1" t="s">
        <v>2114</v>
      </c>
      <c r="BM545" s="1" t="s">
        <v>362</v>
      </c>
      <c r="BN545" s="1" t="s">
        <v>1875</v>
      </c>
      <c r="BO545" s="2" t="s">
        <v>7872</v>
      </c>
    </row>
    <row r="546" spans="1:71" ht="409.6" x14ac:dyDescent="0.45">
      <c r="A546" s="5">
        <v>545</v>
      </c>
      <c r="B546" s="8" t="s">
        <v>1735</v>
      </c>
      <c r="C546" s="6" t="s">
        <v>6850</v>
      </c>
      <c r="D546" s="7" t="s">
        <v>9752</v>
      </c>
      <c r="E546" s="1" t="s">
        <v>1413</v>
      </c>
      <c r="F546" s="1" t="s">
        <v>1736</v>
      </c>
      <c r="G546" s="1"/>
      <c r="J546" s="1" t="s">
        <v>9753</v>
      </c>
      <c r="K546" s="2" t="s">
        <v>7873</v>
      </c>
      <c r="L546" s="4" t="s">
        <v>10455</v>
      </c>
      <c r="M546" s="1" t="s">
        <v>12127</v>
      </c>
      <c r="P546" s="7" t="s">
        <v>1241</v>
      </c>
      <c r="Q546" s="14" t="str">
        <f>INDEX($L:$L, MATCH("depend", $B:$B, 0))</f>
        <v>&lt;span class="w"&gt;&lt;b&gt;【36.depend：頼る, ～次第である】&lt;/b&gt;&lt;/span&gt;
&lt;span class="ml"&gt;ラテン語に由来する語で、以下の2つの要素から成る。
&lt;span class="spacer"&gt;&lt;/span&gt;de（下に）
pendere（ぶら下がる）
&lt;span class="spacer"&gt;&lt;/span&gt;このまま日本語にすると「下にぶら下がる」となる。ある対象をつかんでぶら下がる
というイメージから、対象に「頼る」という意味になる。
&lt;span class="spacer"&gt;&lt;/span&gt;対象頼みということは、ぶら下がっている対象によってその後どうなるかが決まる。そのため「～次第である」という意味になる。
&lt;div class="sample_image depend"&gt;&lt;/div&gt;&lt;/span&gt;</v>
      </c>
      <c r="R546" s="14" t="str">
        <f>INDEX($L:$L, MATCH("independent", $B:$B, 0))</f>
        <v>&lt;span class="w"&gt;&lt;b&gt;【295.independent：独立している】&lt;/b&gt;&lt;/span&gt;
&lt;span class="ml"&gt;近代英語にできた語で、以下の2つの要素から成る。
&lt;span class="spacer"&gt;&lt;/span&gt;in（否定）
dependent（依存している）
&lt;span class="spacer"&gt;&lt;/span&gt;independentは「相手にぶら下がっていない」というイメージ。相手に依存せず自分で立っている、つまり「独立している」という意味になる。&lt;/span&gt;</v>
      </c>
      <c r="S546" s="14" t="str">
        <f>INDEX($L:$L, MATCH("suspend", $B:$B, 0))</f>
        <v>&lt;span class="w"&gt;&lt;b&gt;【1228.suspend：〜を一時的に停止する】&lt;/b&gt;&lt;/span&gt;
&lt;span class="ml"&gt;ラテン語に由来する語で、以下の2つの要素から成る。
&lt;span class="spacer"&gt;&lt;/span&gt;sub（下から）
pendere（吊るす）
&lt;span class="spacer"&gt;&lt;/span&gt;このまま日本語にすると「下から吊るす」となる。下から何かを吊ってぶら下げることから「一時的に停止する」という意味になる。
&lt;div class="sample_image suspend"&gt;&lt;/div&gt;&lt;/span&gt;</v>
      </c>
      <c r="T546" s="14" t="str">
        <f>INDEX($L:$L, MATCH("pension", $B:$B, 0))</f>
        <v>&lt;span class="w"&gt;&lt;b&gt;【1246.pension：年金】&lt;/b&gt;&lt;/span&gt;
&lt;span class="ml"&gt;ラテン語に由来する語で、以下の2つの要素から成る。
&lt;span class="spacer"&gt;&lt;/span&gt;pendere（吊るす, 量る, 支払う）
io（名詞化）
&lt;span class="spacer"&gt;&lt;/span&gt;このまま日本語にすると「吊るすこと」となる。古代ローマでは、現代のようにお金に書かれた金額を信じるのではなく、金貨や銀貨などを天秤に吊るし、その重さで価値を決めて支払っていた。そこから吊るすという行為が、支払うという行為につながった。
&lt;span class="spacer"&gt;&lt;/span&gt;当初は報酬や手当といった定期的な支払いを表したが、時代が下り、過去の勤務や奉仕に対する定期的な支払い、すなわち「年金」という意味になった。
&lt;div class="sample_image pension"&gt;&lt;/div&gt;&lt;/span&gt;</v>
      </c>
      <c r="U546" s="14" t="str">
        <f>INDEX($L:$L, MATCH("compensate", $B:$B, 0))</f>
        <v>&lt;span class="w"&gt;&lt;b&gt;【1338.compensate：補償する, 埋め合わせる】&lt;/b&gt;&lt;/span&gt;
&lt;span class="ml"&gt;ラテン語に由来する語で、以下の2つの要素から成る。
&lt;span class="spacer"&gt;&lt;/span&gt;com（共に）
pendere（吊るす, 重さを量る, 支払う）
&lt;span class="spacer"&gt;&lt;/span&gt;このまま日本語にすると「共に吊るす」となる。これは、天秤の両側に物を載せて釣り合わせ、重さを量るイメージ。そこから、誰かが被った損失や被害（マイナス）を天秤の片方に載せ、もう片方に、それと釣り合うだけの金銭や代替物（プラス）を載せてバランスをとる、すなわち何かに対して「補償する, 埋め合わせる」という意味になった。
&lt;div class="sample_image compensate"&gt;&lt;/div&gt;&lt;/span&gt;</v>
      </c>
      <c r="V546" s="14" t="str">
        <f>INDEX($L:$L, MATCH("indispensable", $B:$B, 0))</f>
        <v>&lt;span class="w"&gt;&lt;b&gt;【1383.indispensable：不可欠な】&lt;/b&gt;&lt;/span&gt;
&lt;span class="ml"&gt;ラテン語に由来する語で、以下の3つの要素から成る。
&lt;span class="spacer"&gt;&lt;/span&gt;in（否定）
dispensare（免除を与える）
bilis（～できる）
&lt;span class="spacer"&gt;&lt;/span&gt;indispensableの意味を理解するには、まず動詞dispense（配る, なしで済ませる）から覚える必要がある。
&lt;span class="spacer"&gt;&lt;/span&gt;&lt;strong&gt;［dispenseの語源］&lt;/strong&gt;
英語dispense（配る, なしで済ませる）の語源であるラテン語dispensare（免除の許可を与える）は、dis（離れて）＋pendere（吊るす）に由来する。
&lt;span class="spacer"&gt;&lt;/span&gt;昔はお金を支払う際、天秤にお金を吊るして重さを量り、必要な分を分けて与えていたため、ラテン語dispensareは、お金を支払うこと・何かを管理して分け与えることを表した。それが英語dispenseには「配る」という意味で残っている。
&lt;span class="spacer"&gt;&lt;/span&gt;また、管理して何かを分け与えるという意味が、当時の教会や法律の文脈において、対象に義務や罰からの免除を与えるという意味で使われるようになった。そのため、英語dispenseは「なしで済ませる」という意味を持っている。
&lt;span class="spacer"&gt;&lt;/span&gt;&lt;strong&gt;［dispensableとindispensableへ］&lt;/strong&gt;
ラテン語dispensare （免除を与える）にbills（〜できる）が付くことで、免除を与えることができる、つまり「何かをなしで済ませることができる」となる（英語dispensable）。
&lt;span class="spacer"&gt;&lt;/span&gt;さらにそこにin（否定）が付くことで、免除できない、すなわち「それなしでは済ませられない」＝「不可欠な」という意味になる（英語indispensable）。&lt;/span&gt;</v>
      </c>
      <c r="W546" s="15"/>
      <c r="AU546" s="15"/>
      <c r="AV546" s="1" t="s">
        <v>1502</v>
      </c>
      <c r="BG546" s="7" t="s">
        <v>1503</v>
      </c>
      <c r="BH546" s="1" t="s">
        <v>1947</v>
      </c>
      <c r="BI546" s="2" t="s">
        <v>3651</v>
      </c>
      <c r="BJ546" s="1" t="s">
        <v>1959</v>
      </c>
      <c r="BK546" s="1" t="s">
        <v>3652</v>
      </c>
      <c r="BL546" s="1" t="s">
        <v>2114</v>
      </c>
      <c r="BM546" s="1" t="s">
        <v>3653</v>
      </c>
      <c r="BN546" s="1" t="s">
        <v>1875</v>
      </c>
      <c r="BO546" s="2" t="s">
        <v>3654</v>
      </c>
    </row>
    <row r="547" spans="1:71" ht="180" x14ac:dyDescent="0.45">
      <c r="A547" s="5">
        <v>546</v>
      </c>
      <c r="B547" s="8" t="s">
        <v>1737</v>
      </c>
      <c r="C547" s="6" t="s">
        <v>6850</v>
      </c>
      <c r="D547" s="7" t="s">
        <v>9752</v>
      </c>
      <c r="E547" s="1" t="s">
        <v>363</v>
      </c>
      <c r="F547" s="1"/>
      <c r="G547" s="1"/>
      <c r="J547" s="1" t="s">
        <v>9753</v>
      </c>
      <c r="K547" s="2" t="s">
        <v>7874</v>
      </c>
      <c r="L547" s="3" t="s">
        <v>8432</v>
      </c>
      <c r="M547" s="1" t="s">
        <v>12147</v>
      </c>
      <c r="P547" s="7" t="s">
        <v>1241</v>
      </c>
      <c r="Q547" s="14" t="str">
        <f>INDEX($L:$L, MATCH("due", $B:$B, 0))</f>
        <v>&lt;span class="w"&gt;&lt;b&gt;【96.due：予定された, （何かの）期日で, しかるべき】&lt;/b&gt;&lt;/span&gt;
&lt;span class="ml"&gt;ラテン語に由来する語で、以下の2つの要素から成る。
&lt;span class="spacer"&gt;&lt;/span&gt;dē（離れて）
habēre（持つ）
&lt;span class="spacer"&gt;&lt;/span&gt;このまま日本語にすると「離れて持つ」となる。これは誰かから何かを引き離して持っている、つまり借りている状態を表す。
&lt;span class="spacer"&gt;&lt;/span&gt;借りを返すのは当然なので、「当然何かが行われるだろう」「ある時間内に何かが行われるだろう」という感覚になる。ここから「予定された, しかるべき, 期日で」という意味になる。&lt;/span&gt;</v>
      </c>
      <c r="R547" s="13" t="str">
        <f>INDEX($L:$L, MATCH("duty", $B:$B, 0))</f>
        <v>&lt;span class="w"&gt;&lt;b&gt;【548.duty：義務, 関税】&lt;/b&gt;&lt;/span&gt;
&lt;span class="ml"&gt;ラテン語に由来する語で、以下の2つの要素から成る。
&lt;span class="spacer"&gt;&lt;/span&gt;de（離れて）
habere（持っている）
&lt;span class="spacer"&gt;&lt;/span&gt;このまま日本語にすると「離れて持っている」となる。これは、本来の持ち主の手を離れて自分が持っている、つまり「誰かから何かを借りている状態」であることを表す。
&lt;span class="spacer"&gt;&lt;/span&gt;ここから、借りているものを返すべき、何かを支払うべき、恩に報いて何かをするべきといった「義務」を意味するようになった。さらに、金銭的な支払いの側面が特化して残り、輸出入の際に国へ納めるべき「関税」という意味にも繋がっている。&lt;/span&gt;</v>
      </c>
      <c r="AU547" s="15"/>
      <c r="AV547" s="1" t="s">
        <v>1502</v>
      </c>
      <c r="BG547" s="7" t="s">
        <v>1503</v>
      </c>
      <c r="BH547" s="1" t="s">
        <v>1947</v>
      </c>
      <c r="BI547" s="2" t="s">
        <v>3655</v>
      </c>
      <c r="BJ547" s="1" t="s">
        <v>1959</v>
      </c>
      <c r="BK547" s="1" t="s">
        <v>3656</v>
      </c>
      <c r="BL547" s="1" t="s">
        <v>1875</v>
      </c>
      <c r="BM547" s="2" t="s">
        <v>3657</v>
      </c>
    </row>
    <row r="548" spans="1:71" ht="108" x14ac:dyDescent="0.45">
      <c r="A548" s="5">
        <v>547</v>
      </c>
      <c r="B548" s="8" t="s">
        <v>364</v>
      </c>
      <c r="C548" s="6" t="s">
        <v>6850</v>
      </c>
      <c r="D548" s="7" t="s">
        <v>9752</v>
      </c>
      <c r="E548" s="1" t="s">
        <v>364</v>
      </c>
      <c r="F548" s="1"/>
      <c r="G548" s="1"/>
      <c r="J548" s="1" t="s">
        <v>9753</v>
      </c>
      <c r="K548" s="2" t="s">
        <v>7875</v>
      </c>
      <c r="L548" s="9" t="s">
        <v>8433</v>
      </c>
      <c r="P548" s="7" t="s">
        <v>1241</v>
      </c>
      <c r="AV548" s="1" t="s">
        <v>1502</v>
      </c>
      <c r="BG548" s="7" t="s">
        <v>1503</v>
      </c>
      <c r="BH548" s="1" t="s">
        <v>2110</v>
      </c>
      <c r="BI548" s="1" t="s">
        <v>3660</v>
      </c>
      <c r="BJ548" s="1" t="s">
        <v>1875</v>
      </c>
      <c r="BK548" s="2" t="s">
        <v>3661</v>
      </c>
    </row>
    <row r="549" spans="1:71" ht="198" x14ac:dyDescent="0.45">
      <c r="A549" s="5">
        <v>548</v>
      </c>
      <c r="B549" s="8" t="s">
        <v>1738</v>
      </c>
      <c r="C549" s="6" t="s">
        <v>6850</v>
      </c>
      <c r="D549" s="7" t="s">
        <v>9752</v>
      </c>
      <c r="E549" s="1" t="s">
        <v>365</v>
      </c>
      <c r="F549" s="1"/>
      <c r="G549" s="1"/>
      <c r="J549" s="1" t="s">
        <v>9753</v>
      </c>
      <c r="K549" s="2"/>
      <c r="L549" s="4" t="s">
        <v>8434</v>
      </c>
      <c r="M549" s="1" t="s">
        <v>12147</v>
      </c>
      <c r="P549" s="7" t="s">
        <v>1241</v>
      </c>
      <c r="Q549" s="14" t="str">
        <f>INDEX($L:$L, MATCH("due", $B:$B, 0))</f>
        <v>&lt;span class="w"&gt;&lt;b&gt;【96.due：予定された, （何かの）期日で, しかるべき】&lt;/b&gt;&lt;/span&gt;
&lt;span class="ml"&gt;ラテン語に由来する語で、以下の2つの要素から成る。
&lt;span class="spacer"&gt;&lt;/span&gt;dē（離れて）
habēre（持つ）
&lt;span class="spacer"&gt;&lt;/span&gt;このまま日本語にすると「離れて持つ」となる。これは誰かから何かを引き離して持っている、つまり借りている状態を表す。
&lt;span class="spacer"&gt;&lt;/span&gt;借りを返すのは当然なので、「当然何かが行われるだろう」「ある時間内に何かが行われるだろう」という感覚になる。ここから「予定された, しかるべき, 期日で」という意味になる。&lt;/span&gt;</v>
      </c>
      <c r="R549" s="13" t="str">
        <f>INDEX($L:$L, MATCH("debt", $B:$B, 0))</f>
        <v>&lt;span class="w"&gt;&lt;b&gt;【546.debt：負債, 借金, 恩義】&lt;/b&gt;&lt;/span&gt;
&lt;span class="ml"&gt;ラテン語に由来する語で、以下の2つの要素から成る。
&lt;span class="spacer"&gt;&lt;/span&gt;de（離れて）
habere（持っている）
&lt;span class="spacer"&gt;&lt;/span&gt;このまま日本語にすると「離れて持っているもの」となる。これは、本来の持ち主の手を離れて自分が持っているものを表す。つまり誰かから借りているもので、そこから「負債, 借金, 恩義」という意味になった。
&lt;div class="sample_image debt"&gt;&lt;/div&gt;&lt;/span&gt;</v>
      </c>
      <c r="AU549" s="15"/>
      <c r="AV549" s="1" t="s">
        <v>1502</v>
      </c>
      <c r="BG549" s="7" t="s">
        <v>1503</v>
      </c>
      <c r="BH549" s="1" t="s">
        <v>1947</v>
      </c>
      <c r="BI549" s="2" t="s">
        <v>3662</v>
      </c>
      <c r="BJ549" s="1" t="s">
        <v>2026</v>
      </c>
      <c r="BK549" s="2" t="s">
        <v>3663</v>
      </c>
      <c r="BL549" s="1" t="s">
        <v>1959</v>
      </c>
      <c r="BM549" s="1" t="s">
        <v>3664</v>
      </c>
      <c r="BN549" s="1" t="s">
        <v>2114</v>
      </c>
      <c r="BO549" s="1" t="s">
        <v>3665</v>
      </c>
      <c r="BP549" s="1" t="s">
        <v>1875</v>
      </c>
      <c r="BQ549" s="2" t="s">
        <v>3666</v>
      </c>
      <c r="BR549" s="1" t="s">
        <v>1877</v>
      </c>
      <c r="BS549" s="2" t="s">
        <v>3667</v>
      </c>
    </row>
    <row r="550" spans="1:71" ht="180" x14ac:dyDescent="0.45">
      <c r="A550" s="5">
        <v>549</v>
      </c>
      <c r="B550" s="8" t="s">
        <v>366</v>
      </c>
      <c r="C550" s="6" t="s">
        <v>6850</v>
      </c>
      <c r="D550" s="7" t="s">
        <v>9752</v>
      </c>
      <c r="E550" s="1" t="s">
        <v>49</v>
      </c>
      <c r="F550" s="1" t="s">
        <v>1739</v>
      </c>
      <c r="G550" s="1"/>
      <c r="J550" s="1" t="s">
        <v>9753</v>
      </c>
      <c r="K550" s="2" t="s">
        <v>7876</v>
      </c>
      <c r="L550" s="9" t="s">
        <v>8435</v>
      </c>
      <c r="P550" s="7" t="s">
        <v>1241</v>
      </c>
      <c r="AU550" s="15"/>
      <c r="AV550" s="1" t="s">
        <v>1502</v>
      </c>
      <c r="BG550" s="7" t="s">
        <v>1503</v>
      </c>
      <c r="BH550" s="1" t="s">
        <v>1947</v>
      </c>
      <c r="BI550" s="2" t="s">
        <v>3668</v>
      </c>
      <c r="BJ550" s="1" t="s">
        <v>1994</v>
      </c>
      <c r="BK550" s="2" t="s">
        <v>7877</v>
      </c>
      <c r="BL550" s="1" t="s">
        <v>1959</v>
      </c>
      <c r="BM550" s="2" t="s">
        <v>3669</v>
      </c>
      <c r="BN550" s="1" t="s">
        <v>1875</v>
      </c>
      <c r="BO550" s="2" t="s">
        <v>3670</v>
      </c>
      <c r="BP550" s="1" t="s">
        <v>1877</v>
      </c>
      <c r="BQ550" s="2" t="s">
        <v>3671</v>
      </c>
    </row>
    <row r="551" spans="1:71" ht="126" x14ac:dyDescent="0.45">
      <c r="A551" s="5">
        <v>550</v>
      </c>
      <c r="B551" s="8" t="s">
        <v>1740</v>
      </c>
      <c r="C551" s="6" t="s">
        <v>6850</v>
      </c>
      <c r="D551" s="7" t="s">
        <v>9752</v>
      </c>
      <c r="E551" s="1" t="s">
        <v>1454</v>
      </c>
      <c r="F551" s="1" t="s">
        <v>1911</v>
      </c>
      <c r="G551" s="1" t="s">
        <v>1912</v>
      </c>
      <c r="J551" s="1" t="s">
        <v>9753</v>
      </c>
      <c r="K551" s="2" t="s">
        <v>7878</v>
      </c>
      <c r="L551" s="4" t="s">
        <v>8436</v>
      </c>
      <c r="P551" s="7" t="s">
        <v>1241</v>
      </c>
      <c r="Q551" s="13" t="str">
        <f>INDEX($L:$L, MATCH("emerge", $B:$B, 0))</f>
        <v>&lt;span class="w"&gt;&lt;b&gt;【305.emerge：現れる, 明らかになる】&lt;/b&gt;&lt;/span&gt;
&lt;span class="ml"&gt;ラテン語に由来する語で、以下の2つの要素から成る。
&lt;span class="spacer"&gt;&lt;/span&gt;ex（外へ）
mergere（沈む）
&lt;span class="spacer"&gt;&lt;/span&gt;この語の核は「沈んだところから外へ出てくる」というイメージ。見えないところから外へ出てくることから「現れる, 明らかになる」という意味になる。
&lt;div class="sample_image emerge"&gt;&lt;/div&gt;&lt;/span&gt;</v>
      </c>
      <c r="AU551" s="15"/>
      <c r="AV551" s="1" t="s">
        <v>1502</v>
      </c>
      <c r="BG551" s="7" t="s">
        <v>1503</v>
      </c>
      <c r="BH551" s="1" t="s">
        <v>1947</v>
      </c>
      <c r="BI551" s="2" t="s">
        <v>3672</v>
      </c>
      <c r="BJ551" s="1" t="s">
        <v>1877</v>
      </c>
      <c r="BK551" s="2" t="s">
        <v>3673</v>
      </c>
    </row>
    <row r="552" spans="1:71" ht="108" x14ac:dyDescent="0.45">
      <c r="A552" s="5">
        <v>551</v>
      </c>
      <c r="B552" s="8" t="s">
        <v>367</v>
      </c>
      <c r="C552" s="6" t="s">
        <v>6850</v>
      </c>
      <c r="D552" s="7" t="s">
        <v>9752</v>
      </c>
      <c r="E552" s="1" t="s">
        <v>1741</v>
      </c>
      <c r="F552" s="1" t="s">
        <v>1742</v>
      </c>
      <c r="G552" s="1"/>
      <c r="J552" s="1" t="s">
        <v>9753</v>
      </c>
      <c r="K552" s="2" t="s">
        <v>7879</v>
      </c>
      <c r="L552" s="9" t="s">
        <v>8437</v>
      </c>
      <c r="M552" s="1" t="s">
        <v>12209</v>
      </c>
      <c r="P552" s="7" t="s">
        <v>1241</v>
      </c>
      <c r="Q552" s="13" t="str">
        <f>INDEX($L:$L, MATCH("demographic", $B:$B, 0))</f>
        <v>&lt;span class="w"&gt;&lt;b&gt;【1288.demographic：人口統計（学）の】&lt;/b&gt;&lt;/span&gt;
&lt;span class="ml"&gt;ギリシャ語に由来する語で、以下の3つの要素から成る。
&lt;span class="spacer"&gt;&lt;/span&gt;dēmos（人々）
graphia（〜を書くこと, 〜の記録）
&lt;span class="obsolete"&gt;ic（形容詞化）は英語段階で付いた&lt;/span&gt;
&lt;span class="spacer"&gt;&lt;/span&gt;この語の核は「人々に関して属性で分類して記録すること」。近代において、ある社会の人々の出生、死亡、結婚、病気などの動向を数値化し、統計的に記録・研究する学問（人口統計学）が確立して「人口統計（学）の」という意味になった。
&lt;span class="spacer"&gt;&lt;/span&gt;またビジネスでは、年齢、性別、住んでいる地域など、ある属性で分類された人々の集団＝「層」を意味する名詞としても使われる。
&lt;div class="sample_image demographic"&gt;&lt;/div&gt;&lt;/span&gt;</v>
      </c>
      <c r="R552" s="13" t="str">
        <f>INDEX($L:$L, MATCH("epidemic", $B:$B, 0))</f>
        <v>&lt;span class="w"&gt;&lt;b&gt;【1350.epidemic：流行（病）, 蔓延】&lt;/b&gt;&lt;/span&gt;
&lt;span class="ml"&gt;ギリシャ語に由来する語で、以下の2つの要素から成る。
&lt;span class="spacer"&gt;&lt;/span&gt;epi（〜の中に, 〜の間に）
dēmos（人々）
&lt;span class="spacer"&gt;&lt;/span&gt;この語の核は「人々の間に広まっている」。特に病気に関して、人々の間に異常に広がることを表し、ある地域や集団での「流行（病）, 蔓延」という意味になる。
&lt;span class="spacer"&gt;&lt;/span&gt;epiではなくpan（全て）が付けば、特定地域ではなく複数の国や大陸に広まったpandemic（世界的な流行や蔓延）となる。
&lt;span class="spacer"&gt;&lt;/span&gt;epidemic：特定地域での異常な流行
pandemic：世界的・広域での流行&lt;/span&gt;
&lt;div class="animation epidemic"&gt;&lt;/div&gt;</v>
      </c>
      <c r="AU552" s="15"/>
      <c r="AV552" s="1" t="s">
        <v>1502</v>
      </c>
      <c r="BG552" s="7" t="s">
        <v>1503</v>
      </c>
      <c r="BH552" s="1" t="s">
        <v>2458</v>
      </c>
      <c r="BI552" s="2" t="s">
        <v>7880</v>
      </c>
      <c r="BJ552" s="1" t="s">
        <v>1967</v>
      </c>
      <c r="BK552" s="2" t="s">
        <v>3674</v>
      </c>
      <c r="BL552" s="1" t="s">
        <v>1959</v>
      </c>
      <c r="BM552" s="2" t="s">
        <v>3675</v>
      </c>
      <c r="BN552" s="1" t="s">
        <v>1877</v>
      </c>
      <c r="BO552" s="2" t="s">
        <v>3676</v>
      </c>
    </row>
    <row r="553" spans="1:71" ht="306" x14ac:dyDescent="0.45">
      <c r="A553" s="5">
        <v>552</v>
      </c>
      <c r="B553" s="8" t="s">
        <v>368</v>
      </c>
      <c r="C553" s="6" t="s">
        <v>6850</v>
      </c>
      <c r="D553" s="7" t="s">
        <v>9752</v>
      </c>
      <c r="E553" s="1" t="s">
        <v>1913</v>
      </c>
      <c r="F553" s="1" t="s">
        <v>1720</v>
      </c>
      <c r="G553" s="1"/>
      <c r="J553" s="1" t="s">
        <v>9753</v>
      </c>
      <c r="K553" s="2" t="s">
        <v>7881</v>
      </c>
      <c r="L553" s="9" t="s">
        <v>8438</v>
      </c>
      <c r="M553" s="1" t="s">
        <v>12210</v>
      </c>
      <c r="P553" s="7" t="s">
        <v>1241</v>
      </c>
      <c r="Q553" s="14" t="str">
        <f>INDEX($L:$L, MATCH("administration", $B:$B, 0))</f>
        <v>&lt;span class="w"&gt;&lt;b&gt;【877.administration：管理（部）, 運営, 行政, 政府（機関）】&lt;/b&gt;&lt;/span&gt;
&lt;span class="ml"&gt;ラテン語に由来する語で、以下の要素から成る。
&lt;span class="spacer"&gt;&lt;/span&gt;&lt;b&gt;［ministerの語源］&lt;/b&gt;
minus（小さい）
teros（比較級）
&lt;span class="spacer"&gt;&lt;/span&gt;この語の核は「より小さい者」。主人に対して自分をより小さくする者、つまり召使いや助手といった主人に奉仕する者を表した。
&lt;span class="spacer"&gt;&lt;/span&gt;&lt;b&gt;［administrationの語源］&lt;/b&gt;
ad（〜へ）
ministrare（奉仕する, 仕える）
io（名詞化）
&lt;span class="spacer"&gt;&lt;/span&gt;このまま日本語にすると「〜へ奉仕する者」となる。王や君主へ奉仕する者たちは、彼らの代わりに領地や財産を管理し、運営したことから、組織や国の「管理, 運営」という意味になった。また国の管理や運営を行っている「行政, 政府」という意味にもなった。
&lt;div class="sample_image administration"&gt;&lt;/div&gt;&lt;/span&gt;</v>
      </c>
      <c r="R553" s="14" t="str">
        <f>INDEX($L:$L, MATCH("minor", $B:$B, 0))</f>
        <v>&lt;span class="w"&gt;&lt;b&gt;【587.minor：些細な, 小さい】&lt;/b&gt;&lt;/span&gt;
&lt;span class="ml"&gt;ラテン語の比較級minor（より小さい, 重要度の低い）に由来する。
&lt;span class="spacer"&gt;&lt;/span&gt;ここから「小さい」や、重要度が小さい、つまり「些細な」という意味になる。&lt;/span&gt;</v>
      </c>
      <c r="S553" s="13" t="str">
        <f>INDEX($L:$L, MATCH("minimum", $B:$B, 0))</f>
        <v>&lt;span class="w"&gt;&lt;b&gt;【653.minimum：最小限度】&lt;/b&gt;&lt;/span&gt;
&lt;span class="ml"&gt;ラテン語に由来する語で、以下の3つの要素から成る。
minor（より小さい）
imus（最上級を作る）
um（名詞化）
&lt;span class="spacer"&gt;&lt;/span&gt;このまま日本語にすると「最も小さいもの」つまり「最小限度」となる。&lt;/span&gt;</v>
      </c>
      <c r="T553" s="13" t="str">
        <f>INDEX($L:$L, MATCH("diminish", $B:$B, 0))</f>
        <v>&lt;span class="w"&gt;&lt;b&gt;【1015.diminish：〜を減らす, 減る】&lt;/b&gt;&lt;/span&gt;
&lt;span class="ml"&gt;ラテン語に由来する語で、以下の2つの要素から成る。
&lt;span class="spacer"&gt;&lt;/span&gt;de（完全に）
minuere（小さくする）
&lt;span class="spacer"&gt;&lt;/span&gt;このまま日本語にすると「完全に小さくする」となる。そこから何かを「減らす」や、何かが「減る」という意味になる。
&lt;span class="spacer"&gt;&lt;/span&gt;diminishのmini部分は、以下の語と関連する。
minimum（最小限）
minus（マイナス）
minor（マイナー）&lt;/span&gt;</v>
      </c>
      <c r="AU553" s="15"/>
      <c r="AV553" s="1" t="s">
        <v>1502</v>
      </c>
      <c r="BG553" s="7" t="s">
        <v>1503</v>
      </c>
      <c r="BH553" s="1" t="s">
        <v>1947</v>
      </c>
      <c r="BI553" s="2" t="s">
        <v>7882</v>
      </c>
      <c r="BJ553" s="1" t="s">
        <v>1959</v>
      </c>
      <c r="BK553" s="2" t="s">
        <v>3677</v>
      </c>
      <c r="BL553" s="1" t="s">
        <v>1875</v>
      </c>
      <c r="BM553" s="2" t="s">
        <v>3678</v>
      </c>
      <c r="BN553" s="1" t="s">
        <v>1877</v>
      </c>
      <c r="BO553" s="2" t="s">
        <v>3679</v>
      </c>
    </row>
    <row r="554" spans="1:71" ht="198" x14ac:dyDescent="0.45">
      <c r="A554" s="5">
        <v>553</v>
      </c>
      <c r="B554" s="8" t="s">
        <v>369</v>
      </c>
      <c r="C554" s="6" t="s">
        <v>6850</v>
      </c>
      <c r="D554" s="7" t="s">
        <v>9752</v>
      </c>
      <c r="E554" s="1" t="s">
        <v>1744</v>
      </c>
      <c r="F554" s="1" t="s">
        <v>1745</v>
      </c>
      <c r="G554" s="1"/>
      <c r="J554" s="1" t="s">
        <v>9753</v>
      </c>
      <c r="K554" s="2" t="s">
        <v>7883</v>
      </c>
      <c r="L554" s="9" t="s">
        <v>12079</v>
      </c>
      <c r="P554" s="7" t="s">
        <v>1241</v>
      </c>
      <c r="AU554" s="15"/>
      <c r="AV554" s="1" t="s">
        <v>1502</v>
      </c>
      <c r="BG554" s="7" t="s">
        <v>1503</v>
      </c>
      <c r="BH554" s="1" t="s">
        <v>2110</v>
      </c>
      <c r="BI554" s="2" t="s">
        <v>7884</v>
      </c>
      <c r="BJ554" s="1" t="s">
        <v>1872</v>
      </c>
      <c r="BK554" s="1" t="s">
        <v>3680</v>
      </c>
      <c r="BL554" s="1" t="s">
        <v>1875</v>
      </c>
      <c r="BM554" s="2" t="s">
        <v>3681</v>
      </c>
    </row>
    <row r="555" spans="1:71" ht="162" x14ac:dyDescent="0.45">
      <c r="A555" s="5">
        <v>554</v>
      </c>
      <c r="B555" s="8" t="s">
        <v>370</v>
      </c>
      <c r="C555" s="6" t="s">
        <v>6850</v>
      </c>
      <c r="D555" s="7" t="s">
        <v>9752</v>
      </c>
      <c r="E555" s="1" t="s">
        <v>1914</v>
      </c>
      <c r="F555" s="1" t="s">
        <v>1818</v>
      </c>
      <c r="G555" s="1"/>
      <c r="J555" s="1" t="s">
        <v>9753</v>
      </c>
      <c r="K555" s="2" t="s">
        <v>7885</v>
      </c>
      <c r="L555" s="3" t="s">
        <v>8439</v>
      </c>
      <c r="P555" s="7" t="s">
        <v>1241</v>
      </c>
      <c r="AU555" s="15"/>
      <c r="AV555" s="1" t="s">
        <v>1502</v>
      </c>
      <c r="BG555" s="7" t="s">
        <v>1503</v>
      </c>
      <c r="BH555" s="1" t="s">
        <v>1947</v>
      </c>
      <c r="BI555" s="2" t="s">
        <v>7886</v>
      </c>
      <c r="BJ555" s="1" t="s">
        <v>1877</v>
      </c>
      <c r="BK555" s="2" t="s">
        <v>3682</v>
      </c>
    </row>
    <row r="556" spans="1:71" ht="180" x14ac:dyDescent="0.45">
      <c r="A556" s="5">
        <v>555</v>
      </c>
      <c r="B556" s="8" t="s">
        <v>371</v>
      </c>
      <c r="C556" s="6" t="s">
        <v>6850</v>
      </c>
      <c r="D556" s="7" t="s">
        <v>9752</v>
      </c>
      <c r="E556" s="1" t="s">
        <v>7887</v>
      </c>
      <c r="F556" s="1" t="s">
        <v>1584</v>
      </c>
      <c r="G556" s="1"/>
      <c r="J556" s="1" t="s">
        <v>9753</v>
      </c>
      <c r="K556" s="2" t="s">
        <v>7888</v>
      </c>
      <c r="L556" s="9" t="s">
        <v>12080</v>
      </c>
      <c r="P556" s="7" t="s">
        <v>1241</v>
      </c>
      <c r="Q556" s="13" t="str">
        <f>INDEX($L:$L, MATCH("incorporate", $B:$B, 0))</f>
        <v>&lt;span class="w"&gt;&lt;b&gt;【1240.incorporate：〜取り入れる, 〜を法人にする】&lt;/b&gt;&lt;/span&gt;
&lt;span class="ml"&gt;ラテン語に由来する語で、以下の2つの要素から成る。
&lt;span class="spacer"&gt;&lt;/span&gt;in（中に）
corpus（身体）
&lt;span class="spacer"&gt;&lt;/span&gt;この語の核は「ひとつの身体の中に入れて一体化する」。物理的に一体化することから比喩的に、アイデアや要素などをを別のものの中に「取り入れる」という意味になった。
&lt;span class="spacer"&gt;&lt;/span&gt;またビジネスにおいて、事業や社員などをまとめ、ひとつの身体を持つ人間のように扱う＝「法人にする」という意味にもなった。&lt;/span&gt;</v>
      </c>
      <c r="AU556" s="15"/>
      <c r="AV556" s="1" t="s">
        <v>1502</v>
      </c>
      <c r="BG556" s="7" t="s">
        <v>1503</v>
      </c>
      <c r="BH556" s="1" t="s">
        <v>1947</v>
      </c>
      <c r="BI556" s="2" t="s">
        <v>3683</v>
      </c>
      <c r="BJ556" s="1" t="s">
        <v>2036</v>
      </c>
      <c r="BK556" s="2" t="s">
        <v>3684</v>
      </c>
      <c r="BL556" s="1" t="s">
        <v>1875</v>
      </c>
      <c r="BM556" s="2" t="s">
        <v>3685</v>
      </c>
      <c r="BN556" s="1" t="s">
        <v>1877</v>
      </c>
      <c r="BO556" s="2" t="s">
        <v>3686</v>
      </c>
    </row>
    <row r="557" spans="1:71" ht="288" x14ac:dyDescent="0.45">
      <c r="A557" s="5">
        <v>556</v>
      </c>
      <c r="B557" s="8" t="s">
        <v>372</v>
      </c>
      <c r="C557" s="6" t="s">
        <v>6850</v>
      </c>
      <c r="D557" s="7" t="s">
        <v>9752</v>
      </c>
      <c r="E557" s="1" t="s">
        <v>1746</v>
      </c>
      <c r="F557" s="1" t="s">
        <v>1747</v>
      </c>
      <c r="G557" s="1"/>
      <c r="J557" s="1" t="s">
        <v>9753</v>
      </c>
      <c r="K557" s="2" t="s">
        <v>7889</v>
      </c>
      <c r="L557" s="3" t="s">
        <v>12097</v>
      </c>
      <c r="P557" s="7" t="s">
        <v>1241</v>
      </c>
      <c r="AV557" s="1" t="s">
        <v>1502</v>
      </c>
      <c r="BG557" s="7" t="s">
        <v>1503</v>
      </c>
      <c r="BH557" s="1" t="s">
        <v>2458</v>
      </c>
      <c r="BI557" s="1" t="s">
        <v>3687</v>
      </c>
      <c r="BJ557" s="1" t="s">
        <v>1996</v>
      </c>
      <c r="BK557" s="2" t="s">
        <v>3688</v>
      </c>
      <c r="BL557" s="1" t="s">
        <v>1877</v>
      </c>
      <c r="BM557" s="2" t="s">
        <v>3689</v>
      </c>
      <c r="BN557" s="1" t="s">
        <v>3496</v>
      </c>
      <c r="BO557" s="2" t="s">
        <v>3690</v>
      </c>
    </row>
    <row r="558" spans="1:71" ht="144" x14ac:dyDescent="0.45">
      <c r="A558" s="5">
        <v>557</v>
      </c>
      <c r="B558" s="8" t="s">
        <v>373</v>
      </c>
      <c r="C558" s="6" t="s">
        <v>6850</v>
      </c>
      <c r="D558" s="7" t="s">
        <v>9752</v>
      </c>
      <c r="E558" s="1" t="s">
        <v>373</v>
      </c>
      <c r="F558" s="1"/>
      <c r="G558" s="1"/>
      <c r="J558" s="1" t="s">
        <v>9753</v>
      </c>
      <c r="K558" s="2" t="s">
        <v>7890</v>
      </c>
      <c r="L558" s="4" t="s">
        <v>8440</v>
      </c>
      <c r="P558" s="7" t="s">
        <v>1241</v>
      </c>
      <c r="Q558" s="14" t="str">
        <f>INDEX($L:$L, MATCH("routine", $B:$B, 0))</f>
        <v>&lt;span class="w"&gt;&lt;b&gt;【566.routine：決まりきった仕事, いつもの手順】&lt;/b&gt;&lt;/span&gt;
&lt;span class="ml"&gt;フランス語に由来する語で、以下の2つの要素から成る。
&lt;span class="spacer"&gt;&lt;/span&gt;rute（道, 道路）
ine（名詞化）
&lt;span class="spacer"&gt;&lt;/span&gt;踏みならされた道やいつも通る道のように、いつもの決まったやり方や行動、つまり「決まりきった仕事, いつもの手順」という意味になる。&lt;/span&gt;</v>
      </c>
      <c r="R558" s="15"/>
      <c r="S558" s="15"/>
      <c r="T558" s="15"/>
      <c r="U558" s="15"/>
      <c r="AU558" s="15"/>
      <c r="AV558" s="1" t="s">
        <v>1502</v>
      </c>
      <c r="BG558" s="7" t="s">
        <v>1503</v>
      </c>
      <c r="BH558" s="1" t="s">
        <v>1947</v>
      </c>
      <c r="BI558" s="2" t="s">
        <v>3691</v>
      </c>
      <c r="BJ558" s="1" t="s">
        <v>1959</v>
      </c>
      <c r="BK558" s="1" t="s">
        <v>3692</v>
      </c>
      <c r="BL558" s="1" t="s">
        <v>1875</v>
      </c>
      <c r="BM558" s="2" t="s">
        <v>3693</v>
      </c>
      <c r="BN558" s="1" t="s">
        <v>1877</v>
      </c>
      <c r="BO558" s="2" t="s">
        <v>3694</v>
      </c>
    </row>
    <row r="559" spans="1:71" ht="126" x14ac:dyDescent="0.45">
      <c r="A559" s="5">
        <v>558</v>
      </c>
      <c r="B559" s="8" t="s">
        <v>374</v>
      </c>
      <c r="C559" s="6" t="s">
        <v>6850</v>
      </c>
      <c r="D559" s="7" t="s">
        <v>9752</v>
      </c>
      <c r="E559" s="1" t="s">
        <v>1505</v>
      </c>
      <c r="F559" s="1" t="s">
        <v>1749</v>
      </c>
      <c r="G559" s="1"/>
      <c r="J559" s="1" t="s">
        <v>9753</v>
      </c>
      <c r="K559" s="2" t="s">
        <v>7891</v>
      </c>
      <c r="L559" s="4" t="s">
        <v>8441</v>
      </c>
      <c r="M559" s="1" t="s">
        <v>12189</v>
      </c>
      <c r="P559" s="7" t="s">
        <v>1241</v>
      </c>
      <c r="Q559" s="14" t="str">
        <f>INDEX($L:$L, MATCH("ordinary", $B:$B, 0))</f>
        <v>&lt;span class="w"&gt;&lt;b&gt;【289.ordinary：一般の, 普通の】&lt;/b&gt;&lt;/span&gt;
&lt;span class="ml"&gt;ラテン語に由来する語で、以下の2つの要素から成る。
&lt;span class="spacer"&gt;&lt;/span&gt;ordo（列, 順序）
arius（形容詞化）
&lt;span class="spacer"&gt;&lt;/span&gt;これは「列に並んだ, 秩序通り, 規則的な」という通常から外れていないことから「一般の, 普通の」という意味になる。&lt;/span&gt;</v>
      </c>
      <c r="R559" s="13" t="str">
        <f>INDEX($L:$L, MATCH("extraordinary", $B:$B, 0))</f>
        <v>&lt;span class="w"&gt;&lt;b&gt;【588.extraordinary：並外れた, 驚くべき】&lt;/b&gt;&lt;/span&gt;
&lt;span class="ml"&gt;ラテン語に由来する語で、以下の2つの要素から成る。
&lt;span class="spacer"&gt;&lt;/span&gt;extra（外に, 外側へ）
ordo（列, 順序, 秩序）
&lt;span class="spacer"&gt;&lt;/span&gt;このまま日本語にすると「秩序の外」となる。つまり通常の秩序から外れていることから、「並外れた, 驚くべき」という意味になる。&lt;/span&gt;</v>
      </c>
      <c r="S559" s="13" t="str">
        <f>INDEX($L:$L, MATCH("coordinate", $B:$B, 0))</f>
        <v>&lt;span class="w"&gt;&lt;b&gt;【1440.coordinate：〜を調整する, 〜を指揮する, 〜をコーディネートする】&lt;/b&gt;&lt;/span&gt;
&lt;span class="ml"&gt;ラテン語に由来する語で、以下の2つの要素から成る。
&lt;span class="spacer"&gt;&lt;/span&gt;com（共に）
ordo（列, 階級, 配置）から派生したordinatio（配置, 秩序だて）
&lt;span class="spacer"&gt;&lt;/span&gt;coordinateのord部分は、英語oreder（秩序, 順序, オーダー）と同じと考えてよい。この語の核は「複数のものを一緒に順序だてて並べて、うまくまとめる」。
&lt;span class="spacer"&gt;&lt;/span&gt;そこから、予定や計画などを「調整する」や、プロジェクトや作戦などを「指揮する」、服や家具などを「コーディネートする」という意味になる。&lt;/span&gt;</v>
      </c>
      <c r="AU559" s="15"/>
      <c r="AV559" s="1" t="s">
        <v>1502</v>
      </c>
      <c r="BG559" s="7" t="s">
        <v>1503</v>
      </c>
      <c r="BH559" s="1" t="s">
        <v>1947</v>
      </c>
      <c r="BI559" s="2" t="s">
        <v>3695</v>
      </c>
      <c r="BJ559" s="1" t="s">
        <v>1967</v>
      </c>
      <c r="BK559" s="2" t="s">
        <v>3696</v>
      </c>
      <c r="BL559" s="1" t="s">
        <v>1959</v>
      </c>
      <c r="BM559" s="1" t="s">
        <v>3697</v>
      </c>
      <c r="BN559" s="1" t="s">
        <v>1875</v>
      </c>
      <c r="BO559" s="2" t="s">
        <v>3698</v>
      </c>
      <c r="BP559" s="1" t="s">
        <v>1877</v>
      </c>
      <c r="BQ559" s="2" t="s">
        <v>3699</v>
      </c>
    </row>
    <row r="560" spans="1:71" ht="216" x14ac:dyDescent="0.45">
      <c r="A560" s="5">
        <v>559</v>
      </c>
      <c r="B560" s="8" t="s">
        <v>1750</v>
      </c>
      <c r="C560" s="6" t="s">
        <v>6850</v>
      </c>
      <c r="D560" s="7" t="s">
        <v>9752</v>
      </c>
      <c r="E560" s="1" t="s">
        <v>1327</v>
      </c>
      <c r="F560" s="1" t="s">
        <v>1751</v>
      </c>
      <c r="G560" s="1" t="s">
        <v>1584</v>
      </c>
      <c r="J560" s="1" t="s">
        <v>9753</v>
      </c>
      <c r="K560" s="2" t="s">
        <v>7892</v>
      </c>
      <c r="L560" s="4" t="s">
        <v>8442</v>
      </c>
      <c r="M560" s="1" t="s">
        <v>12151</v>
      </c>
      <c r="P560" s="7" t="s">
        <v>1241</v>
      </c>
      <c r="Q560" s="14" t="str">
        <f>INDEX($L:$L, MATCH("express", $B:$B, 0))</f>
        <v>&lt;span class="w"&gt;&lt;b&gt;【111.express：～を表す, ～を述べる】&lt;/b&gt;&lt;/span&gt;
&lt;span class="ml"&gt;ラテン語に由来する語で、以下の2つの要素から成る。
&lt;span class="spacer"&gt;&lt;/span&gt;ex（外に）
premere（押す：pressの語源）
&lt;span class="spacer"&gt;&lt;/span&gt;このまま日本語にすると「外に押す」となる。自分の中にあるものを外に押し出すことから、何かを「～を表す, 述べる」という意味になる。&lt;/span&gt;</v>
      </c>
      <c r="R560" s="14" t="str">
        <f>INDEX($L:$L, MATCH("impress", $B:$B, 0))</f>
        <v>&lt;span class="w"&gt;&lt;b&gt;【629.impress：〜を感動させる, 〜に印象を与える】&lt;/b&gt;&lt;/span&gt;
&lt;span class="ml"&gt;ラテン語に由来する語で、以下の2つの要素から成る。
&lt;span class="spacer"&gt;&lt;/span&gt;in（中に）
premere（押す, 圧する）
&lt;span class="spacer"&gt;&lt;/span&gt;このまま日本語にすると「中に押す」となる。物理的に何かに押し込むことから発展して、心や精神に刻み込む、つまり「印象付ける」という意味になった。また、心や精神に強い影響を与えることから「感動させる」という意味にもなった。
&lt;div class="sample_image impress"&gt;&lt;/div&gt;&lt;/span&gt;</v>
      </c>
      <c r="S560" s="14" t="str">
        <f>INDEX($L:$L, MATCH("suppress", $B:$B, 0))</f>
        <v>&lt;span class="w"&gt;&lt;b&gt;【1308.suppress：〜を抑える】&lt;/b&gt;&lt;/span&gt;
&lt;span class="ml"&gt;ラテン語に由来する語で、以下の2つの要素から成る。
&lt;span class="spacer"&gt;&lt;/span&gt;sub（下に）
premere（押す）
&lt;span class="spacer"&gt;&lt;/span&gt;物理的に下に押すという動作から、感情や情報、社会的な運動などを表面に出ないように「抑える」という意味になった。
&lt;div class="sample_image suppress"&gt;&lt;/div&gt;&lt;/span&gt;</v>
      </c>
      <c r="T560" s="15"/>
      <c r="U560" s="15"/>
      <c r="V560" s="15"/>
      <c r="AU560" s="15"/>
      <c r="AV560" s="1" t="s">
        <v>1502</v>
      </c>
      <c r="BG560" s="7" t="s">
        <v>1503</v>
      </c>
      <c r="BH560" s="1" t="s">
        <v>1947</v>
      </c>
      <c r="BI560" s="2" t="s">
        <v>3700</v>
      </c>
      <c r="BJ560" s="1" t="s">
        <v>1967</v>
      </c>
      <c r="BK560" s="2" t="s">
        <v>3701</v>
      </c>
      <c r="BL560" s="1" t="s">
        <v>1959</v>
      </c>
      <c r="BM560" s="2" t="s">
        <v>3702</v>
      </c>
      <c r="BN560" s="1" t="s">
        <v>1875</v>
      </c>
      <c r="BO560" s="2" t="s">
        <v>3703</v>
      </c>
      <c r="BP560" s="1" t="s">
        <v>1877</v>
      </c>
      <c r="BQ560" s="2" t="s">
        <v>3704</v>
      </c>
    </row>
    <row r="561" spans="1:69" ht="72" x14ac:dyDescent="0.45">
      <c r="A561" s="5">
        <v>560</v>
      </c>
      <c r="B561" s="8" t="s">
        <v>375</v>
      </c>
      <c r="C561" s="6" t="s">
        <v>6850</v>
      </c>
      <c r="D561" s="7" t="s">
        <v>9752</v>
      </c>
      <c r="E561" s="1" t="s">
        <v>375</v>
      </c>
      <c r="F561" s="1"/>
      <c r="G561" s="1"/>
      <c r="J561" s="1" t="s">
        <v>9753</v>
      </c>
      <c r="K561" s="2"/>
      <c r="L561" s="9" t="s">
        <v>8443</v>
      </c>
      <c r="P561" s="7" t="s">
        <v>1241</v>
      </c>
      <c r="AV561" s="1" t="s">
        <v>1502</v>
      </c>
      <c r="BG561" s="7" t="s">
        <v>1503</v>
      </c>
      <c r="BH561" s="1" t="s">
        <v>1872</v>
      </c>
      <c r="BI561" s="1" t="s">
        <v>3705</v>
      </c>
      <c r="BJ561" s="1" t="s">
        <v>1875</v>
      </c>
      <c r="BK561" s="2" t="s">
        <v>3706</v>
      </c>
    </row>
    <row r="562" spans="1:69" ht="270" x14ac:dyDescent="0.45">
      <c r="A562" s="5">
        <v>561</v>
      </c>
      <c r="B562" s="8" t="s">
        <v>5080</v>
      </c>
      <c r="C562" s="6" t="s">
        <v>6850</v>
      </c>
      <c r="D562" s="7" t="s">
        <v>9752</v>
      </c>
      <c r="E562" s="1" t="s">
        <v>29</v>
      </c>
      <c r="F562" s="1" t="s">
        <v>8961</v>
      </c>
      <c r="G562" s="1" t="s">
        <v>1584</v>
      </c>
      <c r="J562" s="1" t="s">
        <v>9753</v>
      </c>
      <c r="K562" s="2" t="s">
        <v>7893</v>
      </c>
      <c r="L562" s="3" t="s">
        <v>8444</v>
      </c>
      <c r="P562" s="7" t="s">
        <v>1241</v>
      </c>
      <c r="Q562" s="13" t="str">
        <f>INDEX($L:$L, MATCH("migrate", $B:$B, 0))</f>
        <v>&lt;span class="w"&gt;&lt;b&gt;【1120.migrate：移住する, （動物が別の生息地へ）移動する】&lt;/b&gt;&lt;/span&gt;
&lt;span class="ml"&gt;ラテン語migrare（ある場所から別の場所へ移動する）に由来する。
&lt;span class="spacer"&gt;&lt;/span&gt;人や動物がいまの生息地から別の場所へ「移動する」という意味になる。
&lt;span class="spacer"&gt;&lt;/span&gt;［immigrate］
in（中に）＋migrare（移動する）
他国から移住する（受け入れる側の視点）
&lt;span class="spacer"&gt;&lt;/span&gt;［emigrate］
ex（外へ）＋migrare（移動する）
自国から別の国へ移住する（出ていく側の視点）&lt;/span&gt;</v>
      </c>
      <c r="AU562" s="15"/>
      <c r="AV562" s="1" t="s">
        <v>1502</v>
      </c>
      <c r="BG562" s="7" t="s">
        <v>1503</v>
      </c>
      <c r="BH562" s="1" t="s">
        <v>1947</v>
      </c>
      <c r="BI562" s="2" t="s">
        <v>3707</v>
      </c>
      <c r="BJ562" s="1" t="s">
        <v>1877</v>
      </c>
      <c r="BK562" s="2" t="s">
        <v>3708</v>
      </c>
      <c r="BL562" s="1" t="s">
        <v>3496</v>
      </c>
      <c r="BM562" s="2" t="s">
        <v>3709</v>
      </c>
    </row>
    <row r="563" spans="1:69" ht="90" x14ac:dyDescent="0.45">
      <c r="A563" s="5">
        <v>562</v>
      </c>
      <c r="B563" s="8" t="s">
        <v>376</v>
      </c>
      <c r="C563" s="6" t="s">
        <v>6850</v>
      </c>
      <c r="D563" s="7" t="s">
        <v>9752</v>
      </c>
      <c r="E563" s="6" t="s">
        <v>1752</v>
      </c>
      <c r="F563" s="1" t="s">
        <v>1753</v>
      </c>
      <c r="G563" s="1"/>
      <c r="J563" s="1" t="s">
        <v>9753</v>
      </c>
      <c r="K563" s="2" t="s">
        <v>7894</v>
      </c>
      <c r="L563" s="4" t="s">
        <v>8445</v>
      </c>
      <c r="P563" s="7" t="s">
        <v>1241</v>
      </c>
      <c r="Q563" s="13" t="str">
        <f>INDEX($L:$L, MATCH("embarrass", $B:$B, 0))</f>
        <v>&lt;span class="w"&gt;&lt;b&gt;【705.embarrass：〜に恥ずかしい思いをさせる, 〜を困らせる】&lt;/b&gt;&lt;/span&gt;
&lt;span class="ml"&gt;この語は以下の2つの要素から成る。
&lt;span class="spacer"&gt;&lt;/span&gt;印欧祖語en（中に）
俗ラテン語*barra（棒）
&lt;span class="spacer"&gt;&lt;/span&gt;この語の核は「棒で塞いで中に入れないようにする」。もともとは、物理的に相手の進行を妨げることから、比喩的に、物事の進行や資金繰りを妨げ、どうしたらよいかわからない状態にすることを表した。さらにそこから、心理的な意味で、何かをしようとしている人にそれをさせず「困らせる」、そして「恥ずかしい思いをさせる」という意味になった。
&lt;div class="sample_image embarrass"&gt;&lt;/div&gt;&lt;/span&gt;</v>
      </c>
      <c r="AU563" s="15"/>
      <c r="AV563" s="1" t="s">
        <v>1502</v>
      </c>
      <c r="BG563" s="7" t="s">
        <v>1503</v>
      </c>
      <c r="BH563" s="1" t="s">
        <v>1959</v>
      </c>
      <c r="BI563" s="2" t="s">
        <v>7895</v>
      </c>
      <c r="BJ563" s="1" t="s">
        <v>2114</v>
      </c>
      <c r="BK563" s="2" t="s">
        <v>3710</v>
      </c>
      <c r="BL563" s="1" t="s">
        <v>1875</v>
      </c>
      <c r="BM563" s="2" t="s">
        <v>3711</v>
      </c>
    </row>
    <row r="564" spans="1:69" ht="108" x14ac:dyDescent="0.45">
      <c r="A564" s="5">
        <v>563</v>
      </c>
      <c r="B564" s="8" t="s">
        <v>1754</v>
      </c>
      <c r="C564" s="6" t="s">
        <v>6850</v>
      </c>
      <c r="D564" s="7" t="s">
        <v>9752</v>
      </c>
      <c r="E564" s="1" t="s">
        <v>1505</v>
      </c>
      <c r="F564" s="1" t="s">
        <v>1353</v>
      </c>
      <c r="G564" s="1" t="s">
        <v>1931</v>
      </c>
      <c r="H564" s="1" t="s">
        <v>1748</v>
      </c>
      <c r="J564" s="1" t="s">
        <v>9753</v>
      </c>
      <c r="K564" s="2" t="s">
        <v>7896</v>
      </c>
      <c r="L564" s="4" t="s">
        <v>8446</v>
      </c>
      <c r="M564" s="1" t="s">
        <v>12148</v>
      </c>
      <c r="P564" s="7" t="s">
        <v>1241</v>
      </c>
      <c r="Q564" s="13" t="str">
        <f>INDEX($L:$L, MATCH("ancient", $B:$B, 0))</f>
        <v>&lt;span class="w"&gt;&lt;b&gt;【98.ancient：古代の, 昔からの】&lt;/b&gt;&lt;/span&gt;
&lt;span class="ml"&gt;ラテン語ante（前の）に由来する。
&lt;span class="spacer"&gt;&lt;/span&gt;「（時間的に）前の」から「古代の, 昔からの」という意味になる。
&lt;span class="spacer"&gt;&lt;/span&gt;以下の時代区分も参考に。
modern（近代・現代）
medieval（中世）
ancient（古代の）&lt;/span&gt;</v>
      </c>
      <c r="R564" s="13" t="str">
        <f>INDEX($L:$L, MATCH("ancestor", $B:$B, 0))</f>
        <v>&lt;span class="w"&gt;&lt;b&gt;【274.ancestor：祖先】&lt;/b&gt;&lt;/span&gt;
&lt;span class="ml"&gt;ラテン語に由来する語で、以下の3つの要素から成る。
&lt;span class="spacer"&gt;&lt;/span&gt;ante（前に）
cedere（行く, 進む）
or（〜する人）
&lt;span class="spacer"&gt;&lt;/span&gt;このまま日本語にすると「前に行く人」となる。自分たちよりも時間的に前を行く人から先代の人＝「祖先」という意味になる。
&lt;div class="sample_image ancestor"&gt;&lt;/div&gt;&lt;/span&gt;</v>
      </c>
      <c r="S564" s="13" t="str">
        <f>INDEX($L:$L, MATCH("advance", $B:$B, 0))</f>
        <v>&lt;span class="w"&gt;&lt;b&gt;【114.advance：～を進歩させる, ～を前進する】&lt;/b&gt;&lt;/span&gt;
&lt;span class="ml"&gt;ラテン語に由来する語で、以下の2つの要素から成る。
&lt;span class="spacer"&gt;&lt;/span&gt;ab（～から）
ante（前に）
&lt;span class="spacer"&gt;&lt;/span&gt;このまま日本語にすると「～から前に」となる。ここから前方への移動を表して「進歩させる, 前進する」という意味になる。&lt;/span&gt;</v>
      </c>
      <c r="T564" s="13" t="str">
        <f>INDEX($L:$L, MATCH("advantage", $B:$B, 0))</f>
        <v>&lt;span class="w"&gt;&lt;b&gt;【158.advantage：利点, 有利, 優勢】&lt;/b&gt;&lt;/span&gt;
&lt;span class="ml"&gt;ラテン語に由来する語で、以下の2つの要素から成る。
&lt;span class="spacer"&gt;&lt;/span&gt;ab（〜から）
ante（前に）
&lt;span class="obsolete"&gt;age（名詞化）は古フランス語段階で付いた。&lt;/span&gt;
&lt;span class="spacer"&gt;&lt;/span&gt;このまま日本語にすると「〜から前に」となる。他よりも前に進んでいる状態を表し、他よりも優れている・良いところがあるという「有利, 優勢, 利点」という意味になる。&lt;/span&gt;</v>
      </c>
      <c r="AU564" s="15"/>
      <c r="AV564" s="1" t="s">
        <v>1502</v>
      </c>
      <c r="BG564" s="7" t="s">
        <v>1503</v>
      </c>
      <c r="BH564" s="1" t="s">
        <v>2034</v>
      </c>
      <c r="BI564" s="2" t="s">
        <v>3712</v>
      </c>
      <c r="BJ564" s="1" t="s">
        <v>3658</v>
      </c>
      <c r="BK564" s="1" t="s">
        <v>2469</v>
      </c>
      <c r="BL564" s="1" t="s">
        <v>1504</v>
      </c>
      <c r="BM564" s="2" t="s">
        <v>3713</v>
      </c>
      <c r="BN564" s="1" t="s">
        <v>2044</v>
      </c>
      <c r="BO564" s="2" t="s">
        <v>3714</v>
      </c>
      <c r="BP564" s="1" t="s">
        <v>1865</v>
      </c>
      <c r="BQ564" s="2" t="s">
        <v>3715</v>
      </c>
    </row>
    <row r="565" spans="1:69" ht="144" x14ac:dyDescent="0.45">
      <c r="A565" s="5">
        <v>564</v>
      </c>
      <c r="B565" s="8" t="s">
        <v>377</v>
      </c>
      <c r="C565" s="6" t="s">
        <v>6850</v>
      </c>
      <c r="D565" s="7" t="s">
        <v>9752</v>
      </c>
      <c r="E565" s="1" t="s">
        <v>377</v>
      </c>
      <c r="F565" s="1"/>
      <c r="G565" s="1"/>
      <c r="J565" s="1" t="s">
        <v>9753</v>
      </c>
      <c r="K565" s="2" t="s">
        <v>7897</v>
      </c>
      <c r="L565" s="9" t="s">
        <v>8447</v>
      </c>
      <c r="P565" s="7" t="s">
        <v>1241</v>
      </c>
      <c r="AV565" s="1" t="s">
        <v>1502</v>
      </c>
      <c r="BG565" s="7" t="s">
        <v>1503</v>
      </c>
      <c r="BH565" s="1" t="s">
        <v>1872</v>
      </c>
      <c r="BI565" s="1" t="s">
        <v>3716</v>
      </c>
      <c r="BJ565" s="1" t="s">
        <v>1875</v>
      </c>
      <c r="BK565" s="2" t="s">
        <v>3717</v>
      </c>
    </row>
    <row r="566" spans="1:69" ht="252" x14ac:dyDescent="0.45">
      <c r="A566" s="5">
        <v>565</v>
      </c>
      <c r="B566" s="8" t="s">
        <v>1351</v>
      </c>
      <c r="C566" s="6" t="s">
        <v>6850</v>
      </c>
      <c r="D566" s="7" t="s">
        <v>9752</v>
      </c>
      <c r="E566" s="1" t="s">
        <v>8889</v>
      </c>
      <c r="F566" s="1" t="s">
        <v>1580</v>
      </c>
      <c r="G566" s="1"/>
      <c r="J566" s="1" t="s">
        <v>9753</v>
      </c>
      <c r="K566" s="1" t="s">
        <v>1756</v>
      </c>
      <c r="L566" s="4" t="s">
        <v>8448</v>
      </c>
      <c r="M566" s="1" t="s">
        <v>12166</v>
      </c>
      <c r="P566" s="7" t="s">
        <v>1241</v>
      </c>
      <c r="Q566" s="14" t="str">
        <f>INDEX($L:$L, MATCH("emotion", $B:$B, 0))</f>
        <v>&lt;span class="w"&gt;&lt;b&gt;【153.emotion：感情, 情動】&lt;/b&gt;&lt;/span&gt;
&lt;span class="ml"&gt;ラテン語に由来する語で、以下の2つの要素から成る。
&lt;span class="spacer"&gt;&lt;/span&gt;ex（外に）
movere（動かす：moveの語源）
&lt;span class="spacer"&gt;&lt;/span&gt;このまま日本語にすると「外に動かす」となる。外に動く＝揺れ動くというイメージから心が揺れ動く＝「感情, 情動」となる。&lt;/span&gt;</v>
      </c>
      <c r="R566" s="14" t="str">
        <f>INDEX($L:$L, MATCH("promote", $B:$B, 0))</f>
        <v>&lt;span class="w"&gt;&lt;b&gt;【213.promote：～を促進する, （受け身で）昇進する】&lt;/b&gt;&lt;/span&gt;
&lt;span class="ml"&gt;ラテン語に由来する語で、以下の2つの要素から成る。
&lt;span class="spacer"&gt;&lt;/span&gt;pro（前へ）
movere（動かす：moveの語源）
&lt;span class="spacer"&gt;&lt;/span&gt;このまま日本語にすると「前へ動かす」となる。ここから「促進する, 昇進させる」という意味になる。
&lt;span class="spacer"&gt;&lt;/span&gt;&lt;span class="obsolete"&gt;promoteは古フランス語経由で英語に入ったため、英語では動詞となっている。
remoteはラテン語から直接英語に入ったため、英語でも形容詞となっている。&lt;/span&gt;&lt;/span&gt;</v>
      </c>
      <c r="S566" s="14" t="str">
        <f>INDEX($L:$L, MATCH("remove", $B:$B, 0))</f>
        <v>&lt;span class="w"&gt;&lt;b&gt;【234.remove：～を取り除く, ～を解雇する】&lt;/b&gt;&lt;/span&gt;
&lt;span class="ml"&gt;ラテン語に由来する語で、以下の2つの要素から成る。
&lt;span class="spacer"&gt;&lt;/span&gt;re（後ろへ）
movere（動かす：moveの語源）
&lt;span class="spacer"&gt;&lt;/span&gt;このまま日本語にすると「後ろへ動かす」となる。いまある場所から後ろに引っ込めて視界から外すイメージから「取り除く, 解雇する」という意味になる。&lt;/span&gt;</v>
      </c>
      <c r="T566" s="14" t="str">
        <f>INDEX($L:$L, MATCH("remote", $B:$B, 0))</f>
        <v>&lt;span class="w"&gt;&lt;b&gt;【682.remote：遠く離れた】&lt;/b&gt;&lt;/span&gt;
&lt;span class="ml"&gt;ラテン語に由来する語で、以下の2つの要素から成る。
&lt;span class="spacer"&gt;&lt;/span&gt;re（後ろへ）
movere（動かす）
&lt;span class="spacer"&gt;&lt;/span&gt;このまま日本語にすると「後ろへ動かす, 遠ざける」となる。ここから「遠く離れた」という意味になった。&lt;/span&gt;</v>
      </c>
      <c r="U566" s="14" t="str">
        <f>INDEX($L:$L, MATCH("mobile", $B:$B, 0))</f>
        <v>&lt;span class="w"&gt;&lt;b&gt;【195.mobile：可動式の, 動かせる】&lt;/b&gt;&lt;/span&gt;
&lt;span class="ml"&gt;ラテン語に由来する語で、以下の2つの要素から成る。
&lt;span class="spacer"&gt;&lt;/span&gt;movere（動かす：moveの語源）
bilis（〜できる）
&lt;span class="spacer"&gt;&lt;/span&gt;ラテン語から意味の変化はほとんどない。&lt;/span&gt;</v>
      </c>
      <c r="V566" s="14" t="str">
        <f>INDEX($L:$L, MATCH("motor", $B:$B, 0))</f>
        <v>&lt;span class="w"&gt;&lt;b&gt;【748.motor：モーター, 原動力】&lt;/b&gt;&lt;/span&gt;
&lt;span class="ml"&gt;ラテン語に由来する語で、以下の2つの要素から成る。
&lt;span class="spacer"&gt;&lt;/span&gt;movere（動かす）
or（〜するもの）
&lt;span class="spacer"&gt;&lt;/span&gt;このまま日本語にすると「動かすもの」つまり「原動力, モーター」という意味になる。&lt;/span&gt;</v>
      </c>
      <c r="W566" s="13" t="str">
        <f>INDEX($L:$L, MATCH("motive", $B:$B, 0))</f>
        <v>&lt;span class="w"&gt;&lt;b&gt;【1274.motive：動機】&lt;/b&gt;&lt;/span&gt;
&lt;span class="ml"&gt;ラテン語に由来する語で、以下の2つの要素から成る。
&lt;span class="spacer"&gt;&lt;/span&gt;movere（動かす）
ivus（形容詞化）
&lt;span class="spacer"&gt;&lt;/span&gt;何かを動かす、駆り立てるという形容詞が名詞となり、人を行動へと動かすもの＝「動機」という意味になった。&lt;/span&gt;</v>
      </c>
      <c r="AU566" s="15"/>
      <c r="AV566" s="1" t="s">
        <v>1502</v>
      </c>
      <c r="BG566" s="7" t="s">
        <v>1503</v>
      </c>
      <c r="BH566" s="1" t="s">
        <v>2034</v>
      </c>
      <c r="BI566" s="2" t="s">
        <v>3718</v>
      </c>
      <c r="BJ566" s="1" t="s">
        <v>1959</v>
      </c>
      <c r="BK566" s="1" t="s">
        <v>3719</v>
      </c>
      <c r="BL566" s="1" t="s">
        <v>1875</v>
      </c>
      <c r="BM566" s="2" t="s">
        <v>3720</v>
      </c>
    </row>
    <row r="567" spans="1:69" ht="126" x14ac:dyDescent="0.45">
      <c r="A567" s="5">
        <v>566</v>
      </c>
      <c r="B567" s="8" t="s">
        <v>1757</v>
      </c>
      <c r="C567" s="6" t="s">
        <v>6850</v>
      </c>
      <c r="D567" s="7" t="s">
        <v>9752</v>
      </c>
      <c r="E567" s="1" t="s">
        <v>8962</v>
      </c>
      <c r="F567" s="1" t="s">
        <v>1758</v>
      </c>
      <c r="G567" s="1"/>
      <c r="J567" s="1" t="s">
        <v>9753</v>
      </c>
      <c r="K567" s="1" t="s">
        <v>7898</v>
      </c>
      <c r="L567" s="4" t="s">
        <v>8449</v>
      </c>
      <c r="P567" s="7" t="s">
        <v>1241</v>
      </c>
      <c r="Q567" s="14" t="str">
        <f>INDEX($L:$L, MATCH("route", $B:$B, 0))</f>
        <v>&lt;span class="w"&gt;&lt;b&gt;【557.route：道（筋）, 路線, ルート, 方法】&lt;/b&gt;&lt;/span&gt;
&lt;span class="ml"&gt;ラテン語rumpere（壊す）のrupta（力ずくで切り開かれた）に由来する。
&lt;span class="spacer"&gt;&lt;/span&gt;もともとはラテン語でrupta via（壊して切り開かれた道）と使われていたが、やがてvia（道）を伴わずに前者のみで「道（筋）, ルート, 路線」を意味するようになった。&lt;/span&gt;</v>
      </c>
      <c r="R567" s="15"/>
      <c r="S567" s="15"/>
      <c r="T567" s="15"/>
      <c r="U567" s="15"/>
      <c r="AU567" s="15"/>
      <c r="AV567" s="1" t="s">
        <v>1502</v>
      </c>
      <c r="BG567" s="7" t="s">
        <v>1503</v>
      </c>
      <c r="BH567" s="1" t="s">
        <v>1947</v>
      </c>
      <c r="BI567" s="2" t="s">
        <v>3691</v>
      </c>
      <c r="BJ567" s="1" t="s">
        <v>1959</v>
      </c>
      <c r="BK567" s="2" t="s">
        <v>3692</v>
      </c>
      <c r="BL567" s="1" t="s">
        <v>1996</v>
      </c>
      <c r="BM567" s="2" t="s">
        <v>3721</v>
      </c>
      <c r="BN567" s="1" t="s">
        <v>1877</v>
      </c>
      <c r="BO567" s="2" t="s">
        <v>3722</v>
      </c>
    </row>
    <row r="568" spans="1:69" ht="144" x14ac:dyDescent="0.45">
      <c r="A568" s="5">
        <v>567</v>
      </c>
      <c r="B568" s="8" t="s">
        <v>1759</v>
      </c>
      <c r="C568" s="6" t="s">
        <v>6850</v>
      </c>
      <c r="D568" s="7" t="s">
        <v>9752</v>
      </c>
      <c r="E568" s="1" t="s">
        <v>1915</v>
      </c>
      <c r="F568" s="1" t="s">
        <v>1758</v>
      </c>
      <c r="G568" s="1"/>
      <c r="J568" s="1" t="s">
        <v>9753</v>
      </c>
      <c r="K568" s="2" t="s">
        <v>7899</v>
      </c>
      <c r="L568" s="2" t="s">
        <v>8450</v>
      </c>
      <c r="P568" s="7" t="s">
        <v>1241</v>
      </c>
      <c r="AU568" s="15"/>
      <c r="AV568" s="1" t="s">
        <v>1502</v>
      </c>
      <c r="BG568" s="7" t="s">
        <v>1503</v>
      </c>
      <c r="BH568" s="1" t="s">
        <v>1947</v>
      </c>
      <c r="BI568" s="2" t="s">
        <v>3723</v>
      </c>
      <c r="BJ568" s="1" t="s">
        <v>1959</v>
      </c>
      <c r="BK568" s="2" t="s">
        <v>3724</v>
      </c>
      <c r="BL568" s="1" t="s">
        <v>1875</v>
      </c>
      <c r="BM568" s="2" t="s">
        <v>3725</v>
      </c>
    </row>
    <row r="569" spans="1:69" ht="108" x14ac:dyDescent="0.45">
      <c r="A569" s="5">
        <v>568</v>
      </c>
      <c r="B569" s="8" t="s">
        <v>378</v>
      </c>
      <c r="C569" s="6" t="s">
        <v>6850</v>
      </c>
      <c r="D569" s="7" t="s">
        <v>9752</v>
      </c>
      <c r="E569" s="6" t="s">
        <v>378</v>
      </c>
      <c r="F569" s="1"/>
      <c r="G569" s="1"/>
      <c r="J569" s="1" t="s">
        <v>9753</v>
      </c>
      <c r="K569" s="2" t="s">
        <v>7900</v>
      </c>
      <c r="L569" s="9" t="s">
        <v>8451</v>
      </c>
      <c r="P569" s="7" t="s">
        <v>1241</v>
      </c>
      <c r="AV569" s="1" t="s">
        <v>1502</v>
      </c>
      <c r="BG569" s="7" t="s">
        <v>1503</v>
      </c>
      <c r="BH569" s="1" t="s">
        <v>2458</v>
      </c>
      <c r="BI569" s="1" t="s">
        <v>7901</v>
      </c>
      <c r="BJ569" s="1" t="s">
        <v>3408</v>
      </c>
      <c r="BK569" s="1" t="s">
        <v>3726</v>
      </c>
      <c r="BL569" s="1" t="s">
        <v>1996</v>
      </c>
      <c r="BM569" s="1" t="s">
        <v>3727</v>
      </c>
      <c r="BN569" s="1" t="s">
        <v>1877</v>
      </c>
      <c r="BO569" s="2" t="s">
        <v>3728</v>
      </c>
    </row>
    <row r="570" spans="1:69" ht="180" x14ac:dyDescent="0.45">
      <c r="A570" s="5">
        <v>569</v>
      </c>
      <c r="B570" s="8" t="s">
        <v>379</v>
      </c>
      <c r="C570" s="6" t="s">
        <v>6850</v>
      </c>
      <c r="D570" s="7" t="s">
        <v>9752</v>
      </c>
      <c r="E570" s="1" t="s">
        <v>1760</v>
      </c>
      <c r="F570" s="1" t="s">
        <v>1555</v>
      </c>
      <c r="G570" s="1" t="s">
        <v>1916</v>
      </c>
      <c r="J570" s="1" t="s">
        <v>9753</v>
      </c>
      <c r="K570" s="2" t="s">
        <v>7902</v>
      </c>
      <c r="L570" s="3" t="s">
        <v>8662</v>
      </c>
      <c r="P570" s="7" t="s">
        <v>1241</v>
      </c>
      <c r="AU570" s="15"/>
      <c r="AV570" s="1" t="s">
        <v>1502</v>
      </c>
      <c r="BG570" s="7" t="s">
        <v>1503</v>
      </c>
      <c r="BH570" s="1" t="s">
        <v>2458</v>
      </c>
      <c r="BI570" s="2" t="s">
        <v>3729</v>
      </c>
      <c r="BJ570" s="1" t="s">
        <v>2036</v>
      </c>
      <c r="BK570" s="1" t="s">
        <v>379</v>
      </c>
      <c r="BL570" s="1" t="s">
        <v>1996</v>
      </c>
      <c r="BM570" s="1" t="s">
        <v>3730</v>
      </c>
      <c r="BN570" s="1" t="s">
        <v>1877</v>
      </c>
      <c r="BO570" s="2" t="s">
        <v>3731</v>
      </c>
    </row>
    <row r="571" spans="1:69" ht="198" x14ac:dyDescent="0.45">
      <c r="A571" s="5">
        <v>570</v>
      </c>
      <c r="B571" s="8" t="s">
        <v>1761</v>
      </c>
      <c r="C571" s="6" t="s">
        <v>6850</v>
      </c>
      <c r="D571" s="7" t="s">
        <v>9752</v>
      </c>
      <c r="E571" s="1" t="s">
        <v>8873</v>
      </c>
      <c r="F571" s="1" t="s">
        <v>1762</v>
      </c>
      <c r="G571" s="1"/>
      <c r="J571" s="1" t="s">
        <v>9753</v>
      </c>
      <c r="K571" s="2" t="s">
        <v>7903</v>
      </c>
      <c r="L571" s="4" t="s">
        <v>8452</v>
      </c>
      <c r="P571" s="7" t="s">
        <v>1241</v>
      </c>
      <c r="Q571" s="14" t="str">
        <f>INDEX($L:$L, MATCH("surgery", $B:$B, 0))</f>
        <v>&lt;span class="w"&gt;&lt;b&gt;【658.surgery：外科手術】&lt;/b&gt;&lt;/span&gt;
&lt;span class="ml"&gt;ギリシャ語に由来する語で、以下の2つの要素から成る。
&lt;span class="spacer"&gt;&lt;/span&gt;kheir（手）
ergon（仕事）
&lt;span class="spacer"&gt;&lt;/span&gt;このまま日本語にすると「手仕事」となる。特に医療において手で行う治療を指し、そこから「外科手術」という意味になった。
&lt;span class="spacer"&gt;&lt;/span&gt;外科医はsurgeonという。&lt;/span&gt;</v>
      </c>
      <c r="R571" s="13" t="str">
        <f>INDEX($L:$L, MATCH("allergy", $B:$B, 0))</f>
        <v>&lt;span class="w"&gt;&lt;b&gt;【957.allergy：アレルギー】&lt;/b&gt;&lt;/span&gt;
&lt;span class="ml"&gt;ギリシャ語をもとに造られた語で、以下の2つの要素から成る。
&lt;span class="spacer"&gt;&lt;/span&gt;allos（異なる, 奇妙な）
ergon（仕事）
&lt;span class="spacer"&gt;&lt;/span&gt;小児科医クレメンス・E・フォン・ピルケによってギリシャ語をもとに造られた語。彼が患者を診察している際、ある物質（ワクチンや花粉など）に再び触れたとき、免疫システムが初回とは異なる（allo）過敏な働き（ergon）をすることに気づき、この2つのギリシャ語を組み合わせて「アレルギー」と名付けた。&lt;/span&gt;</v>
      </c>
      <c r="AU571" s="15"/>
      <c r="AV571" s="1" t="s">
        <v>1502</v>
      </c>
      <c r="BG571" s="7" t="s">
        <v>1503</v>
      </c>
      <c r="BH571" s="1" t="s">
        <v>2458</v>
      </c>
      <c r="BI571" s="2" t="s">
        <v>3732</v>
      </c>
      <c r="BJ571" s="1" t="s">
        <v>1947</v>
      </c>
      <c r="BK571" s="2" t="s">
        <v>3733</v>
      </c>
      <c r="BL571" s="1" t="s">
        <v>1959</v>
      </c>
      <c r="BM571" s="2" t="s">
        <v>3734</v>
      </c>
      <c r="BN571" s="1" t="s">
        <v>1875</v>
      </c>
      <c r="BO571" s="2" t="s">
        <v>3735</v>
      </c>
    </row>
    <row r="572" spans="1:69" ht="252" x14ac:dyDescent="0.45">
      <c r="A572" s="5">
        <v>571</v>
      </c>
      <c r="B572" s="8" t="s">
        <v>1763</v>
      </c>
      <c r="C572" s="6" t="s">
        <v>6850</v>
      </c>
      <c r="D572" s="7" t="s">
        <v>9752</v>
      </c>
      <c r="E572" s="1" t="s">
        <v>1917</v>
      </c>
      <c r="F572" s="1" t="s">
        <v>1698</v>
      </c>
      <c r="G572" s="1"/>
      <c r="J572" s="1" t="s">
        <v>9753</v>
      </c>
      <c r="K572" s="2" t="s">
        <v>7907</v>
      </c>
      <c r="L572" s="4" t="s">
        <v>8453</v>
      </c>
      <c r="M572" s="1" t="s">
        <v>12159</v>
      </c>
      <c r="P572" s="7" t="s">
        <v>1241</v>
      </c>
      <c r="Q572" s="14" t="str">
        <f>INDEX($L:$L, MATCH("decline", $B:$B, 0))</f>
        <v>&lt;span class="w"&gt;&lt;b&gt;【136.decline：減少する, 衰退する, 断る】&lt;/b&gt;&lt;/span&gt;
&lt;span class="ml"&gt;ラテン語に由来する語で、以下の2つの要素から成る。
&lt;span class="spacer"&gt;&lt;/span&gt;de（離れて, 下へ）
clinare（傾ける, 曲げる）
&lt;span class="spacer"&gt;&lt;/span&gt;このまま日本語にすると「傾けて離す, 下へ傾く」となる。「傾けて離す」は何かを横へそらすイメージ。相手の要求やお願いを横へそらすことから「断る」という意味になる。また「下へ傾く」からは「減少する, 衰退する」という意味になる。
&lt;div class="sample_image decline"&gt;&lt;/div&gt;&lt;/span&gt;</v>
      </c>
      <c r="R572" s="14" t="str">
        <f>INDEX($L:$L, MATCH("inclined", $B:$B, 0))</f>
        <v>&lt;span class="w"&gt;&lt;b&gt;【1200.inclined：傾向がある】&lt;/b&gt;&lt;/span&gt;
&lt;span class="ml"&gt;ラテン語に由来する語で、以下の2つの要素から成る。
&lt;span class="spacer"&gt;&lt;/span&gt;in（中に）
clinare（傾く）
&lt;span class="spacer"&gt;&lt;/span&gt;このまま日本語にすると「中に傾く」となる。物理的に何かがある方へ傾くことから、心や性質が対象へ傾くことも表すようになった。
&lt;span class="spacer"&gt;&lt;/span&gt;be inclined to doで「〜すること」に対して心や性質が傾いている、つまり「〜する傾向がある」「〜したい気がする（考えた結果そちらに心が傾いている）」といった意味になる。
&lt;div class="sample_image inclined"&gt;&lt;/div&gt;&lt;/span&gt;</v>
      </c>
      <c r="S572" s="15"/>
      <c r="T572" s="15"/>
      <c r="AU572" s="15"/>
      <c r="AV572" s="1" t="s">
        <v>1502</v>
      </c>
      <c r="BG572" s="7" t="s">
        <v>1503</v>
      </c>
      <c r="BH572" s="1" t="s">
        <v>1947</v>
      </c>
      <c r="BI572" s="2" t="s">
        <v>7908</v>
      </c>
      <c r="BJ572" s="1" t="s">
        <v>2114</v>
      </c>
      <c r="BK572" s="2" t="s">
        <v>3736</v>
      </c>
      <c r="BL572" s="1" t="s">
        <v>1875</v>
      </c>
      <c r="BM572" s="2" t="s">
        <v>3737</v>
      </c>
      <c r="BN572" s="1" t="s">
        <v>1877</v>
      </c>
      <c r="BO572" s="2" t="s">
        <v>3738</v>
      </c>
    </row>
    <row r="573" spans="1:69" ht="234" x14ac:dyDescent="0.45">
      <c r="A573" s="5">
        <v>572</v>
      </c>
      <c r="B573" s="8" t="s">
        <v>1776</v>
      </c>
      <c r="C573" s="6" t="s">
        <v>6850</v>
      </c>
      <c r="D573" s="7" t="s">
        <v>9752</v>
      </c>
      <c r="E573" s="1" t="s">
        <v>1428</v>
      </c>
      <c r="F573" s="1" t="s">
        <v>6427</v>
      </c>
      <c r="G573" s="1" t="s">
        <v>1946</v>
      </c>
      <c r="J573" s="1" t="s">
        <v>9753</v>
      </c>
      <c r="K573" s="2"/>
      <c r="L573" s="3" t="s">
        <v>8454</v>
      </c>
      <c r="M573" s="1" t="s">
        <v>12142</v>
      </c>
      <c r="P573" s="7" t="s">
        <v>1241</v>
      </c>
      <c r="Q573" s="14" t="str">
        <f>INDEX($L:$L, MATCH("culture", $B:$B, 0))</f>
        <v>&lt;span class="w"&gt;&lt;b&gt;【78.culture：文化, 教養, 耕作, 培養】&lt;/b&gt;&lt;/span&gt;
&lt;span class="ml"&gt;ラテン語に由来する語で、以下の2つの要素から成る。
&lt;span class="spacer"&gt;&lt;/span&gt;colere（耕す）
ura（名詞化）
&lt;span class="spacer"&gt;&lt;/span&gt;このまま日本語にすると「耕すこと」となる。もともとは土地を耕し、時間をかけて何かを育てることを意味した。ここから「耕作, 培養」といった意味につながる。
&lt;span class="spacer"&gt;&lt;/span&gt;さらにそこから発展して、作物に限らず、時間をかけて作られるものを意味するようになる。ある民族や集団が長い時間をかけて作り上げる「文化」や、人々が長い時間をかけて蓄積し、作り上げていく学問や文明などの「教養」という意味になる。&lt;/span&gt;</v>
      </c>
      <c r="R573" s="14" t="str">
        <f>INDEX($L:$L, MATCH("agriculture", $B:$B, 0))</f>
        <v>&lt;span class="w"&gt;&lt;b&gt;【375.agriculture：農業】&lt;/b&gt;&lt;/span&gt;
&lt;span class="ml"&gt;ラテン語に由来する語で、以下の2つの要素から成る。
&lt;span class="spacer"&gt;&lt;/span&gt;ager（畑）
cultura（耕すこと, 耕作）
&lt;span class="spacer"&gt;&lt;/span&gt;このまま日本語にすると「畑を耕すこと」となる。ここから「農業」という意味になる。
&lt;span class="spacer"&gt;&lt;/span&gt;culture部分を見ると「文化」という意味が思い浮かぶが、cultureの語源は「耕作」。土地を耕して成熟させるように、人々が発展させてきたものとして「文化」という意味になった。&lt;/span&gt;</v>
      </c>
      <c r="S573" s="13" t="str">
        <f>INDEX($L:$L, MATCH("cultivate", $B:$B, 0))</f>
        <v>&lt;span class="w"&gt;&lt;b&gt;【921.cultivate：〜を栽培する, 〜を養う】&lt;/b&gt;&lt;/span&gt;
&lt;span class="ml"&gt;ラテン語colere（耕作する）に由来する。
&lt;span class="spacer"&gt;&lt;/span&gt;この語の核は「時間をかけて作物が育つ土壌を作り上げる」。そこから、畑を耕作して何かを「栽培する」という意味になり、さらに発展して能力や習慣などを「養う」という意味になった。
&lt;span class="spacer"&gt;&lt;/span&gt;ラテン語colereからは、土を育てるように、人々が時間をかけて作り上げるculture（文化）という語も生まれている。&lt;/span&gt;</v>
      </c>
      <c r="AU573" s="15"/>
      <c r="AV573" s="1" t="s">
        <v>1502</v>
      </c>
      <c r="BG573" s="7" t="s">
        <v>1503</v>
      </c>
      <c r="BH573" s="1" t="s">
        <v>1947</v>
      </c>
      <c r="BI573" s="2" t="s">
        <v>3739</v>
      </c>
      <c r="BJ573" s="1" t="s">
        <v>1875</v>
      </c>
      <c r="BK573" s="2" t="s">
        <v>3740</v>
      </c>
      <c r="BL573" s="1" t="s">
        <v>1877</v>
      </c>
      <c r="BM573" s="2" t="s">
        <v>3741</v>
      </c>
    </row>
    <row r="574" spans="1:69" ht="180" x14ac:dyDescent="0.45">
      <c r="A574" s="5">
        <v>573</v>
      </c>
      <c r="B574" s="8" t="s">
        <v>1764</v>
      </c>
      <c r="C574" s="6" t="s">
        <v>6850</v>
      </c>
      <c r="D574" s="7" t="s">
        <v>9752</v>
      </c>
      <c r="E574" s="1" t="s">
        <v>8963</v>
      </c>
      <c r="F574" s="1" t="s">
        <v>1687</v>
      </c>
      <c r="G574" s="1" t="s">
        <v>1765</v>
      </c>
      <c r="J574" s="1" t="s">
        <v>9753</v>
      </c>
      <c r="K574" s="2" t="s">
        <v>7909</v>
      </c>
      <c r="L574" s="4" t="s">
        <v>8455</v>
      </c>
      <c r="P574" s="7" t="s">
        <v>1241</v>
      </c>
      <c r="Q574" s="16"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R574" s="16" t="str">
        <f>INDEX($L:$L, MATCH("institution", $B:$B, 0))</f>
        <v>&lt;span class="w"&gt;&lt;b&gt;【355.institution：機関, 制度】&lt;/b&gt;&lt;/span&gt;
&lt;span class="ml"&gt;ラテン語に由来する語で、以下の3つの要素から成る。
&lt;span class="spacer"&gt;&lt;/span&gt;in（中に）
statuere（立てる, 設置する）
io（名詞化）
&lt;span class="spacer"&gt;&lt;/span&gt;このまま日本語にすると「中に立てること, 中に設置すること」となる。何かを中に立てて定着させるイメージから、社会の中に作られた仕組み＝「制度」という意味になる。またそういった仕組みを持つ組織＝「機関」という意味にもなる。
&lt;div class="sample_image institution"&gt;&lt;/div&gt;&lt;/span&gt;</v>
      </c>
      <c r="S574" s="16"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T574" s="16"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U574" s="19" t="str">
        <f>INDEX($L:$L, MATCH("topic", $B:$B, 0))</f>
        <v>&lt;span class="w"&gt;&lt;b&gt;【254.topic：話題, 主題】&lt;/b&gt;&lt;/span&gt;
&lt;span class="ml"&gt;アリストテレスの著作Ta Topika（直訳：場所に関する事柄）に由来する。
&lt;span class="spacer"&gt;&lt;/span&gt;物理的な場所を意味した語を、アリストテレスは比喩的に、議論のお題を置いておく頭の中の場所（≒頭の引き出し）という意味で使用した。
&lt;span class="spacer"&gt;&lt;/span&gt;こういう場合はこの引き出しを使うといったパターンの提示だったが、次第に引き出しという意味からその中身にシフトし、「話題, 主題」という意味になる。
&lt;span class="spacer"&gt;&lt;/span&gt;これは、初対面の会話で困ったら「天気の場所」の次に「趣味の場所」を開けなさいという場所の提示だったものが、「天気の話」や「趣味の話」という話題そのものを意味するようになったイメージ。&lt;/span&gt;</v>
      </c>
      <c r="V574" s="18"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W574" s="18"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X574" s="18" t="str">
        <f>INDEX($L:$L, MATCH("contrast", $B:$B, 0))</f>
        <v>&lt;span class="w"&gt;&lt;b&gt;【245.contrast：対照】&lt;/b&gt;&lt;/span&gt;
&lt;span class="ml"&gt;ラテン語に由来する語で、以下の2つの要素から成る。
&lt;span class="spacer"&gt;&lt;/span&gt;contra（～に対して）
stare（立つ）
&lt;span class="spacer"&gt;&lt;/span&gt;このまま日本語にすると「反対に立つ」となる。あるものと反対に立つものを比べて違いがはっきりするイメージから「対照」という意味になる。&lt;/span&gt;</v>
      </c>
      <c r="Y574" s="18"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Z574" s="18" t="str">
        <f>INDEX($L:$L, MATCH("insist", $B:$B, 0))</f>
        <v>&lt;span class="w"&gt;&lt;b&gt;【427.insist：主張する】&lt;/b&gt;&lt;/span&gt;
&lt;span class="ml"&gt;ラテン語に由来する語で、以下の2つの要素から成る。
&lt;span class="spacer"&gt;&lt;/span&gt;in（中に, 上に）
sistere（立たせる）
&lt;span class="spacer"&gt;&lt;/span&gt;このまま日本語にすると「上に立たせる」となる。これは、ある場所や立場にしっかり立たせるイメージ。そこから、自分の立場にしっかり立って動かないことを表し、「強く主張する」という意味になる。
&lt;div class="sample_image insist"&gt;&lt;/div&gt;&lt;/span&gt;</v>
      </c>
      <c r="AA574" s="18" t="str">
        <f>INDEX($L:$L, MATCH("consist", $B:$B, 0))</f>
        <v>&lt;span class="w"&gt;&lt;b&gt;【440.consist：(of ~)～から成る, (in ~)～にある】&lt;/b&gt;&lt;/span&gt;
&lt;span class="ml"&gt;ラテン語に由来する語で、以下の2つの要素から成る。
&lt;span class="spacer"&gt;&lt;/span&gt;com（強意）
sistere（立たせる）
&lt;span class="spacer"&gt;&lt;/span&gt;このまま日本語にすると「しっかり立たせる」となる。
&lt;span class="spacer"&gt;&lt;/span&gt;［S consist &lt;strong&gt;of&lt;/strong&gt; A］
これは「Sは、Aがあることでしっかり立っていられる」というイメージ。逆に言えば、AがなければSは成り立たない。そこから、「SはAから成る」という意味になる。
このofは、be made of（〜でできている）と同じ。
&lt;span class="spacer"&gt;&lt;/span&gt;［S consist &lt;strong&gt;in&lt;/strong&gt; A］
これは「Sが、Aの中にしっかり立っている」というイメージ。そこから、「SはA（の中）にある」という意味になる。&lt;/span&gt;</v>
      </c>
      <c r="AB574" s="18"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AC574" s="18"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AD574" s="18"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AE574" s="18" t="str">
        <f>INDEX($L:$L, MATCH("arrest", $B:$B, 0))</f>
        <v>&lt;span class="w"&gt;&lt;b&gt;【1004.arrest：〜を逮捕する, 〜を止める, （注意）を引く】&lt;/b&gt;&lt;/span&gt;
&lt;span class="ml"&gt;ラテン語に由来する語で、以下の3つの要素から成る。
&lt;span class="spacer"&gt;&lt;/span&gt;ad（〜へ）
re（後ろへ）
stare（立つ）
&lt;span class="spacer"&gt;&lt;/span&gt;この語の核は「何かを後ろへ立たせて動けないようにする」。進行していくものや離れていくものへ手を伸ばし、後ろに立たせて進めないようにするイメージから、何かの進行を「止める」という意味になった。
&lt;span class="spacer"&gt;&lt;/span&gt;また法的な拘束力で相手を止めて動けなくする＝「逮捕する」という意味や、さまざまな方に向く相手の注意を「引き止めて離さない」という意味にもなった。
&lt;div class="sample_image arrest"&gt;&lt;/div&gt;&lt;/span&gt;</v>
      </c>
      <c r="AF574" s="18"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AG574" s="18"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U574" s="15"/>
      <c r="AV574" s="1" t="s">
        <v>1502</v>
      </c>
      <c r="BG574" s="7" t="s">
        <v>1503</v>
      </c>
      <c r="BH574" s="1" t="s">
        <v>1947</v>
      </c>
      <c r="BI574" s="2" t="s">
        <v>7910</v>
      </c>
      <c r="BJ574" s="1" t="s">
        <v>1994</v>
      </c>
      <c r="BK574" s="1" t="s">
        <v>3742</v>
      </c>
      <c r="BL574" s="1" t="s">
        <v>3408</v>
      </c>
      <c r="BM574" s="1" t="s">
        <v>3743</v>
      </c>
      <c r="BN574" s="1" t="s">
        <v>3460</v>
      </c>
      <c r="BO574" s="2" t="s">
        <v>7911</v>
      </c>
      <c r="BP574" s="1" t="s">
        <v>1877</v>
      </c>
      <c r="BQ574" s="2" t="s">
        <v>3744</v>
      </c>
    </row>
    <row r="575" spans="1:69" ht="126" x14ac:dyDescent="0.45">
      <c r="A575" s="5">
        <v>574</v>
      </c>
      <c r="B575" s="8" t="s">
        <v>380</v>
      </c>
      <c r="C575" s="6" t="s">
        <v>6850</v>
      </c>
      <c r="D575" s="7" t="s">
        <v>9752</v>
      </c>
      <c r="E575" s="6" t="s">
        <v>380</v>
      </c>
      <c r="F575" s="1"/>
      <c r="G575" s="1"/>
      <c r="J575" s="1" t="s">
        <v>9753</v>
      </c>
      <c r="K575" s="3" t="s">
        <v>7944</v>
      </c>
      <c r="L575" s="2" t="s">
        <v>8456</v>
      </c>
      <c r="P575" s="7" t="s">
        <v>1241</v>
      </c>
      <c r="AU575" s="15"/>
      <c r="AV575" s="1" t="s">
        <v>1502</v>
      </c>
      <c r="BG575" s="7" t="s">
        <v>1503</v>
      </c>
      <c r="BH575" s="1" t="s">
        <v>1947</v>
      </c>
      <c r="BI575" s="2" t="s">
        <v>3745</v>
      </c>
      <c r="BJ575" s="1" t="s">
        <v>1959</v>
      </c>
      <c r="BK575" s="2" t="s">
        <v>3746</v>
      </c>
      <c r="BL575" s="1" t="s">
        <v>1875</v>
      </c>
      <c r="BM575" s="2" t="s">
        <v>3747</v>
      </c>
    </row>
    <row r="576" spans="1:69" ht="144" x14ac:dyDescent="0.45">
      <c r="A576" s="5">
        <v>575</v>
      </c>
      <c r="B576" s="8" t="s">
        <v>1766</v>
      </c>
      <c r="C576" s="6" t="s">
        <v>6850</v>
      </c>
      <c r="D576" s="7" t="s">
        <v>9752</v>
      </c>
      <c r="E576" s="1" t="s">
        <v>27</v>
      </c>
      <c r="F576" s="1" t="s">
        <v>8964</v>
      </c>
      <c r="G576" s="1" t="s">
        <v>1698</v>
      </c>
      <c r="J576" s="1" t="s">
        <v>9753</v>
      </c>
      <c r="K576" s="2" t="s">
        <v>7912</v>
      </c>
      <c r="L576" s="3" t="s">
        <v>8457</v>
      </c>
      <c r="M576" s="1" t="s">
        <v>12185</v>
      </c>
      <c r="P576" s="7" t="s">
        <v>1241</v>
      </c>
      <c r="Q576" s="13" t="str">
        <f>INDEX($L:$L, MATCH("progress", $B:$B, 0))</f>
        <v>&lt;span class="w"&gt;&lt;b&gt;【278.progress：進歩, 前進】&lt;/b&gt;&lt;/span&gt;
&lt;span class="ml"&gt;ラテン語に由来する語で、以下の2つの要素から成る。
&lt;span class="spacer"&gt;&lt;/span&gt;pro（前に）
gradus（一歩）から派生したgradi（進む, 歩く）
&lt;span class="spacer"&gt;&lt;/span&gt;この語の核は「前に一歩踏み出して進む」となる。ここから「前進, 進歩」という意味になる。
&lt;div class="sample_image progress"&gt;&lt;/div&gt;&lt;/span&gt;</v>
      </c>
      <c r="R576" s="13" t="str">
        <f>INDEX($L:$L, MATCH("aggressive", $B:$B, 0))</f>
        <v>&lt;span class="w"&gt;&lt;b&gt;【592.aggressive：攻撃的な】&lt;/b&gt;&lt;/span&gt;
&lt;span class="ml"&gt;ラテン語に由来する語で、以下の2つの要素から成る。
&lt;span class="spacer"&gt;&lt;/span&gt;ad（〜へ）
gradus（一歩）から派生した動詞gradi（歩く, 進む）
&lt;span class="obsolete"&gt;ive（形容詞化）は英語段階で付いた&lt;/span&gt;
&lt;span class="spacer"&gt;&lt;/span&gt;このまま日本語にすると「〜へ歩き進む」となり、対象への接近や、さらに襲いかかる・攻撃することを表した。ここから「攻撃的な」という意味になった。&lt;/span&gt;</v>
      </c>
      <c r="S576" s="13" t="str">
        <f>INDEX($L:$L, MATCH("congress", $B:$B, 0))</f>
        <v>&lt;span class="w"&gt;&lt;b&gt;【1145.congress：米国議会, 会議】&lt;/b&gt;&lt;/span&gt;
&lt;span class="ml"&gt;ラテン語に由来する語で、以下の2つの要素から成る。
&lt;span class="spacer"&gt;&lt;/span&gt;com（共に）
gradus（一歩）から派生したgradi（歩く）
&lt;span class="spacer"&gt;&lt;/span&gt;この語の核は「共に歩み寄ること」。もともとは、歩いてきて人が同じ場所に集まることから「会合」や「会議」という意味になった。その後、アメリカ合衆国において、連邦議会の名称としてCongressが採用されて「米国議会」という意味になった。
&lt;div class="sample_image congress"&gt;&lt;/div&gt;&lt;/span&gt;</v>
      </c>
      <c r="T576" s="13" t="str">
        <f>INDEX($L:$L, MATCH("gradual", $B:$B, 0))</f>
        <v>&lt;span class="w"&gt;&lt;b&gt;【1391.gradual：徐々の, 緩やかな】&lt;/b&gt;&lt;/span&gt;
&lt;span class="ml"&gt;ラテン語に由来する語で、以下の2つの要素から成る。
&lt;span class="spacer"&gt;&lt;/span&gt;gradus（一歩, 登る段, 物事の段階）
alis（形容詞化）
&lt;span class="spacer"&gt;&lt;/span&gt;この語の核は「一歩一歩すすむ」。
一歩ずつ、あるいは一段ずつ進むことから、物事が一気に飛躍するのではなく、段階的に変化する＝「徐々の, 緩やかな」という意味になった。
&lt;div class="sample_image gradual"&gt;&lt;/div&gt;&lt;/span&gt;</v>
      </c>
      <c r="U576" s="13" t="str">
        <f>INDEX($L:$L, MATCH("undergraduate", $B:$B, 0))</f>
        <v>&lt;span class="w"&gt;&lt;b&gt;【1167.undergraduate：学部生】&lt;/b&gt;&lt;/span&gt;
&lt;span class="ml"&gt;近代英語にさかのぼり、以下の2つの要素から成る。
&lt;span class="spacer"&gt;&lt;/span&gt;under（下に）
graduate（卒業生, 学位取得者）
&lt;span class="spacer"&gt;&lt;/span&gt;大学卒業生＝最初の学位（学士号）を取得した人の下の段階を表すことから、「学部生（大学生）」という意味になる。&lt;/span&gt;</v>
      </c>
      <c r="AU576" s="15"/>
      <c r="AV576" s="1" t="s">
        <v>1502</v>
      </c>
      <c r="BG576" s="7" t="s">
        <v>1503</v>
      </c>
      <c r="BH576" s="1" t="s">
        <v>2034</v>
      </c>
      <c r="BI576" s="2" t="s">
        <v>3748</v>
      </c>
      <c r="BJ576" s="1" t="s">
        <v>1875</v>
      </c>
      <c r="BK576" s="2" t="s">
        <v>3749</v>
      </c>
    </row>
    <row r="577" spans="1:71" ht="90" x14ac:dyDescent="0.45">
      <c r="A577" s="5">
        <v>576</v>
      </c>
      <c r="B577" s="8" t="s">
        <v>381</v>
      </c>
      <c r="C577" s="6" t="s">
        <v>6850</v>
      </c>
      <c r="D577" s="7" t="s">
        <v>9752</v>
      </c>
      <c r="E577" s="6" t="s">
        <v>381</v>
      </c>
      <c r="F577" s="1"/>
      <c r="G577" s="1"/>
      <c r="J577" s="1" t="s">
        <v>9753</v>
      </c>
      <c r="K577" s="2" t="s">
        <v>7913</v>
      </c>
      <c r="L577" s="9" t="s">
        <v>8458</v>
      </c>
      <c r="P577" s="7" t="s">
        <v>1241</v>
      </c>
      <c r="AU577" s="15"/>
      <c r="AV577" s="1" t="s">
        <v>1502</v>
      </c>
      <c r="BG577" s="7" t="s">
        <v>1503</v>
      </c>
      <c r="BH577" s="1" t="s">
        <v>2458</v>
      </c>
      <c r="BI577" s="2" t="s">
        <v>7914</v>
      </c>
      <c r="BJ577" s="1" t="s">
        <v>1947</v>
      </c>
      <c r="BK577" s="2" t="s">
        <v>3750</v>
      </c>
      <c r="BL577" s="1" t="s">
        <v>3751</v>
      </c>
      <c r="BM577" s="2" t="s">
        <v>3752</v>
      </c>
      <c r="BN577" s="1" t="s">
        <v>1959</v>
      </c>
      <c r="BO577" s="2" t="s">
        <v>3753</v>
      </c>
      <c r="BP577" s="1" t="s">
        <v>1875</v>
      </c>
      <c r="BQ577" s="2" t="s">
        <v>3754</v>
      </c>
      <c r="BR577" s="1" t="s">
        <v>1877</v>
      </c>
      <c r="BS577" s="2" t="s">
        <v>3755</v>
      </c>
    </row>
    <row r="578" spans="1:71" ht="270" x14ac:dyDescent="0.45">
      <c r="A578" s="5">
        <v>577</v>
      </c>
      <c r="B578" s="8" t="s">
        <v>1768</v>
      </c>
      <c r="C578" s="6" t="s">
        <v>6850</v>
      </c>
      <c r="D578" s="7" t="s">
        <v>9752</v>
      </c>
      <c r="E578" s="1" t="s">
        <v>46</v>
      </c>
      <c r="F578" s="1" t="s">
        <v>1408</v>
      </c>
      <c r="G578" s="1"/>
      <c r="J578" s="1" t="s">
        <v>9753</v>
      </c>
      <c r="K578" s="2" t="s">
        <v>7915</v>
      </c>
      <c r="L578" s="3" t="s">
        <v>8459</v>
      </c>
      <c r="M578" s="1" t="s">
        <v>12178</v>
      </c>
      <c r="P578" s="7" t="s">
        <v>1241</v>
      </c>
      <c r="Q578" s="14" t="str">
        <f>INDEX($L:$L, MATCH("attract", $B:$B, 0))</f>
        <v>&lt;span class="w"&gt;&lt;b&gt;【222.attract：～を引きつける】&lt;/b&gt;&lt;/span&gt;
&lt;span class="ml"&gt;ラテン語に由来する語で、以下の2つの要素から成る。
&lt;span class="spacer"&gt;&lt;/span&gt;ad（～へ）
trahere（引く）
&lt;span class="spacer"&gt;&lt;/span&gt;このまま日本語にすると「〜へ引く」となる。対象を何かへ引き寄せることから、注意や視線などを「引きつける」という意味になる。&lt;/span&gt;</v>
      </c>
      <c r="R578" s="14" t="str">
        <f>INDEX($L:$L, MATCH("distract", $B:$B, 0))</f>
        <v>&lt;span class="w"&gt;&lt;b&gt;【1020.distract：（注意など）をそらす】&lt;/b&gt;&lt;/span&gt;
&lt;span class="ml"&gt;ラテン語に由来する語で、以下の2つの要素から成る。
&lt;span class="spacer"&gt;&lt;/span&gt;dis（離れて）
trahere（引く）
&lt;span class="spacer"&gt;&lt;/span&gt;このまま日本語にすると「離れたところへ引く」となる。人の心や注意を異なる方へ引っぱることから、心や注意を「そらす」という意味になる。
&lt;div class="sample_image distract"&gt;&lt;/div&gt;&lt;/span&gt;</v>
      </c>
      <c r="S578" s="14" t="str">
        <f>INDEX($L:$L, MATCH("extract", $B:$B, 0))</f>
        <v>&lt;span class="w"&gt;&lt;b&gt;【1138.extract：〜を取り出す, 〜を抽出する】&lt;/b&gt;&lt;/span&gt;
&lt;span class="ml"&gt;ラテン語に由来する語で、以下の2つの要素から成る。
&lt;span class="spacer"&gt;&lt;/span&gt;ex（外に）
trahere（引く）
&lt;span class="spacer"&gt;&lt;/span&gt;このまま日本語にすると「外に引く」となり、何かを「取り出す, 抽出する」という意味になる。&lt;/span&gt;</v>
      </c>
      <c r="T578" s="14" t="str">
        <f>INDEX($L:$L, MATCH("abstract", $B:$B, 0))</f>
        <v>&lt;span class="w"&gt;&lt;b&gt;【586.abstract：抽象的な】&lt;/b&gt;&lt;/span&gt;
&lt;span class="ml"&gt;ラテン語に由来する語で、以下の2つの要素から成る。
&lt;span class="spacer"&gt;&lt;/span&gt;ab（離れて）
trahere（引く）
&lt;span class="spacer"&gt;&lt;/span&gt;このまま日本語にすると「引き離す」となる。もともとは、物理的にある物質から特定のものを引き離すことを表した。&lt;span class="obsolete"&gt;現在でも動詞abstructは「抽出する」を意味する。&lt;/span&gt;
&lt;span class="spacer"&gt;&lt;/span&gt;そして物理的な動作から思考プロセスへと意味が広がる。目に見える具体的な事物（リンゴ、バナナ、イチゴなど）から、共通する性質や本質（＝果物という概念）だけを「引き離して頭の中で考える」ことを指すようになり、「抽象的な」という意味になった。
&lt;div class="sample_image abstract"&gt;&lt;/div&gt;&lt;/span&gt;</v>
      </c>
      <c r="U578" s="15"/>
      <c r="V578" s="15"/>
      <c r="W578" s="15"/>
      <c r="X578" s="15"/>
      <c r="Y578" s="15"/>
      <c r="AU578" s="15"/>
      <c r="AV578" s="1" t="s">
        <v>1502</v>
      </c>
      <c r="BG578" s="7" t="s">
        <v>1503</v>
      </c>
      <c r="BH578" s="1" t="s">
        <v>2034</v>
      </c>
      <c r="BI578" s="2" t="s">
        <v>3756</v>
      </c>
      <c r="BJ578" s="1" t="s">
        <v>1959</v>
      </c>
      <c r="BK578" s="1" t="s">
        <v>3757</v>
      </c>
      <c r="BL578" s="1" t="s">
        <v>1875</v>
      </c>
      <c r="BM578" s="2" t="s">
        <v>3758</v>
      </c>
      <c r="BN578" s="1" t="s">
        <v>1877</v>
      </c>
      <c r="BO578" s="2" t="s">
        <v>3759</v>
      </c>
    </row>
    <row r="579" spans="1:71" ht="198" x14ac:dyDescent="0.45">
      <c r="A579" s="5">
        <v>578</v>
      </c>
      <c r="B579" s="8" t="s">
        <v>382</v>
      </c>
      <c r="C579" s="6" t="s">
        <v>6850</v>
      </c>
      <c r="D579" s="7" t="s">
        <v>9752</v>
      </c>
      <c r="E579" s="1" t="s">
        <v>1769</v>
      </c>
      <c r="F579" s="1" t="s">
        <v>705</v>
      </c>
      <c r="G579" s="1"/>
      <c r="J579" s="1" t="s">
        <v>9753</v>
      </c>
      <c r="K579" s="2" t="s">
        <v>7916</v>
      </c>
      <c r="L579" s="9" t="s">
        <v>8460</v>
      </c>
      <c r="P579" s="7" t="s">
        <v>1241</v>
      </c>
      <c r="Q579" s="13" t="str">
        <f>INDEX($L:$L, MATCH("fare", $B:$B, 0))</f>
        <v>&lt;span class="w"&gt;&lt;b&gt;【963.fare：運賃, 乗り物の料金】&lt;/b&gt;&lt;/span&gt;
&lt;span class="ml"&gt;古英語fær（旅, 道, 通行）にさかのぼる。
&lt;span class="spacer"&gt;&lt;/span&gt;この語の核は「旅」。もともとは旅自体や、それに関連する旅で行く道、どこかを通行することなどを表した。そこから、スコットランドにおいて、乗り物による運送という意味へ発展し、旅というニュアンスが乗り物による移動へと変化した。その結果、「運賃, 乗り物の料金」という意味になった。&lt;/span&gt;</v>
      </c>
      <c r="AV579" s="1" t="s">
        <v>1502</v>
      </c>
      <c r="BG579" s="7" t="s">
        <v>1503</v>
      </c>
      <c r="BH579" s="1" t="s">
        <v>1872</v>
      </c>
      <c r="BI579" s="1" t="s">
        <v>3760</v>
      </c>
      <c r="BJ579" s="1" t="s">
        <v>1875</v>
      </c>
      <c r="BK579" s="2" t="s">
        <v>3761</v>
      </c>
      <c r="BL579" s="1" t="s">
        <v>3496</v>
      </c>
      <c r="BM579" s="2" t="s">
        <v>3762</v>
      </c>
    </row>
    <row r="580" spans="1:71" ht="180" x14ac:dyDescent="0.45">
      <c r="A580" s="5">
        <v>579</v>
      </c>
      <c r="B580" s="8" t="s">
        <v>1770</v>
      </c>
      <c r="C580" s="6" t="s">
        <v>6851</v>
      </c>
      <c r="D580" s="7" t="s">
        <v>9752</v>
      </c>
      <c r="E580" s="1" t="s">
        <v>383</v>
      </c>
      <c r="F580" s="1"/>
      <c r="G580" s="1"/>
      <c r="J580" s="1" t="s">
        <v>9753</v>
      </c>
      <c r="K580" s="2"/>
      <c r="L580" s="4" t="s">
        <v>8461</v>
      </c>
      <c r="M580" s="1" t="s">
        <v>12211</v>
      </c>
      <c r="P580" s="7" t="s">
        <v>1241</v>
      </c>
      <c r="Q580" s="14" t="str">
        <f>INDEX($L:$L, MATCH("primitive", $B:$B, 0))</f>
        <v>&lt;span class="w"&gt;&lt;b&gt;【786.primitive：原始的な】&lt;/b&gt;&lt;/span&gt;
&lt;span class="ml"&gt;ラテン語に由来する語で、以下の2つの要素から成る。
&lt;span class="spacer"&gt;&lt;/span&gt;primus（第一の, 最初の）
ivus（形容詞化）
&lt;span class="spacer"&gt;&lt;/span&gt;この語の核は「初期の時代」。人類や社会の発展において、初期の時代に属するということから「原始的な」という意味になった。&lt;/span&gt;</v>
      </c>
      <c r="R580" s="14" t="str">
        <f>INDEX($L:$L, MATCH("primate", $B:$B, 0))</f>
        <v>&lt;span class="w"&gt;&lt;b&gt;【775.primate：霊長類, 霊長目の動物】&lt;/b&gt;&lt;/span&gt;
&lt;span class="ml"&gt;ラテン語primus（第一の）に由来する。
&lt;span class="spacer"&gt;&lt;/span&gt;この語の核は「第一のもの」。もともとは、キリスト教において、教区内で聖職者の最高位である「大司教」を意味した。
&lt;span class="spacer"&gt;&lt;/span&gt;さらにそこから、近代において、あらゆる動物の中で哺乳類が最高位と見なされていたことから「霊長類, 霊長目の動物」という意味になり、こちらが一般的に使われるようになった。&lt;/span&gt;</v>
      </c>
      <c r="S580" s="14" t="str">
        <f>INDEX($L:$L, MATCH("principle", $B:$B, 0))</f>
        <v>&lt;span class="w"&gt;&lt;b&gt;【343.principle：原理, 原則, 主義, 信条】&lt;/b&gt;&lt;/span&gt;
&lt;span class="ml"&gt;ラテン語に由来する語で、以下の2つの要素から成る。
&lt;span class="spacer"&gt;&lt;/span&gt;primus（第一の）
capere（取る）
&lt;span class="spacer"&gt;&lt;/span&gt;このまま日本語にすると「第一を取る」となる。1番目のポジションを取ることから、何かが成り立つための土台＝「原理, 原則」や、行動の土台となる「主義, 信条」という意味になる。&lt;/span&gt;</v>
      </c>
      <c r="T580" s="14" t="str">
        <f>INDEX($L:$L, MATCH("principal", $B:$B, 0))</f>
        <v>&lt;span class="w"&gt;&lt;b&gt;【683.principal：主要な】&lt;/b&gt;&lt;/span&gt;
&lt;span class="ml"&gt;ラテン語に由来する語で、以下の3つの要素から成る。
&lt;span class="spacer"&gt;&lt;/span&gt;primus（第一の）
capere（取る）
alis（形容詞化）
&lt;span class="spacer"&gt;&lt;/span&gt;この語の核は「第一の位置を取る」。集団や集合の中における第一の位置とは、最も重要な位置ということ。ここから「主要な」という意味になる。&lt;/span&gt;</v>
      </c>
      <c r="AU580" s="15"/>
      <c r="AV580" s="1" t="s">
        <v>1502</v>
      </c>
      <c r="BG580" s="7" t="s">
        <v>1503</v>
      </c>
      <c r="BH580" s="1" t="s">
        <v>1976</v>
      </c>
      <c r="BI580" s="2" t="s">
        <v>3763</v>
      </c>
      <c r="BJ580" s="1" t="s">
        <v>3764</v>
      </c>
      <c r="BK580" s="2" t="s">
        <v>3765</v>
      </c>
      <c r="BL580" s="1" t="s">
        <v>2034</v>
      </c>
      <c r="BM580" s="2" t="s">
        <v>3766</v>
      </c>
      <c r="BN580" s="1" t="s">
        <v>1959</v>
      </c>
      <c r="BO580" s="1" t="s">
        <v>383</v>
      </c>
      <c r="BP580" s="1" t="s">
        <v>1875</v>
      </c>
      <c r="BQ580" s="2" t="s">
        <v>3767</v>
      </c>
      <c r="BR580" s="1" t="s">
        <v>1877</v>
      </c>
      <c r="BS580" s="2" t="s">
        <v>3768</v>
      </c>
    </row>
    <row r="581" spans="1:71" ht="396" x14ac:dyDescent="0.45">
      <c r="A581" s="5">
        <v>580</v>
      </c>
      <c r="B581" s="8" t="s">
        <v>384</v>
      </c>
      <c r="C581" s="6" t="s">
        <v>6851</v>
      </c>
      <c r="D581" s="7" t="s">
        <v>9752</v>
      </c>
      <c r="E581" s="1" t="s">
        <v>1771</v>
      </c>
      <c r="F581" s="1" t="s">
        <v>1548</v>
      </c>
      <c r="G581" s="1"/>
      <c r="J581" s="1" t="s">
        <v>9753</v>
      </c>
      <c r="K581" s="2" t="s">
        <v>7917</v>
      </c>
      <c r="L581" s="3" t="s">
        <v>8462</v>
      </c>
      <c r="M581" s="1" t="s">
        <v>12202</v>
      </c>
      <c r="P581" s="7" t="s">
        <v>1241</v>
      </c>
      <c r="Q581" s="14" t="str">
        <f>INDEX($L:$L, MATCH("secure", $B:$B, 0))</f>
        <v>&lt;span class="w"&gt;&lt;b&gt;【721.secure：〜を確保する, 〜を守る】&lt;/b&gt;&lt;/span&gt;
&lt;span class="ml"&gt;ラテン語に由来する語で、以下の2つの要素から成る。
&lt;span class="spacer"&gt;&lt;/span&gt;se（離れて）
cura（心配）
&lt;span class="spacer"&gt;&lt;/span&gt;このまま日本語にすると「心配から離れた」となる。心配から解放された安全な状態にすることから、なくなる心配がないように何かを「確保する」という意味になった。&lt;/span&gt;</v>
      </c>
      <c r="R581" s="14" t="str">
        <f>INDEX($L:$L, MATCH("assure", $B:$B, 0))</f>
        <v>&lt;span class="w"&gt;&lt;b&gt;【1301.assure：〜保証する, 〜に自信を持って言う】&lt;/b&gt;&lt;/span&gt;
&lt;span class="ml"&gt;ラテン語に由来する語で、以下の3つの要素から成る。
&lt;span class="spacer"&gt;&lt;/span&gt;ad（〜へ）
se（離れて）
cura（注意）
&lt;span class="spacer"&gt;&lt;/span&gt;このまま日本語にすると「対象を注意から離れた状態にする」となる。相手を心配がない状態にすることから、何かを「保証する, 自信を持って言う」という意味になる。
&lt;div class="sample_image assure"&gt;&lt;/div&gt;
&lt;span class="spacer"&gt;&lt;/span&gt;ラテン語se（離れて）＋cura（注意）からは、英語のsure（確信して）やsecure（安全な）も生まれている。
&lt;span class="spacer"&gt;&lt;/span&gt;どちらも核は、注意から離れている状態。注意（や心配）から解放されているということが、一切の不安のない確信（sure）や安全（secure）へとつながった。
&lt;span class="spacer"&gt;&lt;/span&gt;このイメージからassureは、相手へ確信や安心をもたらすように「保証する, 自信をもって言う」と考えればよい。&lt;/span&gt;</v>
      </c>
      <c r="S581" s="14" t="str">
        <f>INDEX($L:$L, MATCH("ensure", $B:$B, 0))</f>
        <v>&lt;span class="w"&gt;&lt;b&gt;【509.ensure：～を確実にする】&lt;/b&gt;&lt;/span&gt;
&lt;span class="ml"&gt;古フランス語に由来する語で、以下の2つの要素から成る。
&lt;span class="spacer"&gt;&lt;/span&gt;en（動詞化）
seur（確実な, 確かな：sureの語源）
&lt;span class="spacer"&gt;&lt;/span&gt;このまま日本語にすると「確実な状態にする」となる。つまり「何かが確実にそうなるようにする」というイメージで、ここから「〜を確実にする」という意味になる。&lt;/span&gt;</v>
      </c>
      <c r="T581" s="14" t="str">
        <f>INDEX($L:$L, MATCH("insurance", $B:$B, 0))</f>
        <v>&lt;span class="w"&gt;&lt;b&gt;【659.insurance：保険】&lt;/b&gt;&lt;/span&gt;
&lt;span class="ml"&gt;この語は2段階で考える。
sura部分は英語のsureと同じ。ラテン語に由来し、以下の2つの要素から成る。
&lt;span class="spacer"&gt;&lt;/span&gt;se（離れて）
cura（心配）
&lt;span class="spacer"&gt;&lt;/span&gt;sura部分は「心配から離れて安全・確実」というイメージ。
&lt;span class="spacer"&gt;&lt;/span&gt;このラテン語から古フランス語になって、以下の3つの要素からinsuranceが出来上がる。
&lt;span class="spacer"&gt;&lt;/span&gt;en（〜にする）
sur（安全な, 確実な）
ance（名詞化）
&lt;span class="spacer"&gt;&lt;/span&gt;このまま日本語にすると「（心配を取り除いて）確実で安全な状態にすること」となる。ここからリスクに対する不安を取り除き、安全な状態にする「保険」という意味になった。
&lt;div class="sample_image insurance"&gt;&lt;/div&gt;&lt;/span&gt;</v>
      </c>
      <c r="U581" s="14" t="str">
        <f>INDEX($L:$L, MATCH("cure", $B:$B, 0))</f>
        <v>&lt;span class="w"&gt;&lt;b&gt;【527.cure：〜を治す, 〜を取り除く, 病気が治る】&lt;/b&gt;&lt;/span&gt;
&lt;span class="ml"&gt;ラテン語curare（世話をする）に由来する。
&lt;span class="spacer"&gt;&lt;/span&gt;これは対象の状態に注意を払い、管理し、整えることを意味する。医療的な文脈では、病人の世話をして健康な状態へ導くことから、「病気を治す, 病を取り除く, 病気が治る」という意味になる。&lt;/span&gt;</v>
      </c>
      <c r="V581" s="13" t="str">
        <f>INDEX($L:$L, MATCH("accurate", $B:$B, 0))</f>
        <v>&lt;span class="w"&gt;&lt;b&gt;【382.accurate：正確な, 精密な】&lt;/b&gt;&lt;/span&gt;
&lt;span class="ml"&gt;ラテン語に由来する語で、以下の2つの要素から成る。
&lt;span class="spacer"&gt;&lt;/span&gt;ad（～へ）
cura（注意）から派生したcurare（注意を払う）
&lt;span class="spacer"&gt;&lt;/span&gt;このまま日本語にすると「対象へ注意を払う」となる。ここから何かを注意深く念入りに行うことから「正確な, 精密な」という意味になる。&lt;/span&gt;</v>
      </c>
      <c r="AU581" s="15"/>
      <c r="AV581" s="1" t="s">
        <v>1502</v>
      </c>
      <c r="BG581" s="7" t="s">
        <v>1503</v>
      </c>
      <c r="BH581" s="1" t="s">
        <v>2034</v>
      </c>
      <c r="BI581" s="2" t="s">
        <v>7918</v>
      </c>
      <c r="BJ581" s="1" t="s">
        <v>1959</v>
      </c>
      <c r="BK581" s="1" t="s">
        <v>3769</v>
      </c>
      <c r="BL581" s="1" t="s">
        <v>1875</v>
      </c>
      <c r="BM581" s="2" t="s">
        <v>3770</v>
      </c>
    </row>
    <row r="582" spans="1:71" ht="126" x14ac:dyDescent="0.45">
      <c r="A582" s="5">
        <v>581</v>
      </c>
      <c r="B582" s="8" t="s">
        <v>385</v>
      </c>
      <c r="C582" s="6" t="s">
        <v>6851</v>
      </c>
      <c r="D582" s="7" t="s">
        <v>9752</v>
      </c>
      <c r="E582" s="1" t="s">
        <v>1772</v>
      </c>
      <c r="F582" s="1" t="s">
        <v>1551</v>
      </c>
      <c r="G582" s="1"/>
      <c r="J582" s="1" t="s">
        <v>9753</v>
      </c>
      <c r="K582" s="2" t="s">
        <v>7919</v>
      </c>
      <c r="L582" s="9" t="s">
        <v>8463</v>
      </c>
      <c r="P582" s="7" t="s">
        <v>1241</v>
      </c>
      <c r="AU582" s="15"/>
      <c r="AV582" s="1" t="s">
        <v>1502</v>
      </c>
      <c r="BG582" s="7" t="s">
        <v>1503</v>
      </c>
      <c r="BH582" s="1" t="s">
        <v>3771</v>
      </c>
      <c r="BI582" s="2" t="s">
        <v>3772</v>
      </c>
      <c r="BJ582" s="1" t="s">
        <v>2036</v>
      </c>
      <c r="BK582" s="1" t="s">
        <v>3773</v>
      </c>
      <c r="BL582" s="1" t="s">
        <v>1877</v>
      </c>
      <c r="BM582" s="2" t="s">
        <v>3774</v>
      </c>
    </row>
    <row r="583" spans="1:71" ht="252" x14ac:dyDescent="0.45">
      <c r="A583" s="5">
        <v>582</v>
      </c>
      <c r="B583" s="8" t="s">
        <v>386</v>
      </c>
      <c r="C583" s="6" t="s">
        <v>6851</v>
      </c>
      <c r="D583" s="7" t="s">
        <v>9752</v>
      </c>
      <c r="E583" s="1" t="s">
        <v>1505</v>
      </c>
      <c r="F583" s="1" t="s">
        <v>1773</v>
      </c>
      <c r="G583" s="1"/>
      <c r="J583" s="1" t="s">
        <v>9753</v>
      </c>
      <c r="K583" s="2" t="s">
        <v>7920</v>
      </c>
      <c r="L583" s="3" t="s">
        <v>8464</v>
      </c>
      <c r="M583" s="1" t="s">
        <v>12192</v>
      </c>
      <c r="P583" s="7" t="s">
        <v>1241</v>
      </c>
      <c r="Q583" s="13" t="str">
        <f>INDEX($L:$L, MATCH("distinguish", $B:$B, 0))</f>
        <v>&lt;span class="w"&gt;&lt;b&gt;【422.distinguish：〜を区別する】&lt;/b&gt;&lt;/span&gt;
&lt;span class="ml"&gt;ラテン語に由来する語で、以下の2つの要素から成る。
&lt;span class="spacer"&gt;&lt;/span&gt;dis（離れて）
stinguere（突く, 刺激する）
&lt;span class="spacer"&gt;&lt;/span&gt;このまま日本語にすると「突き刺して離す」となる。ここから何かを分ける＝「区別する」という意味になる。&lt;/span&gt;</v>
      </c>
      <c r="R583" s="13" t="str">
        <f>INDEX($L:$L, MATCH("extinct", $B:$B, 0))</f>
        <v>&lt;span class="w"&gt;&lt;b&gt;【694.extinct：絶滅した, 廃止された】&lt;/b&gt;&lt;/span&gt;
&lt;span class="ml"&gt;ラテン語に由来する語で、以下の2つの要素から成る。
&lt;span class="spacer"&gt;&lt;/span&gt;ex（外に）
stinguere（消す, 突き刺す）
&lt;span class="spacer"&gt;&lt;/span&gt;ロウソクの火を指でつまんで消す時の突き刺すような痛みや、棒で突いて火を消すという動作のイメージから「突き刺す」が「火を消す」になる。
&lt;span class="spacer"&gt;&lt;/span&gt;そして実際に火が消えることから、比喩的に命の火が消えて絶えることを表すようになり、「絶滅した」という意味になった。&lt;/span&gt;</v>
      </c>
      <c r="S583" s="13" t="str">
        <f>INDEX($L:$L, MATCH("instinct", $B:$B, 0))</f>
        <v>&lt;span class="w"&gt;&lt;b&gt;【856.instinct：本能, 直感, 自然に起こる衝動】&lt;/b&gt;&lt;/span&gt;
&lt;span class="ml"&gt;ラテン語に由来する語で、以下の2つの要素から成る。
&lt;span class="spacer"&gt;&lt;/span&gt;in（中に）
stinguere（刺す, 駆り立てる）
&lt;span class="spacer"&gt;&lt;/span&gt;このまま日本語にすると「中に刺す」となる。刺激されて内部から突き動かされるように、自分の意識や思考とは関係なく動くことから「本能, 直感, 自然に起こる衝動」といった意味になる。&lt;span&gt;</v>
      </c>
      <c r="T583" s="13" t="str">
        <f>INDEX($L:$L, MATCH("stimulate", $B:$B, 0))</f>
        <v>&lt;span class="w"&gt;&lt;b&gt;【602.stimulate：〜を刺激する】&lt;/b&gt;&lt;/span&gt;
&lt;span class="ml"&gt;ラテン語stimulus（突き棒）に由来する。
&lt;span class="spacer"&gt;&lt;/span&gt;突き棒で突くことから「刺激する」という意味になる。
&lt;span class="spacer"&gt;&lt;/span&gt;stimulateのsti部分は、おそらくstick（棒）と関わっているため、stimulateとstickを関連させて覚える。&lt;/span&gt;</v>
      </c>
      <c r="U583" s="13" t="str">
        <f>INDEX($L:$L, MATCH("stick", $B:$B, 0))</f>
        <v>&lt;span class="w"&gt;&lt;b&gt;【304.stick：〜を動けなくする, 〜を突き刺す, くっつく】&lt;/b&gt;&lt;/span&gt;
&lt;span class="ml"&gt;古英語stician（突き刺す）にさかのぼる語。
&lt;span class="spacer"&gt;&lt;/span&gt;stick（スティック）は日本語でも「棒, 突き刺す棒」を指す。この名詞と関連させて「突き刺す」という動詞を覚えればよい。また突き刺すことによって固定することから「動けなくする, くっつく」という意味にもなる。&lt;/span&gt;</v>
      </c>
      <c r="AU583" s="15"/>
      <c r="AV583" s="1" t="s">
        <v>1502</v>
      </c>
      <c r="BG583" s="7" t="s">
        <v>1503</v>
      </c>
      <c r="BH583" s="1" t="s">
        <v>2034</v>
      </c>
      <c r="BI583" s="2" t="s">
        <v>7921</v>
      </c>
      <c r="BJ583" s="1" t="s">
        <v>1959</v>
      </c>
      <c r="BK583" s="1" t="s">
        <v>3775</v>
      </c>
      <c r="BL583" s="1" t="s">
        <v>1875</v>
      </c>
      <c r="BM583" s="2" t="s">
        <v>3776</v>
      </c>
      <c r="BN583" s="1" t="s">
        <v>1877</v>
      </c>
      <c r="BO583" s="2" t="s">
        <v>3777</v>
      </c>
    </row>
    <row r="584" spans="1:71" ht="180" x14ac:dyDescent="0.45">
      <c r="A584" s="5">
        <v>583</v>
      </c>
      <c r="B584" s="8" t="s">
        <v>387</v>
      </c>
      <c r="C584" s="6" t="s">
        <v>6851</v>
      </c>
      <c r="D584" s="7" t="s">
        <v>9752</v>
      </c>
      <c r="E584" s="1" t="s">
        <v>1774</v>
      </c>
      <c r="F584" s="1" t="s">
        <v>1775</v>
      </c>
      <c r="G584" s="1"/>
      <c r="J584" s="1" t="s">
        <v>9753</v>
      </c>
      <c r="K584" s="2" t="s">
        <v>7922</v>
      </c>
      <c r="L584" s="3" t="s">
        <v>8465</v>
      </c>
      <c r="P584" s="7" t="s">
        <v>1241</v>
      </c>
      <c r="AU584" s="15"/>
      <c r="AV584" s="1" t="s">
        <v>1502</v>
      </c>
      <c r="BG584" s="7" t="s">
        <v>1503</v>
      </c>
      <c r="BH584" s="1" t="s">
        <v>2034</v>
      </c>
      <c r="BI584" s="2" t="s">
        <v>3778</v>
      </c>
      <c r="BJ584" s="1" t="s">
        <v>1877</v>
      </c>
      <c r="BK584" s="2" t="s">
        <v>3779</v>
      </c>
    </row>
    <row r="585" spans="1:71" ht="162" x14ac:dyDescent="0.45">
      <c r="A585" s="5">
        <v>584</v>
      </c>
      <c r="B585" s="8" t="s">
        <v>1777</v>
      </c>
      <c r="C585" s="6" t="s">
        <v>6851</v>
      </c>
      <c r="D585" s="7" t="s">
        <v>9752</v>
      </c>
      <c r="E585" s="1" t="s">
        <v>8965</v>
      </c>
      <c r="F585" s="1" t="s">
        <v>49</v>
      </c>
      <c r="G585" s="1"/>
      <c r="J585" s="1" t="s">
        <v>9753</v>
      </c>
      <c r="K585" s="2" t="s">
        <v>7923</v>
      </c>
      <c r="L585" s="4" t="s">
        <v>8466</v>
      </c>
      <c r="M585" s="1" t="s">
        <v>12160</v>
      </c>
      <c r="P585" s="7" t="s">
        <v>1241</v>
      </c>
      <c r="Q585" s="14" t="str">
        <f>INDEX($L:$L, MATCH("survive", $B:$B, 0))</f>
        <v>&lt;span class="w"&gt;&lt;b&gt;【139.survive：生き残る, より長生きする】&lt;/b&gt;&lt;/span&gt;
&lt;span class="ml"&gt;ラテン語に由来する語で、以下の2つの要素から成る。
&lt;span class="spacer"&gt;&lt;/span&gt;super（越えて）
vivere（生きる）
&lt;span class="spacer"&gt;&lt;/span&gt;このまま日本語にすると「何かを越えて生きる」となる。つまり何かを乗り越えて「生き残る, より長生きする」という意味になる。&lt;/span&gt;</v>
      </c>
      <c r="R585" s="14" t="str">
        <f>INDEX($L:$L, MATCH("revive", $B:$B, 0))</f>
        <v>&lt;span class="w"&gt;&lt;b&gt;【1303.revive：〜を復活させる, 復活する】&lt;/b&gt;&lt;/span&gt;
&lt;span class="ml"&gt;ラテン語に由来する語で、以下の2つの要素から成る。
&lt;span class="spacer"&gt;&lt;/span&gt;re（再び）
vivere（生きる）
&lt;span class="spacer"&gt;&lt;/span&gt;このまま日本語にすると「再び生きる」となり、「復活させる, 復活する」という意味になる。vive部分はsurvive（生き延びる）と同じ。&lt;/span&gt;</v>
      </c>
      <c r="S585" s="13" t="str">
        <f>INDEX($L:$L, MATCH("vivid", $B:$B, 0))</f>
        <v>&lt;span class="w"&gt;&lt;b&gt;【1393.vivid：鮮やかな, 生き生きとした】&lt;/b&gt;&lt;/span&gt;
&lt;span class="ml"&gt;ラテン語に由来する語で、以下の2つの要素から成る。
&lt;span class="spacer"&gt;&lt;/span&gt;vivus（生きている）
idus（形容詞化）
&lt;span class="spacer"&gt;&lt;/span&gt;vividのviv部分は、surviveやreviveのviveと同じで「生きる, 生命」に関連する。
&lt;span class="spacer"&gt;&lt;/span&gt;まるで命が宿っているかのように鮮やかで強烈に目を引く感じや、目の前で実際に起きているかのようにありありと思い浮かぶことを表し、色や記憶などが「鮮やかな」、表現や描写が「生き生きとした」という意味になった。&lt;/span&gt;</v>
      </c>
      <c r="AU585" s="15"/>
      <c r="AV585" s="1" t="s">
        <v>1502</v>
      </c>
      <c r="BG585" s="7" t="s">
        <v>1503</v>
      </c>
      <c r="BH585" s="1" t="s">
        <v>2034</v>
      </c>
      <c r="BI585" s="2" t="s">
        <v>3780</v>
      </c>
      <c r="BJ585" s="1" t="s">
        <v>1959</v>
      </c>
      <c r="BK585" s="1" t="s">
        <v>3781</v>
      </c>
      <c r="BL585" s="1" t="s">
        <v>1875</v>
      </c>
      <c r="BM585" s="2" t="s">
        <v>3782</v>
      </c>
      <c r="BN585" s="1" t="s">
        <v>1877</v>
      </c>
      <c r="BO585" s="2" t="s">
        <v>3783</v>
      </c>
    </row>
    <row r="586" spans="1:71" ht="234" x14ac:dyDescent="0.45">
      <c r="A586" s="5">
        <v>585</v>
      </c>
      <c r="B586" s="8" t="s">
        <v>1778</v>
      </c>
      <c r="C586" s="6" t="s">
        <v>6851</v>
      </c>
      <c r="D586" s="7" t="s">
        <v>9752</v>
      </c>
      <c r="E586" s="1" t="s">
        <v>46</v>
      </c>
      <c r="F586" s="1" t="s">
        <v>1339</v>
      </c>
      <c r="G586" s="1" t="s">
        <v>1584</v>
      </c>
      <c r="H586" s="1" t="s">
        <v>1293</v>
      </c>
      <c r="J586" s="1" t="s">
        <v>9753</v>
      </c>
      <c r="K586" s="2" t="s">
        <v>7924</v>
      </c>
      <c r="L586" s="3" t="s">
        <v>8467</v>
      </c>
      <c r="M586" s="1" t="s">
        <v>12152</v>
      </c>
      <c r="P586" s="7" t="s">
        <v>1241</v>
      </c>
      <c r="Q586" s="14" t="str">
        <f>INDEX($L:$L, MATCH("prevent", $B:$B, 0))</f>
        <v>&lt;span class="w"&gt;&lt;b&gt;【137.prevent：〜を妨げる, 〜を防ぐ】&lt;/b&gt;&lt;/span&gt;
&lt;span class="ml"&gt;ラテン語に由来する語で、以下の2つの要素から成る。
&lt;span class="spacer"&gt;&lt;/span&gt;prae（前に）
venire（来る）
&lt;span class="spacer"&gt;&lt;/span&gt;このまま日本語にすると「（時間的に）前に来る」となる。つまり何かが起こる、何かをするより先に来るということ。この先回りの行動が、先に行動して何かを阻止するという妨害と結びつき、「妨げる, 防ぐ」という意味になる。
&lt;div class="sample_image prevent"&gt;&lt;/div&gt;&lt;/span&gt;</v>
      </c>
      <c r="R586" s="14" t="str">
        <f>INDEX($L:$L, MATCH("eventually", $B:$B, 0))</f>
        <v>&lt;span class="w"&gt;&lt;b&gt;【200.eventually：結局, 最終的に】&lt;/b&gt;&lt;/span&gt;
&lt;span class="ml"&gt;eventuallyは以下の4つの要素から成る。
&lt;span class="spacer"&gt;&lt;/span&gt;ex（外に：ラテン語）
venire（来る：ラテン語）
uel（形容詞化：古フランス語）
ly（副詞化：近代英語）
&lt;span class="spacer"&gt;&lt;/span&gt;もっとシンプルにすると
event＋ual＋lyとなる。
&lt;span class="spacer"&gt;&lt;/span&gt;「外に来る」は、様々な過程を経て何かが出てくること。つまり「最終的な結果, 出来事」を意味する。これが副詞となることで「結果的に, 結局, 最終的に」という意味になる。&lt;/span&gt;</v>
      </c>
      <c r="S586" s="14" t="str">
        <f>INDEX($L:$L, MATCH("revenue", $B:$B, 0))</f>
        <v>&lt;span class="w"&gt;&lt;b&gt;【1477.revenue：歳入, 収入】&lt;/b&gt;&lt;/span&gt;
&lt;span class="ml"&gt;ラテン語に由来する語で、以下の2つの要素から成る。
&lt;span class="spacer"&gt;&lt;/span&gt;re（後ろへ, 戻って）
venire（来る）
&lt;span class="spacer"&gt;&lt;/span&gt;この語の核は「戻ってくるもの」。お金を払って何かを手に入れ、それを使ってお金を得る、つまりお金が戻ってくることから「収入」という意味になった。またそこから、国家の一年間の収入＝「歳入」という意味にもなった。
&lt;div class="sample_image revenue"&gt;&lt;/div&gt;&lt;/span&gt;</v>
      </c>
      <c r="T586" s="14" t="str">
        <f>INDEX($L:$L, MATCH("venture", $B:$B, 0))</f>
        <v>&lt;span class="w"&gt;&lt;b&gt;【1204.venture：危険を冒して進む】&lt;/b&gt;&lt;/span&gt;
&lt;span class="ml"&gt;古ラテン語に由来する語で、以下の2つの要素から成る。
&lt;span class="spacer"&gt;&lt;/span&gt;ad（〜へ）
venire（来る）
&lt;span class="spacer"&gt;&lt;/span&gt;このまま日本語にすると「〜へ来る」となる。もともとは、どこかから何かが自分の元へやって来ることを表した。そこから、将来的に起こることという意味を経て、将来的に結果がどうなるかわからない出来事、そして結果がわからない危険な試みへと発展し、動詞で「危険を冒して進む」という意味になった。&lt;/span&gt;</v>
      </c>
      <c r="U586" s="14" t="str">
        <f>INDEX($L:$L, MATCH("convenient", $B:$B, 0))</f>
        <v>&lt;span class="w"&gt;&lt;b&gt;【395.convenient：便利な, 都合のよい】&lt;/b&gt;&lt;/span&gt;
&lt;span class="ml"&gt;ラテン語に由来する語で、以下の2つの要素から成る。
&lt;span class="spacer"&gt;&lt;/span&gt;com（共に）
venire（来る）
&lt;span class="spacer"&gt;&lt;/span&gt;このまま日本語にすると「共に来る」となる。これは何かと何かが一緒に来てそろうイメージ。例えば、条件がそろう、何かを必要としている人とそれを不要としている人が一緒に来るなど。ここから「都合のよい, 便利な」という意味になる。&lt;/span&gt;</v>
      </c>
      <c r="V586" s="14" t="str">
        <f>INDEX($L:$L, MATCH("achieve", $B:$B, 0))</f>
        <v>&lt;span class="w"&gt;&lt;b&gt;【118.achieve：～を達成する】&lt;/b&gt;&lt;/span&gt;
&lt;span class="ml"&gt;ラテン語に由来する語で、以下の3つの要素から成る。
&lt;span class="spacer"&gt;&lt;/span&gt;ad（～へ）
capt（頭）
venire（来る）
&lt;span class="spacer"&gt;&lt;/span&gt;このまま日本語にすると「頭へ来る」となる。頭は動物の体の端にあることから、端へ来る＝終わりに到達する＝何かを「達成する」という意味になる。
&lt;span class="spacer"&gt;&lt;/span&gt;ラテン語capt（頭）はcaptain（キャプテン）の語源でもある。&lt;/span&gt;</v>
      </c>
      <c r="W586" s="15"/>
      <c r="AU586" s="15"/>
      <c r="AV586" s="1" t="s">
        <v>1502</v>
      </c>
      <c r="BG586" s="7" t="s">
        <v>1503</v>
      </c>
      <c r="BH586" s="1" t="s">
        <v>2034</v>
      </c>
      <c r="BI586" s="2" t="s">
        <v>5081</v>
      </c>
      <c r="BJ586" s="1" t="s">
        <v>2036</v>
      </c>
      <c r="BK586" s="2" t="s">
        <v>3784</v>
      </c>
      <c r="BL586" s="1" t="s">
        <v>1875</v>
      </c>
      <c r="BM586" s="2" t="s">
        <v>3785</v>
      </c>
      <c r="BN586" s="1" t="s">
        <v>1877</v>
      </c>
      <c r="BO586" s="2" t="s">
        <v>3786</v>
      </c>
    </row>
    <row r="587" spans="1:71" ht="216" x14ac:dyDescent="0.45">
      <c r="A587" s="5">
        <v>586</v>
      </c>
      <c r="B587" s="8" t="s">
        <v>1779</v>
      </c>
      <c r="C587" s="6" t="s">
        <v>6851</v>
      </c>
      <c r="D587" s="7" t="s">
        <v>9752</v>
      </c>
      <c r="E587" s="1" t="s">
        <v>7925</v>
      </c>
      <c r="F587" s="1" t="s">
        <v>7926</v>
      </c>
      <c r="G587" s="1"/>
      <c r="J587" s="1" t="s">
        <v>9753</v>
      </c>
      <c r="K587" s="2" t="s">
        <v>7927</v>
      </c>
      <c r="L587" s="3" t="s">
        <v>9206</v>
      </c>
      <c r="M587" s="1" t="s">
        <v>12178</v>
      </c>
      <c r="P587" s="7" t="s">
        <v>1241</v>
      </c>
      <c r="Q587" s="14" t="str">
        <f>INDEX($L:$L, MATCH("attract", $B:$B, 0))</f>
        <v>&lt;span class="w"&gt;&lt;b&gt;【222.attract：～を引きつける】&lt;/b&gt;&lt;/span&gt;
&lt;span class="ml"&gt;ラテン語に由来する語で、以下の2つの要素から成る。
&lt;span class="spacer"&gt;&lt;/span&gt;ad（～へ）
trahere（引く）
&lt;span class="spacer"&gt;&lt;/span&gt;このまま日本語にすると「〜へ引く」となる。対象を何かへ引き寄せることから、注意や視線などを「引きつける」という意味になる。&lt;/span&gt;</v>
      </c>
      <c r="R587" s="14" t="str">
        <f>INDEX($L:$L, MATCH("distract", $B:$B, 0))</f>
        <v>&lt;span class="w"&gt;&lt;b&gt;【1020.distract：（注意など）をそらす】&lt;/b&gt;&lt;/span&gt;
&lt;span class="ml"&gt;ラテン語に由来する語で、以下の2つの要素から成る。
&lt;span class="spacer"&gt;&lt;/span&gt;dis（離れて）
trahere（引く）
&lt;span class="spacer"&gt;&lt;/span&gt;このまま日本語にすると「離れたところへ引く」となる。人の心や注意を異なる方へ引っぱることから、心や注意を「そらす」という意味になる。
&lt;div class="sample_image distract"&gt;&lt;/div&gt;&lt;/span&gt;</v>
      </c>
      <c r="S587" s="14" t="str">
        <f>INDEX($L:$L, MATCH("extract", $B:$B, 0))</f>
        <v>&lt;span class="w"&gt;&lt;b&gt;【1138.extract：〜を取り出す, 〜を抽出する】&lt;/b&gt;&lt;/span&gt;
&lt;span class="ml"&gt;ラテン語に由来する語で、以下の2つの要素から成る。
&lt;span class="spacer"&gt;&lt;/span&gt;ex（外に）
trahere（引く）
&lt;span class="spacer"&gt;&lt;/span&gt;このまま日本語にすると「外に引く」となり、何かを「取り出す, 抽出する」という意味になる。&lt;/span&gt;</v>
      </c>
      <c r="T587" s="14" t="str">
        <f>INDEX($L:$L, MATCH("contract", $B:$B, 0))</f>
        <v>&lt;span class="w"&gt;&lt;b&gt;【577.contract：契約（書）】&lt;/b&gt;&lt;/span&gt;
&lt;span class="ml"&gt;ラテン語に由来する語で、以下の2つの要素から成る。
&lt;span class="spacer"&gt;&lt;/span&gt;con（共に）
trahere（引く）
&lt;span class="spacer"&gt;&lt;/span&gt;このまま日本語にすると「共に引く」となる。人と人が互いの条件や意見を引き寄せ合い、一つの合意点にまとめることから「契約（書）」という意味になる。
&lt;div class="sample_image contract"&gt;&lt;/div&gt;&lt;/span&gt;</v>
      </c>
      <c r="U587" s="15"/>
      <c r="V587" s="15"/>
      <c r="W587" s="15"/>
      <c r="X587" s="15"/>
      <c r="Y587" s="15"/>
      <c r="AU587" s="15"/>
      <c r="AV587" s="1" t="s">
        <v>1502</v>
      </c>
      <c r="BG587" s="7" t="s">
        <v>1503</v>
      </c>
      <c r="BH587" s="1" t="s">
        <v>2034</v>
      </c>
      <c r="BI587" s="2" t="s">
        <v>3787</v>
      </c>
      <c r="BJ587" s="1" t="s">
        <v>1875</v>
      </c>
      <c r="BK587" s="2" t="s">
        <v>3788</v>
      </c>
    </row>
    <row r="588" spans="1:71" ht="409.6" x14ac:dyDescent="0.45">
      <c r="A588" s="5">
        <v>587</v>
      </c>
      <c r="B588" s="8" t="s">
        <v>1780</v>
      </c>
      <c r="C588" s="6" t="s">
        <v>6851</v>
      </c>
      <c r="D588" s="7" t="s">
        <v>9752</v>
      </c>
      <c r="E588" s="1" t="s">
        <v>8966</v>
      </c>
      <c r="F588" s="1" t="s">
        <v>1695</v>
      </c>
      <c r="G588" s="1"/>
      <c r="J588" s="1" t="s">
        <v>9753</v>
      </c>
      <c r="K588" s="2" t="s">
        <v>7928</v>
      </c>
      <c r="L588" s="4" t="s">
        <v>8468</v>
      </c>
      <c r="M588" s="1" t="s">
        <v>12210</v>
      </c>
      <c r="P588" s="7" t="s">
        <v>1241</v>
      </c>
      <c r="Q588" s="14" t="str">
        <f>INDEX($L:$L, MATCH("minister", $B:$B, 0))</f>
        <v>&lt;span class="w"&gt;&lt;b&gt;【552.minister：大臣, プロテスタントの聖職者】&lt;/b&gt;&lt;/span&gt;
&lt;span class="ml"&gt;ラテン語に由来する語で、以下の2つの要素から成る。
&lt;span class="spacer"&gt;&lt;/span&gt;minor（より小さい）
teros（比較級を作る）
&lt;span class="spacer"&gt;&lt;/span&gt;この語の核は「より小さい者」で、上位者に仕える者・下位の者を表した。
&lt;span class="spacer"&gt;&lt;/span&gt;中世では、キリスト教と結びつき、神に仕えて人々に奉仕する人たちを「神のしもべ」と位置付けたことから「聖職者」という意味になった。
&lt;span class="spacer"&gt;&lt;/span&gt;また政治の文脈では、君主に仕えて国政を補佐する役人たち、すなわち「国王のしもべ」である「大臣」を指すようになった。&lt;/span&gt;</v>
      </c>
      <c r="R588" s="14" t="str">
        <f>INDEX($L:$L, MATCH("administration", $B:$B, 0))</f>
        <v>&lt;span class="w"&gt;&lt;b&gt;【877.administration：管理（部）, 運営, 行政, 政府（機関）】&lt;/b&gt;&lt;/span&gt;
&lt;span class="ml"&gt;ラテン語に由来する語で、以下の要素から成る。
&lt;span class="spacer"&gt;&lt;/span&gt;&lt;b&gt;［ministerの語源］&lt;/b&gt;
minus（小さい）
teros（比較級）
&lt;span class="spacer"&gt;&lt;/span&gt;この語の核は「より小さい者」。主人に対して自分をより小さくする者、つまり召使いや助手といった主人に奉仕する者を表した。
&lt;span class="spacer"&gt;&lt;/span&gt;&lt;b&gt;［administrationの語源］&lt;/b&gt;
ad（〜へ）
ministrare（奉仕する, 仕える）
io（名詞化）
&lt;span class="spacer"&gt;&lt;/span&gt;このまま日本語にすると「〜へ奉仕する者」となる。王や君主へ奉仕する者たちは、彼らの代わりに領地や財産を管理し、運営したことから、組織や国の「管理, 運営」という意味になった。また国の管理や運営を行っている「行政, 政府」という意味にもなった。
&lt;div class="sample_image administration"&gt;&lt;/div&gt;&lt;/span&gt;</v>
      </c>
      <c r="S588" s="14" t="str">
        <f>INDEX($L:$L, MATCH("minimum", $B:$B, 0))</f>
        <v>&lt;span class="w"&gt;&lt;b&gt;【653.minimum：最小限度】&lt;/b&gt;&lt;/span&gt;
&lt;span class="ml"&gt;ラテン語に由来する語で、以下の3つの要素から成る。
minor（より小さい）
imus（最上級を作る）
um（名詞化）
&lt;span class="spacer"&gt;&lt;/span&gt;このまま日本語にすると「最も小さいもの」つまり「最小限度」となる。&lt;/span&gt;</v>
      </c>
      <c r="T588" s="13" t="str">
        <f>INDEX($L:$L, MATCH("diminish", $B:$B, 0))</f>
        <v>&lt;span class="w"&gt;&lt;b&gt;【1015.diminish：〜を減らす, 減る】&lt;/b&gt;&lt;/span&gt;
&lt;span class="ml"&gt;ラテン語に由来する語で、以下の2つの要素から成る。
&lt;span class="spacer"&gt;&lt;/span&gt;de（完全に）
minuere（小さくする）
&lt;span class="spacer"&gt;&lt;/span&gt;このまま日本語にすると「完全に小さくする」となる。そこから何かを「減らす」や、何かが「減る」という意味になる。
&lt;span class="spacer"&gt;&lt;/span&gt;diminishのmini部分は、以下の語と関連する。
minimum（最小限）
minus（マイナス）
minor（マイナー）&lt;/span&gt;</v>
      </c>
      <c r="AU588" s="15"/>
      <c r="AV588" s="1" t="s">
        <v>1502</v>
      </c>
      <c r="BG588" s="7" t="s">
        <v>1503</v>
      </c>
      <c r="BH588" s="1" t="s">
        <v>2034</v>
      </c>
      <c r="BI588" s="2" t="s">
        <v>3789</v>
      </c>
      <c r="BJ588" s="1" t="s">
        <v>1875</v>
      </c>
      <c r="BK588" s="2" t="s">
        <v>3790</v>
      </c>
      <c r="BL588" s="1" t="s">
        <v>1877</v>
      </c>
      <c r="BM588" s="2" t="s">
        <v>3791</v>
      </c>
    </row>
    <row r="589" spans="1:71" ht="180" x14ac:dyDescent="0.45">
      <c r="A589" s="5">
        <v>588</v>
      </c>
      <c r="B589" s="8" t="s">
        <v>1781</v>
      </c>
      <c r="C589" s="6" t="s">
        <v>6851</v>
      </c>
      <c r="D589" s="7" t="s">
        <v>9752</v>
      </c>
      <c r="E589" s="1" t="s">
        <v>205</v>
      </c>
      <c r="F589" s="1" t="s">
        <v>1918</v>
      </c>
      <c r="G589" s="1" t="s">
        <v>1541</v>
      </c>
      <c r="J589" s="1" t="s">
        <v>9753</v>
      </c>
      <c r="K589" s="2" t="s">
        <v>7929</v>
      </c>
      <c r="L589" s="4" t="s">
        <v>8469</v>
      </c>
      <c r="M589" s="1" t="s">
        <v>12189</v>
      </c>
      <c r="P589" s="7" t="s">
        <v>1241</v>
      </c>
      <c r="Q589" s="14" t="str">
        <f>INDEX($L:$L, MATCH("ordinary", $B:$B, 0))</f>
        <v>&lt;span class="w"&gt;&lt;b&gt;【289.ordinary：一般の, 普通の】&lt;/b&gt;&lt;/span&gt;
&lt;span class="ml"&gt;ラテン語に由来する語で、以下の2つの要素から成る。
&lt;span class="spacer"&gt;&lt;/span&gt;ordo（列, 順序）
arius（形容詞化）
&lt;span class="spacer"&gt;&lt;/span&gt;これは「列に並んだ, 秩序通り, 規則的な」という通常から外れていないことから「一般の, 普通の」という意味になる。&lt;/span&gt;</v>
      </c>
      <c r="R589" s="14" t="str">
        <f>INDEX($L:$L, MATCH("disorder", $B:$B, 0))</f>
        <v>&lt;span class="w"&gt;&lt;b&gt;【558.disorder：障害, 心身の不調, 混乱】&lt;/b&gt;&lt;/span&gt;
&lt;span class="ml"&gt;ラテン語に由来する語で、以下の2つの要素から成る。
&lt;span class="spacer"&gt;&lt;/span&gt;dis（否定）
ordo（列, 順序, 配置）
&lt;span class="spacer"&gt;&lt;/span&gt;この語の核は「秩序だった状態の否定」。つまり秩序が乱れて混乱した状態やバランスが崩れた状態を表す。ここから「障害, 心身の不調, 混乱」といった意味になる。&lt;/span&gt;</v>
      </c>
      <c r="S589" s="13" t="str">
        <f>INDEX($L:$L, MATCH("coordinate", $B:$B, 0))</f>
        <v>&lt;span class="w"&gt;&lt;b&gt;【1440.coordinate：〜を調整する, 〜を指揮する, 〜をコーディネートする】&lt;/b&gt;&lt;/span&gt;
&lt;span class="ml"&gt;ラテン語に由来する語で、以下の2つの要素から成る。
&lt;span class="spacer"&gt;&lt;/span&gt;com（共に）
ordo（列, 階級, 配置）から派生したordinatio（配置, 秩序だて）
&lt;span class="spacer"&gt;&lt;/span&gt;coordinateのord部分は、英語oreder（秩序, 順序, オーダー）と同じと考えてよい。この語の核は「複数のものを一緒に順序だてて並べて、うまくまとめる」。
&lt;span class="spacer"&gt;&lt;/span&gt;そこから、予定や計画などを「調整する」や、プロジェクトや作戦などを「指揮する」、服や家具などを「コーディネートする」という意味になる。&lt;/span&gt;</v>
      </c>
      <c r="AU589" s="15"/>
      <c r="AV589" s="1" t="s">
        <v>1502</v>
      </c>
      <c r="BG589" s="7" t="s">
        <v>1503</v>
      </c>
      <c r="BH589" s="1" t="s">
        <v>2034</v>
      </c>
      <c r="BI589" s="2" t="s">
        <v>3792</v>
      </c>
      <c r="BJ589" s="1" t="s">
        <v>1875</v>
      </c>
      <c r="BK589" s="2" t="s">
        <v>3793</v>
      </c>
      <c r="BL589" s="1" t="s">
        <v>1877</v>
      </c>
      <c r="BM589" s="2" t="s">
        <v>3794</v>
      </c>
    </row>
    <row r="590" spans="1:71" ht="144" x14ac:dyDescent="0.45">
      <c r="A590" s="5">
        <v>589</v>
      </c>
      <c r="B590" s="8" t="s">
        <v>388</v>
      </c>
      <c r="C590" s="6" t="s">
        <v>6851</v>
      </c>
      <c r="D590" s="7" t="s">
        <v>9752</v>
      </c>
      <c r="E590" s="1" t="s">
        <v>1427</v>
      </c>
      <c r="F590" s="1" t="s">
        <v>1456</v>
      </c>
      <c r="G590" s="1"/>
      <c r="J590" s="1" t="s">
        <v>9753</v>
      </c>
      <c r="K590" s="2" t="s">
        <v>7930</v>
      </c>
      <c r="L590" s="4" t="s">
        <v>8470</v>
      </c>
      <c r="M590" s="1" t="s">
        <v>12193</v>
      </c>
      <c r="P590" s="7" t="s">
        <v>1241</v>
      </c>
      <c r="Q590" s="13"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R590" s="13"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S590" s="13"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T590" s="13" t="str">
        <f>INDEX($L:$L, MATCH("establish", $B:$B, 0))</f>
        <v>&lt;span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v>
      </c>
      <c r="U590" s="13" t="str">
        <f>INDEX($L:$L, MATCH("static", $B:$B, 0))</f>
        <v>&lt;span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v>
      </c>
      <c r="V590" s="13"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W590" s="13"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X590" s="13"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Y590" s="13"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Z590" s="13"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AA590" s="13" t="str">
        <f>INDEX($L:$L, MATCH("steady", $B:$B, 0))</f>
        <v>&lt;span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v>
      </c>
      <c r="AB590"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C590" s="13" t="str">
        <f>INDEX($L:$L, MATCH("restore", $B:$B, 0))</f>
        <v>&lt;span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v>
      </c>
      <c r="AD590" s="13"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AE590" s="13"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V590" s="1" t="s">
        <v>1502</v>
      </c>
      <c r="BG590" s="7" t="s">
        <v>1503</v>
      </c>
      <c r="BH590" s="1" t="s">
        <v>1976</v>
      </c>
      <c r="BI590" s="1" t="s">
        <v>3795</v>
      </c>
      <c r="BJ590" s="1" t="s">
        <v>2034</v>
      </c>
      <c r="BK590" s="2" t="s">
        <v>3796</v>
      </c>
      <c r="BL590" s="1" t="s">
        <v>1959</v>
      </c>
      <c r="BM590" s="1" t="s">
        <v>3797</v>
      </c>
      <c r="BN590" s="1" t="s">
        <v>1875</v>
      </c>
      <c r="BO590" s="2" t="s">
        <v>3798</v>
      </c>
    </row>
    <row r="591" spans="1:71" ht="144" x14ac:dyDescent="0.45">
      <c r="A591" s="5">
        <v>590</v>
      </c>
      <c r="B591" s="8" t="s">
        <v>389</v>
      </c>
      <c r="C591" s="6" t="s">
        <v>6851</v>
      </c>
      <c r="D591" s="7" t="s">
        <v>9752</v>
      </c>
      <c r="E591" s="1" t="s">
        <v>3799</v>
      </c>
      <c r="F591" s="1" t="s">
        <v>3800</v>
      </c>
      <c r="G591" s="1"/>
      <c r="J591" s="1" t="s">
        <v>9753</v>
      </c>
      <c r="K591" s="2" t="s">
        <v>7931</v>
      </c>
      <c r="L591" s="4" t="s">
        <v>8471</v>
      </c>
      <c r="P591" s="7" t="s">
        <v>1241</v>
      </c>
      <c r="Q591" s="13" t="str">
        <f>INDEX($L:$L, MATCH("reflect", $B:$B, 0))</f>
        <v>&lt;span class="w"&gt;&lt;b&gt;【221.reflect：～を反映する, ～を反射する, ～を熟考する】&lt;/b&gt;&lt;/span&gt;
&lt;span class="ml"&gt;ラテン語に由来する語で、以下の2つの要素から成る。
&lt;span class="spacer"&gt;&lt;/span&gt;re（後ろに, 元へ）
flectere（曲げる）
&lt;span class="spacer"&gt;&lt;/span&gt;このまま日本語にすると「後ろへ曲げる」となる。向かっていくものを進行方向の後ろ（＝逆）へ曲げることから「反射する」という意味になる。また鏡に反射して映すように何かを「反映する」、頭の中で反射するようにあれこれ考える＝「熟考する」という意味になる。
&lt;div class="sample_image reflect"&gt;&lt;/div&gt;&lt;/span&gt;</v>
      </c>
      <c r="AU591" s="15"/>
      <c r="AV591" s="1" t="s">
        <v>1502</v>
      </c>
      <c r="BG591" s="7" t="s">
        <v>1503</v>
      </c>
      <c r="BH591" s="1" t="s">
        <v>2034</v>
      </c>
      <c r="BI591" s="2" t="s">
        <v>3801</v>
      </c>
      <c r="BJ591" s="1" t="s">
        <v>1959</v>
      </c>
      <c r="BK591" s="1" t="s">
        <v>389</v>
      </c>
      <c r="BL591" s="1" t="s">
        <v>1875</v>
      </c>
      <c r="BM591" s="2" t="s">
        <v>3802</v>
      </c>
    </row>
    <row r="592" spans="1:71" ht="72" x14ac:dyDescent="0.45">
      <c r="A592" s="5">
        <v>591</v>
      </c>
      <c r="B592" s="8" t="s">
        <v>390</v>
      </c>
      <c r="C592" s="6" t="s">
        <v>6851</v>
      </c>
      <c r="D592" s="7" t="s">
        <v>9752</v>
      </c>
      <c r="E592" s="6" t="s">
        <v>390</v>
      </c>
      <c r="F592" s="1"/>
      <c r="G592" s="1"/>
      <c r="J592" s="1" t="s">
        <v>9753</v>
      </c>
      <c r="L592" s="9" t="s">
        <v>8472</v>
      </c>
      <c r="P592" s="7" t="s">
        <v>1241</v>
      </c>
      <c r="AU592" s="15"/>
      <c r="AV592" s="1" t="s">
        <v>1502</v>
      </c>
      <c r="BG592" s="7" t="s">
        <v>1503</v>
      </c>
      <c r="BH592" s="1" t="s">
        <v>2034</v>
      </c>
      <c r="BI592" s="2" t="s">
        <v>3803</v>
      </c>
      <c r="BJ592" s="1" t="s">
        <v>1875</v>
      </c>
      <c r="BK592" s="2" t="s">
        <v>3804</v>
      </c>
    </row>
    <row r="593" spans="1:71" ht="144" x14ac:dyDescent="0.45">
      <c r="A593" s="5">
        <v>592</v>
      </c>
      <c r="B593" s="8" t="s">
        <v>391</v>
      </c>
      <c r="C593" s="6" t="s">
        <v>6851</v>
      </c>
      <c r="D593" s="7" t="s">
        <v>9752</v>
      </c>
      <c r="E593" s="1" t="s">
        <v>3805</v>
      </c>
      <c r="F593" s="1" t="s">
        <v>1441</v>
      </c>
      <c r="G593" s="1" t="s">
        <v>1528</v>
      </c>
      <c r="J593" s="1" t="s">
        <v>9753</v>
      </c>
      <c r="K593" s="2"/>
      <c r="L593" s="4" t="s">
        <v>9207</v>
      </c>
      <c r="M593" s="1" t="s">
        <v>12185</v>
      </c>
      <c r="P593" s="7" t="s">
        <v>1241</v>
      </c>
      <c r="Q593" s="13" t="str">
        <f>INDEX($L:$L, MATCH("progress", $B:$B, 0))</f>
        <v>&lt;span class="w"&gt;&lt;b&gt;【278.progress：進歩, 前進】&lt;/b&gt;&lt;/span&gt;
&lt;span class="ml"&gt;ラテン語に由来する語で、以下の2つの要素から成る。
&lt;span class="spacer"&gt;&lt;/span&gt;pro（前に）
gradus（一歩）から派生したgradi（進む, 歩く）
&lt;span class="spacer"&gt;&lt;/span&gt;この語の核は「前に一歩踏み出して進む」となる。ここから「前進, 進歩」という意味になる。
&lt;div class="sample_image progress"&gt;&lt;/div&gt;&lt;/span&gt;</v>
      </c>
      <c r="R593" s="13" t="str">
        <f>INDEX($L:$L, MATCH("ingredient", $B:$B, 0))</f>
        <v>&lt;span class="w"&gt;&lt;b&gt;【575.ingredient：成分, 材料】&lt;/b&gt;&lt;/span&gt;
&lt;span class="ml"&gt;ラテン語に由来する語で、以下の2つの要素から成る。
&lt;span class="spacer"&gt;&lt;/span&gt;in（中に）
gradi（歩く, 進む）
&lt;span class="spacer"&gt;&lt;/span&gt;このまま日本語にすると「中に歩く」となる。これは「何かの中に入る」イメージ。そこから、混合物や調合などに入るもの、つまり「成分, 材料」という意味になる。
&lt;div class="sample_image ingredient"&gt;&lt;/div&gt;&lt;/span&gt;</v>
      </c>
      <c r="S593" s="13" t="str">
        <f>INDEX($L:$L, MATCH("congress", $B:$B, 0))</f>
        <v>&lt;span class="w"&gt;&lt;b&gt;【1145.congress：米国議会, 会議】&lt;/b&gt;&lt;/span&gt;
&lt;span class="ml"&gt;ラテン語に由来する語で、以下の2つの要素から成る。
&lt;span class="spacer"&gt;&lt;/span&gt;com（共に）
gradus（一歩）から派生したgradi（歩く）
&lt;span class="spacer"&gt;&lt;/span&gt;この語の核は「共に歩み寄ること」。もともとは、歩いてきて人が同じ場所に集まることから「会合」や「会議」という意味になった。その後、アメリカ合衆国において、連邦議会の名称としてCongressが採用されて「米国議会」という意味になった。
&lt;div class="sample_image congress"&gt;&lt;/div&gt;&lt;/span&gt;</v>
      </c>
      <c r="T593" s="13" t="str">
        <f>INDEX($L:$L, MATCH("gradual", $B:$B, 0))</f>
        <v>&lt;span class="w"&gt;&lt;b&gt;【1391.gradual：徐々の, 緩やかな】&lt;/b&gt;&lt;/span&gt;
&lt;span class="ml"&gt;ラテン語に由来する語で、以下の2つの要素から成る。
&lt;span class="spacer"&gt;&lt;/span&gt;gradus（一歩, 登る段, 物事の段階）
alis（形容詞化）
&lt;span class="spacer"&gt;&lt;/span&gt;この語の核は「一歩一歩すすむ」。
一歩ずつ、あるいは一段ずつ進むことから、物事が一気に飛躍するのではなく、段階的に変化する＝「徐々の, 緩やかな」という意味になった。
&lt;div class="sample_image gradual"&gt;&lt;/div&gt;&lt;/span&gt;</v>
      </c>
      <c r="U593" s="13" t="str">
        <f>INDEX($L:$L, MATCH("undergraduate", $B:$B, 0))</f>
        <v>&lt;span class="w"&gt;&lt;b&gt;【1167.undergraduate：学部生】&lt;/b&gt;&lt;/span&gt;
&lt;span class="ml"&gt;近代英語にさかのぼり、以下の2つの要素から成る。
&lt;span class="spacer"&gt;&lt;/span&gt;under（下に）
graduate（卒業生, 学位取得者）
&lt;span class="spacer"&gt;&lt;/span&gt;大学卒業生＝最初の学位（学士号）を取得した人の下の段階を表すことから、「学部生（大学生）」という意味になる。&lt;/span&gt;</v>
      </c>
      <c r="AU593" s="15"/>
      <c r="AV593" s="1" t="s">
        <v>1502</v>
      </c>
      <c r="BG593" s="7" t="s">
        <v>1503</v>
      </c>
      <c r="BH593" s="1" t="s">
        <v>2034</v>
      </c>
      <c r="BI593" s="2" t="s">
        <v>3806</v>
      </c>
      <c r="BJ593" s="1" t="s">
        <v>1877</v>
      </c>
      <c r="BK593" s="2" t="s">
        <v>3807</v>
      </c>
      <c r="BM593" s="2"/>
    </row>
    <row r="594" spans="1:71" ht="270" x14ac:dyDescent="0.45">
      <c r="A594" s="5">
        <v>593</v>
      </c>
      <c r="B594" s="8" t="s">
        <v>1782</v>
      </c>
      <c r="C594" s="6" t="s">
        <v>6851</v>
      </c>
      <c r="D594" s="7" t="s">
        <v>9752</v>
      </c>
      <c r="E594" s="1" t="s">
        <v>3808</v>
      </c>
      <c r="F594" s="1" t="s">
        <v>3800</v>
      </c>
      <c r="G594" s="1"/>
      <c r="J594" s="1" t="s">
        <v>9753</v>
      </c>
      <c r="K594" s="2" t="s">
        <v>7932</v>
      </c>
      <c r="L594" s="4" t="s">
        <v>8473</v>
      </c>
      <c r="M594" s="1" t="s">
        <v>12133</v>
      </c>
      <c r="P594" s="7" t="s">
        <v>1241</v>
      </c>
      <c r="Q594" s="14" t="str">
        <f>INDEX($L:$L, MATCH("view", $B:$B, 0))</f>
        <v>&lt;span class="w"&gt;&lt;b&gt;【54.view：眺め, 見解】&lt;/b&gt;&lt;/span&gt;
&lt;span class="ml"&gt;ラテン語videre（見る）に由来する。
&lt;span class="spacer"&gt;&lt;/span&gt;見るという動詞から「眺め」という名詞になった。また視覚的に見えるものから発展して「見解, 考え」という意味になる。
&lt;span class="spacer"&gt;&lt;/span&gt;日本語でも考え方や思考力が独特な人に対して「見ている世界が違う」と表現することがあるように、視覚と思考は密接に結びついている。
&lt;span class="spacer"&gt;&lt;/span&gt;印欧祖語*weid-（見る）から生まれた語は、おおむね視覚系の意味と思考系の意味に分かれる。
&lt;span class="spacer"&gt;&lt;/span&gt;視覚系：video, visit, vision, evidence
&lt;span class="spacer"&gt;&lt;/span&gt;思考系：wise, wisdom, wit, advice
&lt;span class="spacer"&gt;&lt;/span&gt;しかし完全にどちらかに分かれるわけではく、viewのように視覚系の意味「眺め」と、思考系の意味「見解」を持つことがある。
&lt;span class="spacer"&gt;&lt;/span&gt;視覚と思考が結びついていることは、see（見る）とI see（なるほど, 理解）からもわかる。&lt;/span&gt;</v>
      </c>
      <c r="R594" s="14" t="str">
        <f>INDEX($L:$L, MATCH("review", $B:$B, 0))</f>
        <v>&lt;span class="w"&gt;&lt;b&gt;【454.review：論評, 復習】&lt;/b&gt;&lt;/span&gt;
&lt;span class="ml"&gt;ラテン語に由来する語で、以下の2つの要素から成る。
&lt;span class="spacer"&gt;&lt;/span&gt;re（再び）
videre（見る）
&lt;span class="spacer"&gt;&lt;/span&gt;このまま日本語にすると「再び見る」となる。15世紀半ばには、軍事において、訓練を繰り返し見てその有効性を評価することを表した。そこから書籍や何かを評価すること＝「論評」という意味になる。
&lt;span class="spacer"&gt;&lt;/span&gt;また過去を繰り返し振り返ることから「復習」という意味にもなる。&lt;/span&gt;</v>
      </c>
      <c r="S594" s="14" t="str">
        <f>INDEX($L:$L, MATCH("advise", $B:$B, 0))</f>
        <v>&lt;span class="w"&gt;&lt;b&gt;【620.advise：〜に/を助言（忠告）する】&lt;/b&gt;&lt;/span&gt;
&lt;span class="ml"&gt;ラテン語videre（見る）から派生した名詞visum（見解）に由来する。
&lt;span class="spacer"&gt;&lt;/span&gt;「見る」ことから「見解」という思考系の意味に派生することは、seeとI see.（なるほど）の関係からわかる。見ることと知ることは密接に結びついている。
&lt;span class="spacer"&gt;&lt;/span&gt;「見解」から自分の見解を出すという行為になって、「助言する, 忠告する」という意味になった。&lt;/span&gt;</v>
      </c>
      <c r="T594" s="14" t="str">
        <f>INDEX($L:$L, MATCH("revise", $B:$B, 0))</f>
        <v>&lt;span class="w"&gt;&lt;b&gt;【1231.revise：〜を修正する, 〜を改訂する】&lt;/b&gt;&lt;/span&gt;
&lt;span class="ml"&gt;ラテン語に由来する語で、以下の2つの要素から成る。
&lt;span class="spacer"&gt;&lt;/span&gt;re（再び）
videre（見る）
&lt;span class="spacer"&gt;&lt;/span&gt;このまま日本語にすると「再び見る」となる。一度出来上がったものを見直し、間違いを直したりアップデートしたりすることから「改訂する, 修正する」という意味になる。
&lt;div class="sample_image revise"&gt;&lt;/div&gt;&lt;/span&gt;</v>
      </c>
      <c r="U594" s="14" t="str">
        <f>INDEX($L:$L, MATCH("visual", $B:$B, 0))</f>
        <v>&lt;span class="w"&gt;&lt;b&gt;【393.visual：視覚の, 目に見える】&lt;/b&gt;&lt;/span&gt;
&lt;span class="ml"&gt;ラテン語に由来する語で、以下の2つの要素から成る。
&lt;span class="spacer"&gt;&lt;/span&gt;videre（見る）
alis（形容詞化）
&lt;span class="spacer"&gt;&lt;/span&gt;見るという視覚に関する形容詞となり、「視覚の, 目に見える」という意味になる。&lt;/span&gt;</v>
      </c>
      <c r="V594" s="14" t="str">
        <f>INDEX($L:$L, MATCH("evidence", $B:$B, 0))</f>
        <v>&lt;span class="w"&gt;&lt;b&gt;【74.evidence：証拠】&lt;/b&gt;&lt;/span&gt;
&lt;span class="ml"&gt;ラテン語に由来する語で、以下の2つの要素から成る。
&lt;span class="spacer"&gt;&lt;/span&gt;ex（外へ）
videre（見る）
&lt;span class="spacer"&gt;&lt;/span&gt;このまま日本語にすると「外に見える」となる。つまり隠れているのではなく「はっきり目に見える」というイメージ。ここからはっきり見える物＝明らかな物＝「証拠」という意味になる。
&lt;span class="spacer"&gt;&lt;/span&gt;「はっきり目に見える」というイメージを持っておくと、形容詞evidentが「明らかな」という意味になることも理解できる。&lt;/span&gt;</v>
      </c>
      <c r="W594" s="13" t="str">
        <f>INDEX($L:$L, MATCH("survey", $B:$B, 0))</f>
        <v>&lt;span class="w"&gt;&lt;b&gt;【207.survey：～を調査する, ～を概観する】&lt;/b&gt;&lt;/span&gt;
&lt;span class="ml"&gt;ラテン語に由来する語で、以下の2つの要素から成る。
&lt;span class="spacer"&gt;&lt;/span&gt;super（上に, 超えて）
videre（見る）
&lt;span class="spacer"&gt;&lt;/span&gt;このまま日本語にすると「上から見る」となる。俯瞰視点で全体に目を配ることから「調査する, 概観する」という意味になる。
&lt;div class="sample_image survey"&gt;&lt;/div&gt;&lt;/span&gt;</v>
      </c>
      <c r="AU594" s="15"/>
      <c r="AV594" s="1" t="s">
        <v>1502</v>
      </c>
      <c r="BG594" s="7" t="s">
        <v>1503</v>
      </c>
      <c r="BH594" s="1" t="s">
        <v>2034</v>
      </c>
      <c r="BI594" s="2" t="s">
        <v>3809</v>
      </c>
      <c r="BJ594" s="1" t="s">
        <v>1959</v>
      </c>
      <c r="BK594" s="1" t="s">
        <v>3810</v>
      </c>
      <c r="BL594" s="1" t="s">
        <v>1875</v>
      </c>
      <c r="BM594" s="2" t="s">
        <v>3811</v>
      </c>
    </row>
    <row r="595" spans="1:71" ht="409.6" x14ac:dyDescent="0.45">
      <c r="A595" s="5">
        <v>594</v>
      </c>
      <c r="B595" s="8" t="s">
        <v>1783</v>
      </c>
      <c r="C595" s="6" t="s">
        <v>6851</v>
      </c>
      <c r="D595" s="7" t="s">
        <v>9752</v>
      </c>
      <c r="E595" s="1" t="s">
        <v>1941</v>
      </c>
      <c r="F595" s="1" t="s">
        <v>1413</v>
      </c>
      <c r="G595" s="1" t="s">
        <v>1919</v>
      </c>
      <c r="H595" s="1" t="s">
        <v>1920</v>
      </c>
      <c r="J595" s="1" t="s">
        <v>9753</v>
      </c>
      <c r="K595" s="2" t="s">
        <v>7933</v>
      </c>
      <c r="L595" s="4" t="s">
        <v>8474</v>
      </c>
      <c r="M595" s="1" t="s">
        <v>12135</v>
      </c>
      <c r="P595" s="7" t="s">
        <v>1241</v>
      </c>
      <c r="Q595" s="14" t="str">
        <f>INDEX($L:$L, MATCH("respect", $B:$B, 0))</f>
        <v>&lt;span class="w"&gt;&lt;b&gt;【133.respect：〜を尊敬する】&lt;/b&gt;&lt;/span&gt;
&lt;span class="ml"&gt;ラテン語に由来する語で、以下の2つの要素から成る。
&lt;span class="spacer"&gt;&lt;/span&gt;re（後ろへ）
specere（見る）
&lt;span class="spacer"&gt;&lt;/span&gt;このまま日本語にすると「後ろを見る」となる。振り返って見る、1度見たものを何度もよく見るというイメージから、対象に注意、配慮、敬意を向ける、つまり「尊敬する」という意味になる。
&lt;span class="spacer"&gt;&lt;/span&gt;名詞respectは、ある事柄に何度も目を向けることから、目を向ける先の「ポイント」や「関係」を意味する。&lt;/span&gt;</v>
      </c>
      <c r="R595" s="14" t="str">
        <f>INDEX($L:$L, MATCH("aspect", $B:$B, 0))</f>
        <v>&lt;span class="w"&gt;&lt;b&gt;【174.aspect：側面, 観点】&lt;/b&gt;&lt;/span&gt;
&lt;span class="ml"&gt;ラテン語に由来する語で、以下の3つの要素から成る。
&lt;span class="spacer"&gt;&lt;/span&gt;ad（～へ）
specere（見る）
tus（名詞化）
&lt;span class="spacer"&gt;&lt;/span&gt;このまま日本語にすると「～へ見ること」となる。もともとは占星術用語として使われ、地球と他の惑星がどのように見えるかを意味した。たとえば地球から月を見るとき、地球上の観測点からは月のひとつの面しか見えない。
&lt;span class="spacer"&gt;&lt;/span&gt;ここから、自分から相手、相手から自分を見るそれぞれの「観点」や、見ている相手の「側面」という意味になる。
&lt;div class="sample_image aspect"&gt;&lt;/div&gt;&lt;/span&gt;</v>
      </c>
      <c r="S595" s="14" t="str">
        <f>INDEX($L:$L, MATCH("suspect", $B:$B, 0))</f>
        <v>&lt;span class="w"&gt;&lt;b&gt;【630.suspect：〜を疑う, 〜ではないかと思う】&lt;/b&gt;&lt;/span&gt;
&lt;span class="ml"&gt;ラテン語に由来する語で、以下の2つの要素から成る。
&lt;span class="spacer"&gt;&lt;/span&gt;sub（下から）
specere（見る）
&lt;span class="spacer"&gt;&lt;/span&gt;このまま日本語にすると「下から見る」となる。これは、下からこっそり見上げて疑いの目を向けるイメージ。ここから「疑う」という意味になる。
&lt;div class="sample_image suspect"&gt;&lt;/div&gt;&lt;/span&gt;</v>
      </c>
      <c r="T595" s="14" t="str">
        <f>INDEX($L:$L, MATCH("prospect", $B:$B, 0))</f>
        <v>&lt;span class="w"&gt;&lt;b&gt;【860.prospect：見込み, 未来への展望, 有望な人】&lt;/b&gt;&lt;/span&gt;
&lt;span class="ml"&gt;ラテン語に由来する語で、以下の2つの要素から成る。
&lt;span class="spacer"&gt;&lt;/span&gt;pro（前へ）
specere（見る）
&lt;span class="spacer"&gt;&lt;/span&gt;このまま日本語にすると「前方を見る」となる。物理的に遠くを見ることから、時間的に遠い将来を見ることへと発展して「見込み, 未来への展望」という意味になった。また未来を期待される人＝「将来有望な人」という意味にもなった。&lt;/span&gt;</v>
      </c>
      <c r="U595" s="14" t="str">
        <f>INDEX($L:$L, MATCH("perspective", $B:$B, 0))</f>
        <v>&lt;span class="w"&gt;&lt;b&gt;【365.perspective：観点（≒立場）, 大局観, 遠近法】&lt;/b&gt;&lt;/span&gt;
&lt;span class="ml"&gt;ラテン語に由来する語で、以下の2つの要素から成る。
&lt;span class="spacer"&gt;&lt;/span&gt;per（通して）
specere（見る）
&lt;span class="spacer"&gt;&lt;/span&gt;このまま日本語にすると「見通す」となる。これは「ある視点から対象の奥側まで全体を見通す」というイメージで、次の3つのポイントがある。①見る視点・②全体を見ること・③奥まで見ること。
&lt;span class="spacer"&gt;&lt;/span&gt;「見る視点」からは、物事を見るときの視点＝「観点, 立場」という意味になる。
&lt;span class="spacer"&gt;&lt;/span&gt;「全体を見る」からは、対局を見通す「大局観」という意味になる。
&lt;span class="spacer"&gt;&lt;/span&gt;「奥まで見る」からは、空間を見通して奥行や距離を正しく把握する「遠近法」という意味になる。
&lt;div class="sample_image perspective"&gt;&lt;/div&gt;
&lt;span class="spacer"&gt;&lt;/span&gt;perspectiveは、ある「観点, 立場」から「全体を見ること」。そしてその見方の一例が「遠近法」だと覚えればよい。&lt;/span&gt;</v>
      </c>
      <c r="V595" s="14" t="str">
        <f>INDEX($L:$L, MATCH("spectator", $B:$B, 0))</f>
        <v>&lt;span class="w"&gt;&lt;b&gt;【1465.spectator：観客】&lt;/b&gt;&lt;/span&gt;
&lt;span class="ml"&gt;ラテン語に由来する語で、以下の2つの要素から成る。
&lt;span class="spacer"&gt;&lt;/span&gt;spectare（繰り返し見る, 観察する）
or（〜する人）
&lt;span class="spacer"&gt;&lt;/span&gt;このまま日本語にすると「しっかり見る人, 観察する人」すなわち「観客」という意味になる。
&lt;span class="spacer"&gt;&lt;/span&gt;spectを見たら「見る」系の意味だと覚えておくとよい。&lt;/span&gt;</v>
      </c>
      <c r="W595" s="14" t="str">
        <f>INDEX($L:$L, MATCH("species", $B:$B, 0))</f>
        <v>&lt;span class="w"&gt;&lt;b&gt;【56.species：（生物の）種】&lt;/b&gt;&lt;/span&gt;
&lt;span class="ml"&gt;ラテン語specere（注視する）に由来する。
&lt;span class="spacer"&gt;&lt;/span&gt;何かを注視するということは、全体を見るのではなく、全体の中の特定のものに目を向けるということ。ここから生物全体の中の特定の種類＝「生物の種」という意味になる。
&lt;span class="spacer"&gt;&lt;/span&gt;ラテン語のspeciesが英語になっただけなので、-iesは英語の名詞複数形ではない。&lt;/span&gt;</v>
      </c>
      <c r="X595" s="14" t="str">
        <f>INDEX($L:$L, MATCH("specific", $B:$B, 0))</f>
        <v>&lt;span class="w"&gt;&lt;b&gt;【184.specific：特定の, 明確な, 具体的な, ～に特有の】&lt;/b&gt;&lt;/span&gt;
&lt;span class="ml"&gt;ラテン語に由来する語で、以下の2つの要素から成る。
&lt;span class="spacer"&gt;&lt;/span&gt;species（種類）
facere（作る, する）
&lt;span class="spacer"&gt;&lt;/span&gt;このまま日本語にすると「ある種類を作る」となる。何かの種類を作るとは、他の種類にはない特定の性質を持たせるということ。ここから「特定の, 特有の」という意味になる。
&lt;span class="spacer"&gt;&lt;/span&gt;また特定という意味から曖昧ではなく「明確な, 具体的な」という意味になる。&lt;/span&gt;</v>
      </c>
      <c r="Y595" s="14" t="str">
        <f>INDEX($L:$L, MATCH("spectrum", $B:$B, 0))</f>
        <v>&lt;span class="w"&gt;&lt;b&gt;【1369.spectrum：スペクトル, （波動・変動の）範囲】&lt;/b&gt;&lt;/span&gt;
&lt;span class="ml"&gt;ラテン語に由来する語で、以下の2つの要素から成る。
&lt;span class="spacer"&gt;&lt;/span&gt;specere（見る, 眺める）
um（名詞化）
&lt;span class="spacer"&gt;&lt;/span&gt;このまま日本語にすると「見えるもの」となり、核は「本来は見えないものが目の前に現れたもの」。
&lt;span class="spacer"&gt;&lt;/span&gt;物理学者のアイザック・ニュートンが、プリズムを通した太陽光が虹色に分かれる現象を発表した際、この暗闇に浮かび上がる光の帯を光が現れた姿と見立ててspectrumと名付けた。そこから目に見える光の色帯＝「スペクトル」という意味になった。
&lt;span class="spacer"&gt;&lt;/span&gt;さらに、光の波長が途切れることなく連続して広がっている様子から、光や音だけではなく事象や意見など、様々な物事が連続的に存在する「範囲」という意味にもなった。
&lt;div class="sample_image spectrum"&gt;&lt;/div&gt;&lt;/span&gt;</v>
      </c>
      <c r="Z595" s="14" t="str">
        <f>INDEX($L:$L, MATCH("despite", $B:$B, 0))</f>
        <v>&lt;span class="w"&gt;&lt;b&gt;【100.despite：～にもかかわらず】&lt;/b&gt;&lt;/span&gt;
&lt;span class="ml"&gt;ラテン語に由来する語で、以下の2つの要素から成る。
&lt;span class="spacer"&gt;&lt;/span&gt;de（下に）
specere（見る）
&lt;span class="spacer"&gt;&lt;/span&gt;このまま日本語にすると「下に見る」となる。これは見下すという対象の存在を軽く見る行為。「対象があってもなくても関係ない」から「～にもかかわらず」という意味になる。
&lt;span class="spacer"&gt;&lt;/span&gt;ターゲットの例文 "They went hiking despite the fact a storm was coming" は「嵐が来ている事実を、それが事実であろうとなかろうと関係なくハイキングに行った」ということを伝えている。この日本語訳を「嵐が来ているという事実&lt;strong&gt;にもかかわらず&lt;/strong&gt;」と表現しているだけ。&lt;/span&gt;</v>
      </c>
      <c r="AU595" s="15"/>
      <c r="AV595" s="1" t="s">
        <v>1502</v>
      </c>
      <c r="BG595" s="7" t="s">
        <v>1503</v>
      </c>
      <c r="BH595" s="1" t="s">
        <v>2034</v>
      </c>
      <c r="BI595" s="2" t="s">
        <v>7934</v>
      </c>
      <c r="BJ595" s="1" t="s">
        <v>1877</v>
      </c>
      <c r="BK595" s="2" t="s">
        <v>3812</v>
      </c>
    </row>
    <row r="596" spans="1:71" ht="108" x14ac:dyDescent="0.45">
      <c r="A596" s="5">
        <v>595</v>
      </c>
      <c r="B596" s="8" t="s">
        <v>392</v>
      </c>
      <c r="C596" s="6" t="s">
        <v>6851</v>
      </c>
      <c r="D596" s="7" t="s">
        <v>9752</v>
      </c>
      <c r="E596" s="1" t="s">
        <v>1784</v>
      </c>
      <c r="F596" s="1" t="s">
        <v>1551</v>
      </c>
      <c r="G596" s="1"/>
      <c r="J596" s="1" t="s">
        <v>9753</v>
      </c>
      <c r="K596" s="2" t="s">
        <v>7935</v>
      </c>
      <c r="L596" s="9" t="s">
        <v>8475</v>
      </c>
      <c r="P596" s="7" t="s">
        <v>1241</v>
      </c>
      <c r="AU596" s="15"/>
      <c r="AV596" s="1" t="s">
        <v>1502</v>
      </c>
      <c r="BG596" s="7" t="s">
        <v>1503</v>
      </c>
      <c r="BH596" s="1" t="s">
        <v>2458</v>
      </c>
      <c r="BI596" s="2" t="s">
        <v>3813</v>
      </c>
      <c r="BJ596" s="1" t="s">
        <v>2036</v>
      </c>
      <c r="BK596" s="2" t="s">
        <v>3814</v>
      </c>
      <c r="BL596" s="1" t="s">
        <v>1875</v>
      </c>
      <c r="BM596" s="2" t="s">
        <v>3815</v>
      </c>
      <c r="BN596" s="1" t="s">
        <v>1877</v>
      </c>
      <c r="BO596" s="2" t="s">
        <v>3816</v>
      </c>
    </row>
    <row r="597" spans="1:71" ht="216" x14ac:dyDescent="0.45">
      <c r="A597" s="5">
        <v>596</v>
      </c>
      <c r="B597" s="8" t="s">
        <v>393</v>
      </c>
      <c r="C597" s="6" t="s">
        <v>6851</v>
      </c>
      <c r="D597" s="7" t="s">
        <v>9752</v>
      </c>
      <c r="E597" s="1" t="s">
        <v>49</v>
      </c>
      <c r="F597" s="1" t="s">
        <v>3817</v>
      </c>
      <c r="G597" s="1"/>
      <c r="J597" s="1" t="s">
        <v>9753</v>
      </c>
      <c r="K597" s="2" t="s">
        <v>7936</v>
      </c>
      <c r="L597" s="4" t="s">
        <v>12107</v>
      </c>
      <c r="M597" s="1" t="s">
        <v>12208</v>
      </c>
      <c r="P597" s="7" t="s">
        <v>1241</v>
      </c>
      <c r="Q597" s="13" t="str">
        <f>INDEX($L:$L, MATCH("alter", $B:$B, 0))</f>
        <v>&lt;span class="w"&gt;&lt;b&gt;【524.alter：〜を変える, 変わる】&lt;/b&gt;&lt;/span&gt;
&lt;span class="ml"&gt;次の2つの印欧祖語の要素にさかのぼる。
&lt;span class="spacer"&gt;&lt;/span&gt;*al（向こう側に）
ter（比較級接尾辞）
&lt;span class="spacer"&gt;&lt;/span&gt;この語はもともと比較の要素を持っており、核となるのは「こちら側と向こう側を比較して向こう側」ということ。ここから、2つのうち一方ではなくてもう一方ということを表した。これが動詞になって一方から他方に「変える, 変わる」という意味になった。&lt;/span&gt;</v>
      </c>
      <c r="R597" s="13" t="str">
        <f>INDEX($L:$L, MATCH("alternate", $B:$B, 0))</f>
        <v>&lt;span class="w"&gt;&lt;b&gt;【1490.alternate：交互の, 代わりの】&lt;/b&gt;&lt;/span&gt;
&lt;span class="ml"&gt;印欧祖語に由来する語で、以下の2つの要素から成る。
&lt;span class="spacer"&gt;&lt;/span&gt;*al-（〜の向こうに）
tero（比較級を作る）
&lt;span class="spacer"&gt;&lt;/span&gt;印欧祖語*al-tero-は、こちら側と向こう側を比較して（結果的に）向こう側というイメージから、2つのうちの他方を指す。
&lt;span class="spacer"&gt;&lt;/span&gt;AとBがあるときに、Aから見た向こう側B、Bから見た向こう側Aを繰り返す、すなわちA→B→A→B→…となることから「交互の」という意味になった。
I visit my grandmother on alternate weekends.
訪れる週→訪れない週→…（つまり隔週）
&lt;span class="spacer"&gt;&lt;/span&gt;また現在あるものが使えない場合に、他方を使うという発想から、「代わりの」という意味にもなった。
&lt;div class="sample_image alternate"&gt;&lt;/div&gt;&lt;/span&gt;</v>
      </c>
      <c r="S597" s="13" t="str">
        <f>INDEX($L:$L, MATCH("parallel", $B:$B, 0))</f>
        <v>&lt;span class="w"&gt;&lt;b&gt;【1186.parallel：平行の, 並行の】&lt;/b&gt;&lt;/span&gt;
&lt;span class="ml"&gt;ギリシャ語に由来する語で、以下の2つの要素から成る。
&lt;span class="spacer"&gt;&lt;/span&gt;para（傍らに）
allēlois（お互いに）
&lt;span class="spacer"&gt;&lt;/span&gt;このまま日本語にすると「お互いが傍にある」となる。そこから幾何学において、お互いが傍にあって交わらない＝「平行な」や、お互いが傍に並んで進んで行く＝「並行な」という意味になった。
&lt;div class="sample_image parallel"&gt;&lt;/div&gt;&lt;/span&gt;</v>
      </c>
      <c r="AV597" s="1" t="s">
        <v>1502</v>
      </c>
      <c r="BG597" s="7" t="s">
        <v>1503</v>
      </c>
      <c r="BH597" s="1" t="s">
        <v>1976</v>
      </c>
      <c r="BI597" s="1" t="s">
        <v>3818</v>
      </c>
      <c r="BJ597" s="1" t="s">
        <v>2034</v>
      </c>
      <c r="BK597" s="2" t="s">
        <v>3819</v>
      </c>
      <c r="BL597" s="1" t="s">
        <v>1959</v>
      </c>
      <c r="BM597" s="1" t="s">
        <v>3820</v>
      </c>
      <c r="BN597" s="1" t="s">
        <v>1875</v>
      </c>
      <c r="BO597" s="2" t="s">
        <v>3821</v>
      </c>
      <c r="BP597" s="1" t="s">
        <v>3496</v>
      </c>
      <c r="BQ597" s="2" t="s">
        <v>3822</v>
      </c>
    </row>
    <row r="598" spans="1:71" ht="252" x14ac:dyDescent="0.45">
      <c r="A598" s="5">
        <v>597</v>
      </c>
      <c r="B598" s="8" t="s">
        <v>394</v>
      </c>
      <c r="C598" s="6" t="s">
        <v>6851</v>
      </c>
      <c r="D598" s="7" t="s">
        <v>9752</v>
      </c>
      <c r="E598" s="1" t="s">
        <v>27</v>
      </c>
      <c r="F598" s="1" t="s">
        <v>7937</v>
      </c>
      <c r="G598" s="1" t="s">
        <v>49</v>
      </c>
      <c r="J598" s="1" t="s">
        <v>9753</v>
      </c>
      <c r="K598" s="2" t="s">
        <v>7938</v>
      </c>
      <c r="L598" s="4" t="s">
        <v>8476</v>
      </c>
      <c r="M598" s="1" t="s">
        <v>12137</v>
      </c>
      <c r="P598" s="7" t="s">
        <v>1241</v>
      </c>
      <c r="Q598" s="14" t="str">
        <f>INDEX($L:$L, MATCH("issue", $B:$B, 0))</f>
        <v>&lt;span class="w"&gt;&lt;b&gt;【63.issue：問題, 発行（物）, 発表】&lt;/b&gt;&lt;/span&gt;
&lt;span class="ml"&gt;ラテン語に由来する語で、以下の2つの要素から成る。
&lt;span class="spacer"&gt;&lt;/span&gt;ex（外に）
ire（行く）
&lt;span class="spacer"&gt;&lt;/span&gt;このまま日本語にすると「外に行く」となる。この語の核は「内側から表（外）に出る」であり、ここから「発行（物）, 発表」という意味になる。
&lt;span class="spacer"&gt;&lt;/span&gt;また裁判で表に出てきた争点という法的な意味で使われ、決定すべき重要な「問題」という一般的な意味になった。&lt;/span&gt;</v>
      </c>
      <c r="R598" s="14" t="str">
        <f>INDEX($L:$L, MATCH("ambition", $B:$B, 0))</f>
        <v>&lt;span class="w"&gt;&lt;b&gt;【978.ambition：願望, 野望】&lt;/b&gt;&lt;/span&gt;
&lt;span class="ml"&gt;ラテン語に由来する語で、以下の3つの要素から成る。
&lt;span class="spacer"&gt;&lt;/span&gt;amb（周囲に）
ire（行く）
io（名詞化）
&lt;span class="spacer"&gt;&lt;/span&gt;このまま日本語にすると「周囲を行くこと」となる。もともとは選挙で票を得るためにあちこち行くことを表し、名誉や権力を求めて走るという政治的な活動を指していた。そこから一般的に、何かを成し遂げようとする前向きな気持ちを表すようになって「願望, 野望」という意味になった。
&lt;div class="sample_image ambition"&gt;&lt;/div&gt;&lt;/span&gt;</v>
      </c>
      <c r="S598" s="13" t="str">
        <f>INDEX($L:$L, MATCH("transition", $B:$B, 0))</f>
        <v>&lt;span class="w"&gt;&lt;b&gt;【964.transition：移り変わり, 移行】&lt;/b&gt;&lt;/span&gt;
&lt;span class="ml"&gt;ラテン語に由来する語で、以下の2つの要素から成る。
&lt;span class="spacer"&gt;&lt;/span&gt;trans（越えて, 向こう）
ire（行く）
io（名詞化）
&lt;span class="spacer"&gt;&lt;/span&gt;このまま日本語にすると「越えて行くこと」となる。そこからある状態から別の状態へ越えて行くこと、つまり「移行, 移り変わり」という意味になる。
&lt;div class="sample_image transition"&gt;&lt;/div&gt;&lt;/span&gt;</v>
      </c>
      <c r="AU598" s="15"/>
      <c r="AV598" s="1" t="s">
        <v>1502</v>
      </c>
      <c r="BG598" s="7" t="s">
        <v>1503</v>
      </c>
      <c r="BH598" s="1" t="s">
        <v>2034</v>
      </c>
      <c r="BI598" s="2" t="s">
        <v>7939</v>
      </c>
      <c r="BJ598" s="1" t="s">
        <v>1996</v>
      </c>
      <c r="BK598" s="1" t="s">
        <v>394</v>
      </c>
      <c r="BL598" s="1" t="s">
        <v>1877</v>
      </c>
      <c r="BM598" s="2" t="s">
        <v>3823</v>
      </c>
    </row>
    <row r="599" spans="1:71" ht="144" x14ac:dyDescent="0.45">
      <c r="A599" s="5">
        <v>598</v>
      </c>
      <c r="B599" s="8" t="s">
        <v>395</v>
      </c>
      <c r="C599" s="6" t="s">
        <v>6851</v>
      </c>
      <c r="D599" s="7" t="s">
        <v>9752</v>
      </c>
      <c r="E599" s="1" t="s">
        <v>1413</v>
      </c>
      <c r="F599" s="1" t="s">
        <v>1731</v>
      </c>
      <c r="G599" s="1"/>
      <c r="J599" s="1" t="s">
        <v>9753</v>
      </c>
      <c r="K599" s="2" t="s">
        <v>7940</v>
      </c>
      <c r="L599" s="2" t="s">
        <v>8477</v>
      </c>
      <c r="M599" s="1" t="s">
        <v>12174</v>
      </c>
      <c r="P599" s="7" t="s">
        <v>1241</v>
      </c>
      <c r="Q599" s="13" t="str">
        <f>INDEX($L:$L, MATCH("active", $B:$B, 0))</f>
        <v>&lt;span class="w"&gt;&lt;b&gt;【193.active：積極的な, 活動的な】&lt;/b&gt;&lt;/span&gt;
&lt;span class="ml"&gt;ラテン語に由来する語で、以下の2つの要素から成る。
&lt;span class="spacer"&gt;&lt;/span&gt;agere（行う）の過去分詞actus（行為）
ivus（形容詞化）
&lt;span class="spacer"&gt;&lt;/span&gt;この形容詞は何かの行為をしている状態を表し、そこから「活動的な」という意味になる。また自分で進んで活動することから「積極的な」という意味にもなる。&lt;/span&gt;</v>
      </c>
      <c r="R599" s="13" t="str">
        <f>INDEX($L:$L, MATCH("actual", $B:$B, 0))</f>
        <v>&lt;span class="w"&gt;&lt;b&gt;【297.actual：実際の, 現実の】&lt;/b&gt;&lt;/span&gt;
&lt;span class="ml"&gt;ラテン語に由来する語で、以下の2つの要素から成る。
&lt;span class="spacer"&gt;&lt;/span&gt;agere（行う）から派生したactus（行為）
alis（形容詞化）
&lt;span class="spacer"&gt;&lt;/span&gt;「行為に関する」という形容詞は、理想（ideal）や潜在（potential）ではなく、現実に行われたということを意味する。ここから「実際の, 現実の」となる。&lt;/span&gt;</v>
      </c>
      <c r="S599" s="13" t="str">
        <f>INDEX($L:$L, MATCH("transaction", $B:$B, 0))</f>
        <v>&lt;span class="w"&gt;&lt;b&gt;【1447.transaction：（商）取引, 決済, 処理】&lt;/b&gt;&lt;/span&gt;
&lt;span class="ml"&gt;ラテン語に由来する語で、以下の3つの要素から成る。
&lt;span class="spacer"&gt;&lt;/span&gt;trans（越えて, 通して）
agere（動かす, 行う）
io（名詞化）
&lt;span class="spacer"&gt;&lt;/span&gt;このまま日本語にすると「（物事を最後まで）通して行うこと」となる。もともとは、何かを最後までやり遂げることを表した。そこから、業務や契約などの正式な「処理」、さらに商業における「取引」や「決済」も意味するようになった。
&lt;div class="sample_image transaction"&gt;&lt;/div&gt;&lt;/span&gt;</v>
      </c>
      <c r="T599" s="13" t="str">
        <f>INDEX($L:$L, MATCH("interact", $B:$B, 0))</f>
        <v>&lt;span class="w"&gt;&lt;b&gt;【537.interact：影響し合う, 相互に作用する】&lt;/b&gt;&lt;/span&gt;
&lt;span class="ml"&gt;近代英語にさかのぼり、以下の2つの要素から成る。
&lt;span class="spacer"&gt;&lt;/span&gt;inter（〜の間に）
act（行う, 作用する）
&lt;span class="spacer"&gt;&lt;/span&gt;このまま日本語にすると「何かと何かの間で作用する」となる。ここから「お互いが影響し合う」や「相互に作用する」という意味になる。&lt;/span&gt;</v>
      </c>
      <c r="U599" s="13" t="str">
        <f>INDEX($L:$L, MATCH("react", $B:$B, 0))</f>
        <v>&lt;span class="w"&gt;&lt;b&gt;【605.react：反応する】&lt;/b&gt;&lt;/span&gt;
&lt;span class="ml"&gt;近代英語にさかのぼり、以下の2つの要素から成る。
&lt;span class="spacer"&gt;&lt;/span&gt;re（後ろへ, 返して）
act（行う）
&lt;span class="spacer"&gt;&lt;/span&gt;このまま日本語にすると「何かに返して行う」となる。出来事や行為に対して何かを行うことから「反応する」という意味になる。&lt;/span&gt;</v>
      </c>
      <c r="V599" s="13" t="str">
        <f>INDEX($L:$L, MATCH("agent", $B:$B, 0))</f>
        <v>&lt;span class="w"&gt;&lt;b&gt;【752.agent：仲介者, 代理人】&lt;/b&gt;&lt;/span&gt;
&lt;span class="ml"&gt;ラテン語に由来する語で、以下の2つの要素から成る。
&lt;span class="spacer"&gt;&lt;/span&gt;agere（行う）
ens（現在分詞を作る：〜しているもの）
&lt;span class="spacer"&gt;&lt;/span&gt;このまま日本語にすると「何かを行なっているもの」となる。もともとは行為者を表していたが、そこから誰かに代わって行動する者、すなわち「代理人, 仲介者」という意味になった。また「特定の作用を引き起こす原因となる物質や力」という意味もある。&lt;/span&gt;</v>
      </c>
      <c r="W599" s="13" t="str">
        <f>INDEX($L:$L, MATCH("agenda", $B:$B, 0))</f>
        <v>&lt;span class="w"&gt;&lt;b&gt;【1347.agenda：協議事項, 会議の議題, 予定, 計画, 隠れた意図】&lt;/b&gt;&lt;/span&gt;
&lt;span class="ml"&gt;ラテン語agere（行う, 駆り立てる）から派生したagendus（行われるべき）に由来する。
&lt;span class="spacer"&gt;&lt;/span&gt;この語の核は「行われるべき事柄」。会議で行われるべきことなら「協議事項, 会議の議題」という意味に、個人や組織の行われるべきことなら「予定・計画」という意味に、表に出ていない行われるべきことなら「隠れた意図」という意味になる。
&lt;span class="spacer"&gt;&lt;/span&gt;イメージとしてはto-do list（やるべきことリスト）やplan（計画）に近い。
&lt;div class="sample_image agenda"&gt;&lt;/div&gt;
&lt;span class="spacer"&gt;&lt;/span&gt;ラテン語agereからは、act（行動する）やagent（代理人, 行為者）なども生まれている。actは行うという行為、agentは行う人、agendaは行うべきことの協議リストを指す。&lt;/span&gt;</v>
      </c>
      <c r="X599" s="13" t="str">
        <f>INDEX($L:$L, MATCH("ambiguous", $B:$B, 0))</f>
        <v>&lt;span class="w"&gt;&lt;b&gt;【1386.ambiguous：あいまいな, 多義的な】&lt;/b&gt;&lt;/span&gt;
&lt;span class="ml"&gt;ラテン語に由来する語で、以下の3つの要素から成る。
&lt;span class="spacer"&gt;&lt;/span&gt;ambi（～の周りに）
agere（駆り立てる, 行う）
us（形容詞化）
&lt;span class="spacer"&gt;&lt;/span&gt;もともとは、あちこち行き来するというような動きや、どちらにも決められず心が揺れ動く状態を表した。このような、どちらの方向にも動けて方向が定まらない、心がふらふらして一つの場所に定まらないという本来のイメージから転じて、言葉や態度がはっきりひとつの意味に定まらず「あいまいな, 多義的な」という意味になった。
&lt;div class="sample_image ambiguous"&gt;&lt;/div&gt;&lt;/span&gt;</v>
      </c>
      <c r="AU599" s="15"/>
      <c r="AV599" s="1" t="s">
        <v>1502</v>
      </c>
      <c r="BG599" s="7" t="s">
        <v>1503</v>
      </c>
      <c r="BH599" s="1" t="s">
        <v>2034</v>
      </c>
      <c r="BI599" s="2" t="s">
        <v>7941</v>
      </c>
      <c r="BJ599" s="1" t="s">
        <v>1877</v>
      </c>
      <c r="BK599" s="2" t="s">
        <v>3824</v>
      </c>
    </row>
    <row r="600" spans="1:71" ht="144" x14ac:dyDescent="0.45">
      <c r="A600" s="5">
        <v>599</v>
      </c>
      <c r="B600" s="8" t="s">
        <v>396</v>
      </c>
      <c r="C600" s="6" t="s">
        <v>6851</v>
      </c>
      <c r="D600" s="7" t="s">
        <v>9752</v>
      </c>
      <c r="E600" s="1" t="s">
        <v>1338</v>
      </c>
      <c r="F600" s="1" t="s">
        <v>3825</v>
      </c>
      <c r="G600" s="1"/>
      <c r="J600" s="1" t="s">
        <v>9753</v>
      </c>
      <c r="K600" s="2" t="s">
        <v>7942</v>
      </c>
      <c r="L600" s="3" t="s">
        <v>8478</v>
      </c>
      <c r="M600" s="1" t="s">
        <v>12114</v>
      </c>
      <c r="P600" s="7" t="s">
        <v>1241</v>
      </c>
      <c r="Q600" s="13" t="str">
        <f>INDEX($L:$L, MATCH("decide", $B:$B, 0))</f>
        <v>&lt;span class="w"&gt;&lt;b&gt;【11.decide：～を決める】&lt;/b&gt;&lt;/span&gt;
&lt;span class="ml"&gt;ラテン語に由来する語で、以下の2つの要素からなる。
&lt;span class="spacer"&gt;&lt;/span&gt;de（離れて）
caedere（切る）
&lt;span class="spacer"&gt;&lt;/span&gt;このまま日本語にすると「切り離す」となる。あれこれ考えてしまう物事を思考から切り離すイメージから「決める, 決断する, 決心する」という意味になる。一度決めてしまえば、もう考える必要がないので思考から切り離される。
&lt;span class="spacer"&gt;&lt;/span&gt;決断の「断」は、断つ＝切り離すという意味なので、ラテン語の意味と日本語の感覚はぴったり合っている。&lt;/span&gt;</v>
      </c>
      <c r="R600" s="13" t="str">
        <f>INDEX($L:$L, MATCH("suicide", $B:$B, 0))</f>
        <v>&lt;span class="w"&gt;&lt;b&gt;【1360.suicide：自殺】&lt;/b&gt;&lt;/span&gt;
&lt;span class="ml"&gt;ラテン語に由来する語で、以下の3つの要素から成る。
&lt;span class="spacer"&gt;&lt;/span&gt;sui（自分自身の）
caedere（殺す, 切る）
ium（名詞化）
&lt;span class="spacer"&gt;&lt;/span&gt;このまま日本語にすると「自分自身を殺すこと」となり、そこから「自殺」という意味になる。
&lt;span class="spacer"&gt;&lt;/span&gt;ラテン語sui（自分自身の）は、印欧祖語*s(w)e-（自分自身）にさかのぼる。この印欧祖語からはselfも生まれている。
&lt;span class="spacer"&gt;&lt;/span&gt;またラテン語caedere（殺す, 切る）からは、decide（決断する）・precise（正確な）・concise（簡潔な）も生まれている。いずれも「切る」が核となっている。
&lt;span class="spacer"&gt;&lt;/span&gt;suicideは、self（自身を）＋cide（切る, 殺す）と考えればよい。&lt;/span&gt;</v>
      </c>
      <c r="S600" s="13" t="str">
        <f>INDEX($L:$L, MATCH("pesticide", $B:$B, 0))</f>
        <v>&lt;span class="w"&gt;&lt;b&gt;【1073.pesticide：殺虫剤】&lt;/b&gt;&lt;/span&gt;
&lt;span class="ml"&gt;現代英語で、以下の2つの要素から成る。
&lt;span class="spacer"&gt;&lt;/span&gt;pest（害虫）
cide（殺すもの）
&lt;span class="spacer"&gt;&lt;/span&gt;このまま日本語にすると「害虫を殺すもの」つまり「殺虫剤」という意味になる。&lt;/span&gt;</v>
      </c>
      <c r="AU600" s="15"/>
      <c r="AV600" s="1" t="s">
        <v>1502</v>
      </c>
      <c r="BG600" s="7" t="s">
        <v>1503</v>
      </c>
      <c r="BH600" s="1" t="s">
        <v>2034</v>
      </c>
      <c r="BI600" s="2" t="s">
        <v>3826</v>
      </c>
      <c r="BJ600" s="1" t="s">
        <v>1967</v>
      </c>
      <c r="BK600" s="1" t="s">
        <v>3827</v>
      </c>
      <c r="BL600" s="1" t="s">
        <v>1959</v>
      </c>
      <c r="BM600" s="2" t="s">
        <v>3828</v>
      </c>
      <c r="BN600" s="1" t="s">
        <v>1875</v>
      </c>
      <c r="BO600" s="2" t="s">
        <v>3829</v>
      </c>
    </row>
    <row r="601" spans="1:71" ht="234" x14ac:dyDescent="0.45">
      <c r="A601" s="5">
        <v>600</v>
      </c>
      <c r="B601" s="8" t="s">
        <v>397</v>
      </c>
      <c r="C601" s="6" t="s">
        <v>6851</v>
      </c>
      <c r="D601" s="7" t="s">
        <v>9752</v>
      </c>
      <c r="E601" s="1" t="s">
        <v>1785</v>
      </c>
      <c r="F601" s="1" t="s">
        <v>1786</v>
      </c>
      <c r="G601" s="1"/>
      <c r="J601" s="1" t="s">
        <v>9753</v>
      </c>
      <c r="K601" s="2" t="s">
        <v>7943</v>
      </c>
      <c r="L601" s="9" t="s">
        <v>8591</v>
      </c>
      <c r="P601" s="7" t="s">
        <v>1241</v>
      </c>
      <c r="AU601" s="15"/>
      <c r="AV601" s="1" t="s">
        <v>1502</v>
      </c>
      <c r="BG601" s="7" t="s">
        <v>1503</v>
      </c>
      <c r="BH601" s="1" t="s">
        <v>1872</v>
      </c>
      <c r="BI601" s="2" t="s">
        <v>3830</v>
      </c>
      <c r="BJ601" s="1" t="s">
        <v>1875</v>
      </c>
      <c r="BK601" s="2" t="s">
        <v>3831</v>
      </c>
      <c r="BL601" s="1" t="s">
        <v>1877</v>
      </c>
      <c r="BM601" s="2" t="s">
        <v>3832</v>
      </c>
    </row>
    <row r="602" spans="1:71" ht="252" x14ac:dyDescent="0.45">
      <c r="A602" s="5">
        <v>601</v>
      </c>
      <c r="B602" s="8" t="s">
        <v>398</v>
      </c>
      <c r="C602" s="6" t="s">
        <v>1816</v>
      </c>
      <c r="D602" s="7" t="s">
        <v>9752</v>
      </c>
      <c r="E602" s="1" t="s">
        <v>1467</v>
      </c>
      <c r="F602" s="1" t="s">
        <v>1614</v>
      </c>
      <c r="G602" s="1"/>
      <c r="J602" s="1" t="s">
        <v>9753</v>
      </c>
      <c r="K602" s="2" t="s">
        <v>7945</v>
      </c>
      <c r="L602" s="4" t="s">
        <v>8479</v>
      </c>
      <c r="M602" s="1" t="s">
        <v>12203</v>
      </c>
      <c r="P602" s="7" t="s">
        <v>1241</v>
      </c>
      <c r="Q602" s="13" t="str">
        <f>INDEX($L:$L, MATCH("admit", $B:$B, 0))</f>
        <v>&lt;span class="w"&gt;&lt;b&gt;【406.admit：〜を認める, 入場・入学を認める】&lt;/b&gt;&lt;/span&gt;
&lt;span class="ml"&gt;ラテン語に由来する語で、以下の2つの要素から成る。
&lt;span class="spacer"&gt;&lt;/span&gt;ad（～へ）
mittere（送る, 放つ）
&lt;span class="spacer"&gt;&lt;/span&gt;このまま日本語にすると「〜へ送る」となる。これは、外から来たものをそのまま内側へ送るイメージ。そこから、学校や会場で内側へ送るなら「入場・入学を認める」、議論において主張や真実を内側に送るなら「認める」という意味になる。
&lt;div class="sample_image admit"&gt;&lt;/div&gt;&lt;/span&gt;</v>
      </c>
      <c r="R602" s="13" t="str">
        <f>INDEX($L:$L, MATCH("submit", $B:$B, 0))</f>
        <v>&lt;span class="w"&gt;&lt;b&gt;【928.submit：〜を提出する, submit oneself 従う】&lt;/b&gt;&lt;/span&gt;
&lt;span class="ml"&gt;ラテン語に由来する語で、以下の2つの要素から成る。
&lt;span class="spacer"&gt;&lt;/span&gt;sub（〜の下に）
mittere（送る, 放つ）
&lt;span class="spacer"&gt;&lt;/span&gt;このまま日本語にすると「下に送る」となる。この物理的な下方向への動きから、自分自身を相手の下に置き、相手に「従う」という意味になった。さらに、自分で判断するのではなく他者の判断に従うために、自分の意見や考えなどを差し出すことから、何かを「提出する」という意味にもなった。
&lt;div class="sample_image submit"&gt;&lt;/div&gt;&lt;/span&gt;</v>
      </c>
      <c r="S602" s="13" t="str">
        <f>INDEX($L:$L, MATCH("emit", $B:$B, 0))</f>
        <v>&lt;span class="w"&gt;&lt;b&gt;【1322.emit：（光・熱などを）放つ, 排出する】&lt;/b&gt;&lt;/span&gt;
&lt;span class="ml"&gt;ラテン語に由来する語で、以下の2つの要素から成る。
&lt;span class="spacer"&gt;&lt;/span&gt;ex（外に）
mittere（送る）
&lt;span class="spacer"&gt;&lt;/span&gt;このまま日本語にすると「外に送る」となる。物理的に何かを外へ送り出すという動作から、目に見えないエネルギーや気体などを「放つ, 排出する」という意味になった。
&lt;div class="sample_image emit"&gt;&lt;/div&gt;&lt;/span&gt;</v>
      </c>
      <c r="T602" s="13" t="str">
        <f>INDEX($L:$L, MATCH("permit", $B:$B, 0))</f>
        <v>&lt;span class="w"&gt;&lt;b&gt;【628.permit：〜を許可する】&lt;/b&gt;&lt;/span&gt;
&lt;span class="ml"&gt;ラテン語に由来する語で、以下の2つの要素から成る。
&lt;span class="spacer"&gt;&lt;/span&gt;per（前へ, 通って）
mittere（送る, 放つ）
&lt;span class="spacer"&gt;&lt;/span&gt;このまま日本語にすると「通して送る」となる。これは、通過を妨げないで行かせることから「許可する」という意味になる。
&lt;div class="sample_image permit"&gt;&lt;/div&gt;&lt;/span&gt;</v>
      </c>
      <c r="U602" s="13" t="str">
        <f>INDEX($L:$L, MATCH("transmit", $B:$B, 0))</f>
        <v>&lt;span class="w"&gt;&lt;b&gt;【1028.transmit：〜を伝える, （電波や信号など）を送る】&lt;/b&gt;&lt;/span&gt;
&lt;span class="ml"&gt;ラテン語に由来する語で、以下の2つの要素から成る。
&lt;span class="spacer"&gt;&lt;/span&gt;trans（越えて, 向こうへ）
mittere（送る, 放つ）
&lt;span class="spacer"&gt;&lt;/span&gt;このまま日本語にすると「越えて送る」となる。もともとは、何かを隔てた向こう側へ送るという物理的な移動を表した。そこからエネルギーや情報など、空間を越えて「伝える, 送る」という意味になった。
&lt;div class="sample_image transmit"&gt;&lt;/div&gt;&lt;/span&gt;</v>
      </c>
      <c r="AU602" s="15"/>
      <c r="AV602" s="1" t="s">
        <v>1502</v>
      </c>
      <c r="BG602" s="7" t="s">
        <v>1503</v>
      </c>
      <c r="BH602" s="1" t="s">
        <v>2034</v>
      </c>
      <c r="BI602" s="2" t="s">
        <v>3833</v>
      </c>
      <c r="BJ602" s="1" t="s">
        <v>1875</v>
      </c>
      <c r="BK602" s="2" t="s">
        <v>3835</v>
      </c>
      <c r="BL602" s="1" t="s">
        <v>1877</v>
      </c>
      <c r="BM602" s="2" t="s">
        <v>3834</v>
      </c>
    </row>
    <row r="603" spans="1:71" ht="90" x14ac:dyDescent="0.45">
      <c r="A603" s="5">
        <v>602</v>
      </c>
      <c r="B603" s="8" t="s">
        <v>399</v>
      </c>
      <c r="C603" s="6" t="s">
        <v>1816</v>
      </c>
      <c r="D603" s="7" t="s">
        <v>9752</v>
      </c>
      <c r="E603" s="6" t="s">
        <v>1921</v>
      </c>
      <c r="F603" s="1" t="s">
        <v>1818</v>
      </c>
      <c r="G603" s="1"/>
      <c r="J603" s="1" t="s">
        <v>9753</v>
      </c>
      <c r="K603" s="2" t="s">
        <v>7946</v>
      </c>
      <c r="L603" s="4" t="s">
        <v>8480</v>
      </c>
      <c r="M603" s="1" t="s">
        <v>12192</v>
      </c>
      <c r="P603" s="7" t="s">
        <v>1241</v>
      </c>
      <c r="Q603" s="13" t="str">
        <f>INDEX($L:$L, MATCH("distinguish", $B:$B, 0))</f>
        <v>&lt;span class="w"&gt;&lt;b&gt;【422.distinguish：〜を区別する】&lt;/b&gt;&lt;/span&gt;
&lt;span class="ml"&gt;ラテン語に由来する語で、以下の2つの要素から成る。
&lt;span class="spacer"&gt;&lt;/span&gt;dis（離れて）
stinguere（突く, 刺激する）
&lt;span class="spacer"&gt;&lt;/span&gt;このまま日本語にすると「突き刺して離す」となる。ここから何かを分ける＝「区別する」という意味になる。&lt;/span&gt;</v>
      </c>
      <c r="R603" s="13" t="str">
        <f>INDEX($L:$L, MATCH("distinct", $B:$B, 0))</f>
        <v>&lt;span class="w"&gt;&lt;b&gt;【582.distinct：明らかに異なる, 明瞭な】&lt;/b&gt;&lt;/span&gt;
&lt;span class="ml"&gt;ラテン語に由来する語で、以下の2つの要素から成る。
&lt;span class="spacer"&gt;&lt;/span&gt;［distinguishの語源］
dis（離れて）
stinguere（突く, 刺激する）
&lt;span class="spacer"&gt;&lt;/span&gt;このまま日本語にすると「突き刺して離す」となる。ここから何かを分ける＝「区別する」という意味になる。
&lt;span class="spacer"&gt;&lt;/span&gt;［disitinctの語源］
動詞distinguishには、中英語期にdistinctenという異なる形があり、この過去分詞からdisitinctという形容詞が生まれた。
&lt;span class="spacer"&gt;&lt;/span&gt;「区別する」の過去分詞「区別された」から、他から切り離されているので他のものとは「明らかに異なる」、違いが「明瞭な」という意味になった。
&lt;div class="sample_image distinct"&gt;&lt;/div&gt;&lt;/span&gt;</v>
      </c>
      <c r="S603" s="13" t="str">
        <f>INDEX($L:$L, MATCH("extinct", $B:$B, 0))</f>
        <v>&lt;span class="w"&gt;&lt;b&gt;【694.extinct：絶滅した, 廃止された】&lt;/b&gt;&lt;/span&gt;
&lt;span class="ml"&gt;ラテン語に由来する語で、以下の2つの要素から成る。
&lt;span class="spacer"&gt;&lt;/span&gt;ex（外に）
stinguere（消す, 突き刺す）
&lt;span class="spacer"&gt;&lt;/span&gt;ロウソクの火を指でつまんで消す時の突き刺すような痛みや、棒で突いて火を消すという動作のイメージから「突き刺す」が「火を消す」になる。
&lt;span class="spacer"&gt;&lt;/span&gt;そして実際に火が消えることから、比喩的に命の火が消えて絶えることを表すようになり、「絶滅した」という意味になった。&lt;/span&gt;</v>
      </c>
      <c r="T603" s="13" t="str">
        <f>INDEX($L:$L, MATCH("instinct", $B:$B, 0))</f>
        <v>&lt;span class="w"&gt;&lt;b&gt;【856.instinct：本能, 直感, 自然に起こる衝動】&lt;/b&gt;&lt;/span&gt;
&lt;span class="ml"&gt;ラテン語に由来する語で、以下の2つの要素から成る。
&lt;span class="spacer"&gt;&lt;/span&gt;in（中に）
stinguere（刺す, 駆り立てる）
&lt;span class="spacer"&gt;&lt;/span&gt;このまま日本語にすると「中に刺す」となる。刺激されて内部から突き動かされるように、自分の意識や思考とは関係なく動くことから「本能, 直感, 自然に起こる衝動」といった意味になる。&lt;span&gt;</v>
      </c>
      <c r="U603" s="13" t="str">
        <f>INDEX($L:$L, MATCH("stick", $B:$B, 0))</f>
        <v>&lt;span class="w"&gt;&lt;b&gt;【304.stick：〜を動けなくする, 〜を突き刺す, くっつく】&lt;/b&gt;&lt;/span&gt;
&lt;span class="ml"&gt;古英語stician（突き刺す）にさかのぼる語。
&lt;span class="spacer"&gt;&lt;/span&gt;stick（スティック）は日本語でも「棒, 突き刺す棒」を指す。この名詞と関連させて「突き刺す」という動詞を覚えればよい。また突き刺すことによって固定することから「動けなくする, くっつく」という意味にもなる。&lt;/span&gt;</v>
      </c>
      <c r="AU603" s="15"/>
      <c r="AV603" s="1" t="s">
        <v>1502</v>
      </c>
      <c r="BG603" s="7" t="s">
        <v>1503</v>
      </c>
      <c r="BH603" s="1" t="s">
        <v>2034</v>
      </c>
      <c r="BI603" s="2" t="s">
        <v>3836</v>
      </c>
      <c r="BJ603" s="1" t="s">
        <v>1883</v>
      </c>
      <c r="BK603" s="2" t="s">
        <v>3837</v>
      </c>
      <c r="BM603" s="2"/>
    </row>
    <row r="604" spans="1:71" ht="180" x14ac:dyDescent="0.45">
      <c r="A604" s="5">
        <v>603</v>
      </c>
      <c r="B604" s="8" t="s">
        <v>400</v>
      </c>
      <c r="C604" s="6" t="s">
        <v>1816</v>
      </c>
      <c r="D604" s="7" t="s">
        <v>9752</v>
      </c>
      <c r="E604" s="1" t="s">
        <v>1447</v>
      </c>
      <c r="F604" s="1" t="s">
        <v>1787</v>
      </c>
      <c r="G604" s="1"/>
      <c r="J604" s="1" t="s">
        <v>9753</v>
      </c>
      <c r="K604" s="2"/>
      <c r="L604" s="9" t="s">
        <v>9208</v>
      </c>
      <c r="P604" s="7" t="s">
        <v>1241</v>
      </c>
      <c r="AU604" s="15"/>
      <c r="AV604" s="1" t="s">
        <v>1502</v>
      </c>
      <c r="BG604" s="7" t="s">
        <v>1503</v>
      </c>
      <c r="BH604" s="1" t="s">
        <v>2034</v>
      </c>
      <c r="BI604" s="2" t="s">
        <v>3841</v>
      </c>
      <c r="BJ604" s="1" t="s">
        <v>2036</v>
      </c>
      <c r="BK604" s="2" t="s">
        <v>3842</v>
      </c>
      <c r="BL604" s="1" t="s">
        <v>2026</v>
      </c>
      <c r="BM604" s="2" t="s">
        <v>3843</v>
      </c>
      <c r="BN604" s="1" t="s">
        <v>1959</v>
      </c>
      <c r="BO604" s="2" t="s">
        <v>3844</v>
      </c>
      <c r="BP604" s="1" t="s">
        <v>2114</v>
      </c>
      <c r="BQ604" s="1" t="s">
        <v>3845</v>
      </c>
      <c r="BR604" s="1" t="s">
        <v>1875</v>
      </c>
      <c r="BS604" s="2" t="s">
        <v>3846</v>
      </c>
    </row>
    <row r="605" spans="1:71" ht="144" x14ac:dyDescent="0.45">
      <c r="A605" s="5">
        <v>604</v>
      </c>
      <c r="B605" s="8" t="s">
        <v>401</v>
      </c>
      <c r="C605" s="6" t="s">
        <v>1816</v>
      </c>
      <c r="D605" s="7" t="s">
        <v>9752</v>
      </c>
      <c r="E605" s="1" t="s">
        <v>8946</v>
      </c>
      <c r="F605" s="1" t="s">
        <v>646</v>
      </c>
      <c r="G605" s="1"/>
      <c r="J605" s="1" t="s">
        <v>9753</v>
      </c>
      <c r="K605" s="2"/>
      <c r="L605" s="3" t="s">
        <v>8521</v>
      </c>
      <c r="M605" s="1" t="s">
        <v>12183</v>
      </c>
      <c r="P605" s="7" t="s">
        <v>1241</v>
      </c>
      <c r="Q605" s="13" t="str">
        <f>INDEX($L:$L, MATCH("sequence", $B:$B, 0))</f>
        <v>&lt;span class="w"&gt;&lt;b&gt;【641.sequence：連続, 一連のもの】&lt;/b&gt;&lt;/span&gt;
&lt;span class="ml"&gt;ラテン語sequi（従う, 続く）に由来する。
&lt;span class="spacer"&gt;&lt;/span&gt;何かに従って続いていくことから「一連のもの, 連続」という意味になる。
&lt;div class="sample_image sequence"&gt;&lt;/div&gt;&lt;/span&gt;</v>
      </c>
      <c r="R605" s="13" t="str">
        <f>INDEX($L:$L, MATCH("consequence", $B:$B, 0))</f>
        <v>&lt;span class="w"&gt;&lt;b&gt;【272.consequence：（通例〜sで）結果】&lt;/b&gt;&lt;/span&gt;
&lt;span class="ml"&gt;ラテン語に由来する語で、以下の2つの要素から成る。
&lt;span class="spacer"&gt;&lt;/span&gt;com（共に）
sequi（従う, 後に続く）
&lt;span class="spacer"&gt;&lt;/span&gt;このまま日本語にすると「共に従う」となる。何かの後に従って続くイメージから、
→ある行動や過程のあとに続く「結果」という意味になる。
&lt;div class="sample_image consequence"&gt;&lt;/div&gt;&lt;/span&gt;</v>
      </c>
      <c r="S605" s="13" t="str">
        <f>INDEX($L:$L, MATCH("subsequent", $B:$B, 0))</f>
        <v>&lt;span class="w"&gt;&lt;b&gt;【1089.subsequent：その後の】&lt;/b&gt;&lt;/span&gt;
&lt;span class="ml"&gt;ラテン語に由来する語で、以下の2つの要素から成る。
&lt;span class="spacer"&gt;&lt;/span&gt;sub（下に, 後に）
sequi（従う）
&lt;span class="spacer"&gt;&lt;/span&gt;この語の核は「何かの後に従って続く」。subはサブメンバーのサブで、後に控えているイメージ。sequent部分はsequence（連続）の形容詞として覚える。何かの後に連続しているイメージから「その後の」という意味になる。&lt;/span&gt;</v>
      </c>
      <c r="T605" s="13" t="str">
        <f>INDEX($L:$L, MATCH("sue", $B:$B, 0))</f>
        <v>&lt;span class="w"&gt;&lt;b&gt;【902.sue：〜を告訴する】&lt;/b&gt;&lt;/span&gt;
&lt;span class="ml"&gt;ラテン語sequi（従う, 後を追う）に由来する。
&lt;span class="spacer"&gt;&lt;/span&gt;相手の後を追うという物理的な追跡から、法廷で相手を追うことへと意味が特化して「告訴する」という意味になった。
&lt;div class="sample_image sue"&gt;&lt;/div&gt;&lt;/span&gt;</v>
      </c>
      <c r="AU605" s="15"/>
      <c r="AV605" s="1" t="s">
        <v>1502</v>
      </c>
      <c r="BG605" s="7" t="s">
        <v>1503</v>
      </c>
      <c r="BH605" s="1" t="s">
        <v>2034</v>
      </c>
      <c r="BI605" s="2" t="s">
        <v>3847</v>
      </c>
      <c r="BJ605" s="1" t="s">
        <v>2026</v>
      </c>
      <c r="BK605" s="2" t="s">
        <v>3848</v>
      </c>
      <c r="BL605" s="1" t="s">
        <v>1959</v>
      </c>
      <c r="BM605" s="1" t="s">
        <v>3849</v>
      </c>
      <c r="BN605" s="1" t="s">
        <v>2114</v>
      </c>
      <c r="BO605" s="1" t="s">
        <v>3850</v>
      </c>
      <c r="BP605" s="1" t="s">
        <v>1875</v>
      </c>
      <c r="BQ605" s="2" t="s">
        <v>3851</v>
      </c>
    </row>
    <row r="606" spans="1:71" ht="108" x14ac:dyDescent="0.45">
      <c r="A606" s="5">
        <v>605</v>
      </c>
      <c r="B606" s="8" t="s">
        <v>402</v>
      </c>
      <c r="C606" s="6" t="s">
        <v>1816</v>
      </c>
      <c r="D606" s="7" t="s">
        <v>9752</v>
      </c>
      <c r="E606" s="1" t="s">
        <v>1251</v>
      </c>
      <c r="F606" s="1" t="s">
        <v>1731</v>
      </c>
      <c r="G606" s="1"/>
      <c r="J606" s="1" t="s">
        <v>9753</v>
      </c>
      <c r="K606" s="2" t="s">
        <v>7947</v>
      </c>
      <c r="L606" s="2" t="s">
        <v>8481</v>
      </c>
      <c r="M606" s="1" t="s">
        <v>12174</v>
      </c>
      <c r="P606" s="7" t="s">
        <v>1241</v>
      </c>
      <c r="Q606" s="13" t="str">
        <f>INDEX($L:$L, MATCH("active", $B:$B, 0))</f>
        <v>&lt;span class="w"&gt;&lt;b&gt;【193.active：積極的な, 活動的な】&lt;/b&gt;&lt;/span&gt;
&lt;span class="ml"&gt;ラテン語に由来する語で、以下の2つの要素から成る。
&lt;span class="spacer"&gt;&lt;/span&gt;agere（行う）の過去分詞actus（行為）
ivus（形容詞化）
&lt;span class="spacer"&gt;&lt;/span&gt;この形容詞は何かの行為をしている状態を表し、そこから「活動的な」という意味になる。また自分で進んで活動することから「積極的な」という意味にもなる。&lt;/span&gt;</v>
      </c>
      <c r="R606" s="13" t="str">
        <f>INDEX($L:$L, MATCH("actual", $B:$B, 0))</f>
        <v>&lt;span class="w"&gt;&lt;b&gt;【297.actual：実際の, 現実の】&lt;/b&gt;&lt;/span&gt;
&lt;span class="ml"&gt;ラテン語に由来する語で、以下の2つの要素から成る。
&lt;span class="spacer"&gt;&lt;/span&gt;agere（行う）から派生したactus（行為）
alis（形容詞化）
&lt;span class="spacer"&gt;&lt;/span&gt;「行為に関する」という形容詞は、理想（ideal）や潜在（potential）ではなく、現実に行われたということを意味する。ここから「実際の, 現実の」となる。&lt;/span&gt;</v>
      </c>
      <c r="S606" s="13" t="str">
        <f>INDEX($L:$L, MATCH("transaction", $B:$B, 0))</f>
        <v>&lt;span class="w"&gt;&lt;b&gt;【1447.transaction：（商）取引, 決済, 処理】&lt;/b&gt;&lt;/span&gt;
&lt;span class="ml"&gt;ラテン語に由来する語で、以下の3つの要素から成る。
&lt;span class="spacer"&gt;&lt;/span&gt;trans（越えて, 通して）
agere（動かす, 行う）
io（名詞化）
&lt;span class="spacer"&gt;&lt;/span&gt;このまま日本語にすると「（物事を最後まで）通して行うこと」となる。もともとは、何かを最後までやり遂げることを表した。そこから、業務や契約などの正式な「処理」、さらに商業における「取引」や「決済」も意味するようになった。
&lt;div class="sample_image transaction"&gt;&lt;/div&gt;&lt;/span&gt;</v>
      </c>
      <c r="T606" s="13" t="str">
        <f>INDEX($L:$L, MATCH("interact", $B:$B, 0))</f>
        <v>&lt;span class="w"&gt;&lt;b&gt;【537.interact：影響し合う, 相互に作用する】&lt;/b&gt;&lt;/span&gt;
&lt;span class="ml"&gt;近代英語にさかのぼり、以下の2つの要素から成る。
&lt;span class="spacer"&gt;&lt;/span&gt;inter（〜の間に）
act（行う, 作用する）
&lt;span class="spacer"&gt;&lt;/span&gt;このまま日本語にすると「何かと何かの間で作用する」となる。ここから「お互いが影響し合う」や「相互に作用する」という意味になる。&lt;/span&gt;</v>
      </c>
      <c r="U606" s="13" t="str">
        <f>INDEX($L:$L, MATCH("exact", $B:$B, 0))</f>
        <v>&lt;span class="w"&gt;&lt;b&gt;【598.exact：正確な, まさにその】&lt;/b&gt;&lt;/span&gt;
&lt;span class="ml"&gt;ラテン語に由来する語で、以下の2つの要素から成る。
&lt;span class="spacer"&gt;&lt;/span&gt;ex（外へ）
agere（動かす, 駆り立てる）
&lt;span class="spacer"&gt;&lt;/span&gt;このまま日本語にすると「外へ駆り立てる」となる。これは、物事を最後まで徹底的にやり切らせることを表した。そこから、抜けや不足がなく徹底的に行われて完了したことを表すようになり、「正確な, まさにその」という意味へとつながった。&lt;/span&gt;</v>
      </c>
      <c r="V606" s="13" t="str">
        <f>INDEX($L:$L, MATCH("agent", $B:$B, 0))</f>
        <v>&lt;span class="w"&gt;&lt;b&gt;【752.agent：仲介者, 代理人】&lt;/b&gt;&lt;/span&gt;
&lt;span class="ml"&gt;ラテン語に由来する語で、以下の2つの要素から成る。
&lt;span class="spacer"&gt;&lt;/span&gt;agere（行う）
ens（現在分詞を作る：〜しているもの）
&lt;span class="spacer"&gt;&lt;/span&gt;このまま日本語にすると「何かを行なっているもの」となる。もともとは行為者を表していたが、そこから誰かに代わって行動する者、すなわち「代理人, 仲介者」という意味になった。また「特定の作用を引き起こす原因となる物質や力」という意味もある。&lt;/span&gt;</v>
      </c>
      <c r="W606" s="13" t="str">
        <f>INDEX($L:$L, MATCH("agenda", $B:$B, 0))</f>
        <v>&lt;span class="w"&gt;&lt;b&gt;【1347.agenda：協議事項, 会議の議題, 予定, 計画, 隠れた意図】&lt;/b&gt;&lt;/span&gt;
&lt;span class="ml"&gt;ラテン語agere（行う, 駆り立てる）から派生したagendus（行われるべき）に由来する。
&lt;span class="spacer"&gt;&lt;/span&gt;この語の核は「行われるべき事柄」。会議で行われるべきことなら「協議事項, 会議の議題」という意味に、個人や組織の行われるべきことなら「予定・計画」という意味に、表に出ていない行われるべきことなら「隠れた意図」という意味になる。
&lt;span class="spacer"&gt;&lt;/span&gt;イメージとしてはto-do list（やるべきことリスト）やplan（計画）に近い。
&lt;div class="sample_image agenda"&gt;&lt;/div&gt;
&lt;span class="spacer"&gt;&lt;/span&gt;ラテン語agereからは、act（行動する）やagent（代理人, 行為者）なども生まれている。actは行うという行為、agentは行う人、agendaは行うべきことの協議リストを指す。&lt;/span&gt;</v>
      </c>
      <c r="X606" s="13" t="str">
        <f>INDEX($L:$L, MATCH("ambiguous", $B:$B, 0))</f>
        <v>&lt;span class="w"&gt;&lt;b&gt;【1386.ambiguous：あいまいな, 多義的な】&lt;/b&gt;&lt;/span&gt;
&lt;span class="ml"&gt;ラテン語に由来する語で、以下の3つの要素から成る。
&lt;span class="spacer"&gt;&lt;/span&gt;ambi（～の周りに）
agere（駆り立てる, 行う）
us（形容詞化）
&lt;span class="spacer"&gt;&lt;/span&gt;もともとは、あちこち行き来するというような動きや、どちらにも決められず心が揺れ動く状態を表した。このような、どちらの方向にも動けて方向が定まらない、心がふらふらして一つの場所に定まらないという本来のイメージから転じて、言葉や態度がはっきりひとつの意味に定まらず「あいまいな, 多義的な」という意味になった。
&lt;div class="sample_image ambiguous"&gt;&lt;/div&gt;&lt;/span&gt;</v>
      </c>
      <c r="AU606" s="15"/>
      <c r="AV606" s="1" t="s">
        <v>1502</v>
      </c>
      <c r="BG606" s="7" t="s">
        <v>1503</v>
      </c>
      <c r="BH606" s="1" t="s">
        <v>2034</v>
      </c>
      <c r="BI606" s="2" t="s">
        <v>3852</v>
      </c>
      <c r="BJ606" s="1" t="s">
        <v>1877</v>
      </c>
      <c r="BK606" s="2" t="s">
        <v>3853</v>
      </c>
    </row>
    <row r="607" spans="1:71" ht="108" x14ac:dyDescent="0.45">
      <c r="A607" s="5">
        <v>606</v>
      </c>
      <c r="B607" s="8" t="s">
        <v>403</v>
      </c>
      <c r="C607" s="6" t="s">
        <v>1816</v>
      </c>
      <c r="D607" s="7" t="s">
        <v>9752</v>
      </c>
      <c r="E607" s="1" t="s">
        <v>1505</v>
      </c>
      <c r="F607" s="1" t="s">
        <v>1788</v>
      </c>
      <c r="G607" s="1"/>
      <c r="J607" s="1" t="s">
        <v>9753</v>
      </c>
      <c r="L607" s="9" t="s">
        <v>8482</v>
      </c>
      <c r="P607" s="7" t="s">
        <v>1241</v>
      </c>
      <c r="AU607" s="15"/>
      <c r="AV607" s="1" t="s">
        <v>1502</v>
      </c>
      <c r="BG607" s="7" t="s">
        <v>1503</v>
      </c>
      <c r="BH607" s="1" t="s">
        <v>2034</v>
      </c>
      <c r="BI607" s="2" t="s">
        <v>3854</v>
      </c>
      <c r="BJ607" s="1" t="s">
        <v>1959</v>
      </c>
      <c r="BK607" s="2" t="s">
        <v>3855</v>
      </c>
      <c r="BL607" s="1" t="s">
        <v>1875</v>
      </c>
      <c r="BM607" s="2" t="s">
        <v>3856</v>
      </c>
      <c r="BN607" s="1" t="s">
        <v>1877</v>
      </c>
      <c r="BO607" s="2" t="s">
        <v>3857</v>
      </c>
    </row>
    <row r="608" spans="1:71" ht="126" x14ac:dyDescent="0.45">
      <c r="A608" s="5">
        <v>607</v>
      </c>
      <c r="B608" s="8" t="s">
        <v>404</v>
      </c>
      <c r="C608" s="6" t="s">
        <v>1816</v>
      </c>
      <c r="D608" s="7" t="s">
        <v>9752</v>
      </c>
      <c r="E608" s="6" t="s">
        <v>404</v>
      </c>
      <c r="F608" s="1"/>
      <c r="G608" s="1"/>
      <c r="J608" s="1" t="s">
        <v>9753</v>
      </c>
      <c r="K608" s="2" t="s">
        <v>7948</v>
      </c>
      <c r="L608" s="9" t="s">
        <v>8483</v>
      </c>
      <c r="P608" s="7" t="s">
        <v>1241</v>
      </c>
      <c r="AU608" s="15"/>
      <c r="AV608" s="1" t="s">
        <v>1502</v>
      </c>
      <c r="BG608" s="7" t="s">
        <v>1503</v>
      </c>
      <c r="BH608" s="1" t="s">
        <v>1976</v>
      </c>
      <c r="BI608" s="2" t="s">
        <v>3858</v>
      </c>
      <c r="BJ608" s="1" t="s">
        <v>1872</v>
      </c>
      <c r="BK608" s="1" t="s">
        <v>3859</v>
      </c>
    </row>
    <row r="609" spans="1:71" ht="180" x14ac:dyDescent="0.45">
      <c r="A609" s="5">
        <v>608</v>
      </c>
      <c r="B609" s="8" t="s">
        <v>405</v>
      </c>
      <c r="C609" s="6" t="s">
        <v>1816</v>
      </c>
      <c r="D609" s="7" t="s">
        <v>9752</v>
      </c>
      <c r="E609" s="1" t="s">
        <v>1621</v>
      </c>
      <c r="F609" s="1" t="s">
        <v>8967</v>
      </c>
      <c r="G609" s="1"/>
      <c r="J609" s="1" t="s">
        <v>9753</v>
      </c>
      <c r="K609" s="2"/>
      <c r="L609" s="3" t="s">
        <v>8595</v>
      </c>
      <c r="P609" s="7" t="s">
        <v>1241</v>
      </c>
      <c r="AU609" s="15"/>
      <c r="AV609" s="1" t="s">
        <v>1502</v>
      </c>
      <c r="BG609" s="7" t="s">
        <v>1503</v>
      </c>
      <c r="BH609" s="1" t="s">
        <v>2034</v>
      </c>
      <c r="BI609" s="2" t="s">
        <v>3860</v>
      </c>
      <c r="BJ609" s="1" t="s">
        <v>1959</v>
      </c>
      <c r="BK609" s="2" t="s">
        <v>3861</v>
      </c>
      <c r="BL609" s="1" t="s">
        <v>1875</v>
      </c>
      <c r="BM609" s="2" t="s">
        <v>3862</v>
      </c>
    </row>
    <row r="610" spans="1:71" ht="162" x14ac:dyDescent="0.45">
      <c r="A610" s="5">
        <v>609</v>
      </c>
      <c r="B610" s="8" t="s">
        <v>406</v>
      </c>
      <c r="C610" s="6" t="s">
        <v>1816</v>
      </c>
      <c r="D610" s="7" t="s">
        <v>9752</v>
      </c>
      <c r="E610" s="6" t="s">
        <v>406</v>
      </c>
      <c r="F610" s="1"/>
      <c r="G610" s="1"/>
      <c r="J610" s="1" t="s">
        <v>9753</v>
      </c>
      <c r="K610" s="2" t="s">
        <v>8484</v>
      </c>
      <c r="L610" s="3" t="s">
        <v>8522</v>
      </c>
      <c r="P610" s="7" t="s">
        <v>1241</v>
      </c>
      <c r="AU610" s="15"/>
      <c r="AV610" s="1" t="s">
        <v>1502</v>
      </c>
      <c r="BG610" s="7" t="s">
        <v>1503</v>
      </c>
      <c r="BH610" s="1" t="s">
        <v>2034</v>
      </c>
      <c r="BI610" s="2" t="s">
        <v>8485</v>
      </c>
      <c r="BJ610" s="1" t="s">
        <v>1967</v>
      </c>
      <c r="BK610" s="2" t="s">
        <v>7949</v>
      </c>
      <c r="BL610" s="1" t="s">
        <v>1959</v>
      </c>
      <c r="BM610" s="2" t="s">
        <v>8486</v>
      </c>
      <c r="BN610" s="1" t="s">
        <v>1875</v>
      </c>
      <c r="BO610" s="2" t="s">
        <v>3863</v>
      </c>
      <c r="BP610" s="1" t="s">
        <v>1877</v>
      </c>
      <c r="BQ610" s="2" t="s">
        <v>3864</v>
      </c>
    </row>
    <row r="611" spans="1:71" ht="108" x14ac:dyDescent="0.45">
      <c r="A611" s="5">
        <v>610</v>
      </c>
      <c r="B611" s="8" t="s">
        <v>407</v>
      </c>
      <c r="C611" s="6" t="s">
        <v>1816</v>
      </c>
      <c r="D611" s="7" t="s">
        <v>9752</v>
      </c>
      <c r="E611" s="1" t="s">
        <v>8939</v>
      </c>
      <c r="F611" s="1" t="s">
        <v>5231</v>
      </c>
      <c r="G611" s="1"/>
      <c r="J611" s="1" t="s">
        <v>9753</v>
      </c>
      <c r="K611" s="1" t="s">
        <v>8487</v>
      </c>
      <c r="L611" s="2" t="s">
        <v>8488</v>
      </c>
      <c r="M611" s="1" t="s">
        <v>12195</v>
      </c>
      <c r="P611" s="7" t="s">
        <v>1241</v>
      </c>
      <c r="Q611" s="13" t="str">
        <f>INDEX($L:$L, MATCH("anticipate", $B:$B, 0))</f>
        <v>&lt;span class="w"&gt;&lt;b&gt;【923.anticipate：〜を予期する, 期待する】&lt;/b&gt;&lt;/span&gt;
&lt;span class="ml"&gt;ラテン語に由来する語で、以下の2つの要素から成る。
&lt;span class="spacer"&gt;&lt;/span&gt;anti（前に）
capere（取る）
&lt;span class="spacer"&gt;&lt;/span&gt;このまま日本語にすると「前もって取る」となる。何かが起こる前に先取りするイメージから、将来起こることを「予期する」という意味になる。
&lt;div class="sample_image anticipate"&gt;&lt;/div&gt;&lt;/span&gt;</v>
      </c>
      <c r="R611" s="13" t="str">
        <f>INDEX($L:$L, MATCH("participate", $B:$B, 0))</f>
        <v>&lt;span class="w"&gt;&lt;b&gt;【332.participate：参加する】&lt;/b&gt;&lt;/span&gt;
&lt;span class="ml"&gt;ラテン語に由来する語で、以下の2つの要素から成る。
&lt;span class="spacer"&gt;&lt;/span&gt;pars（部分, パート）
capere（取る）
&lt;span class="spacer"&gt;&lt;/span&gt;このまま日本語にすると「部分を取る」となる。全体の中である役割や取り分を取ることから「参加する」という意味になる。
&lt;span class="spacer"&gt;&lt;/span&gt;英語take part in（〜に参加する）も同じ。&lt;/span&gt;</v>
      </c>
      <c r="S611" s="13" t="str">
        <f>INDEX($L:$L, MATCH("principle", $B:$B, 0))</f>
        <v>&lt;span class="w"&gt;&lt;b&gt;【343.principle：原理, 原則, 主義, 信条】&lt;/b&gt;&lt;/span&gt;
&lt;span class="ml"&gt;ラテン語に由来する語で、以下の2つの要素から成る。
&lt;span class="spacer"&gt;&lt;/span&gt;primus（第一の）
capere（取る）
&lt;span class="spacer"&gt;&lt;/span&gt;このまま日本語にすると「第一を取る」となる。1番目のポジションを取ることから、何かが成り立つための土台＝「原理, 原則」や、行動の土台となる「主義, 信条」という意味になる。&lt;/span&gt;</v>
      </c>
      <c r="T611" s="13" t="str">
        <f>INDEX($L:$L, MATCH("principal", $B:$B, 0))</f>
        <v>&lt;span class="w"&gt;&lt;b&gt;【683.principal：主要な】&lt;/b&gt;&lt;/span&gt;
&lt;span class="ml"&gt;ラテン語に由来する語で、以下の3つの要素から成る。
&lt;span class="spacer"&gt;&lt;/span&gt;primus（第一の）
capere（取る）
alis（形容詞化）
&lt;span class="spacer"&gt;&lt;/span&gt;この語の核は「第一の位置を取る」。集団や集合の中における第一の位置とは、最も重要な位置ということ。ここから「主要な」という意味になる。&lt;/span&gt;</v>
      </c>
      <c r="U611" s="13" t="str">
        <f>INDEX($L:$L, MATCH("capacity", $B:$B, 0))</f>
        <v>&lt;span class="w"&gt;&lt;b&gt;【348.capacity：容量, 収容能力】&lt;/b&gt;&lt;/span&gt;
&lt;span class="ml"&gt;ラテン語capere（取る）から派生した名詞capacitas（容量, 多くを収容できる能力）に由来する。
&lt;span class="spacer"&gt;&lt;/span&gt;取ることから、多くを保持できること＝「収容能力, 容量」という意味になる。&lt;/span&gt;</v>
      </c>
      <c r="V611" s="13" t="str">
        <f>INDEX($L:$L, MATCH("capable", $B:$B, 0))</f>
        <v>&lt;span class="w"&gt;&lt;b&gt;【381.capable：能力がある】&lt;/b&gt;&lt;/span&gt;
&lt;span class="ml"&gt;ラテン語に由来する語で、以下の2つの要素から成る。
&lt;span class="spacer"&gt;&lt;/span&gt;capere（つかむ, 取る）
bilis（～できる）
&lt;span class="spacer"&gt;&lt;/span&gt;このまま日本語にすると「つかむことができる」となる。もともとは、物や内容を受け入れることができるという意味で、そこから「受け入れる器がある」というニュアンスが生まれた（→capacity）。さらに受け入れたことを理解して扱えるという意味へと広がり、現在の「能力がある」という意味になった。&lt;/span&gt;</v>
      </c>
      <c r="AU611" s="15"/>
      <c r="AV611" s="1" t="s">
        <v>1502</v>
      </c>
      <c r="BG611" s="7" t="s">
        <v>1503</v>
      </c>
      <c r="BH611" s="1" t="s">
        <v>1947</v>
      </c>
      <c r="BI611" s="2" t="s">
        <v>3865</v>
      </c>
      <c r="BJ611" s="1" t="s">
        <v>1996</v>
      </c>
      <c r="BK611" s="1" t="s">
        <v>3866</v>
      </c>
      <c r="BL611" s="1" t="s">
        <v>1877</v>
      </c>
      <c r="BM611" s="2" t="s">
        <v>3867</v>
      </c>
    </row>
    <row r="612" spans="1:71" ht="144" x14ac:dyDescent="0.45">
      <c r="A612" s="5">
        <v>611</v>
      </c>
      <c r="B612" s="8" t="s">
        <v>1789</v>
      </c>
      <c r="C612" s="6" t="s">
        <v>1816</v>
      </c>
      <c r="D612" s="7" t="s">
        <v>9752</v>
      </c>
      <c r="E612" s="1" t="s">
        <v>1725</v>
      </c>
      <c r="F612" s="1" t="s">
        <v>1250</v>
      </c>
      <c r="G612" s="1"/>
      <c r="J612" s="1" t="s">
        <v>9753</v>
      </c>
      <c r="K612" s="1" t="s">
        <v>8489</v>
      </c>
      <c r="L612" s="3" t="s">
        <v>8523</v>
      </c>
      <c r="M612" s="1" t="s">
        <v>12115</v>
      </c>
      <c r="P612" s="7" t="s">
        <v>1241</v>
      </c>
      <c r="Q612" s="13" t="str">
        <f>INDEX($L:$L, MATCH("offer", $B:$B, 0))</f>
        <v>&lt;span class="w"&gt;&lt;b&gt;【12.offer：～を提供する, ～を申し出る】&lt;/b&gt;&lt;/span&gt;
&lt;span class="ml"&gt;ラテン語に由来する語で、以下の2つの要素から成る。
&lt;span class="spacer"&gt;&lt;/span&gt;ob（～に対して）
ferre（運ぶ）
&lt;span class="spacer"&gt;&lt;/span&gt;このまま日本語にすると「～に対して運ぶ」となる。何かを相手に対して運ぶイメージから「提供する, 申し出る」という意味になる。&lt;/span&gt;</v>
      </c>
      <c r="R612" s="13" t="str">
        <f>INDEX($L:$L, MATCH("refer", $B:$B, 0))</f>
        <v>&lt;span class="w"&gt;&lt;b&gt;【102.refer：言及する, 参照する】&lt;/b&gt;&lt;/span&gt;
&lt;span class="ml"&gt;ラテン語に由来する語で、以下の2つの要素から成る。
&lt;span class="spacer"&gt;&lt;/span&gt;re（戻る）
ferre（運ぶ）
&lt;span class="spacer"&gt;&lt;/span&gt;このまま日本語にすると「運んで戻る」となる。離れた場所にある情報を取りに行き、それを運んで戻って来ることから「参照する」という意味になる。
&lt;span class="spacer"&gt;&lt;/span&gt;また別の場所へ行って再び元の場所に戻るというイメージから、会話の中である話題に立ち寄る＝何かに「言及する」という意味になる。
&lt;div class="sample_image refer"&gt;&lt;/div&gt;&lt;/span&gt;</v>
      </c>
      <c r="S612" s="13" t="str">
        <f>INDEX($L:$L, MATCH("prefer", $B:$B, 0))</f>
        <v>&lt;span class="w"&gt;&lt;b&gt;【123.prefer：～を好む】&lt;/b&gt;&lt;/span&gt;
&lt;span class="ml"&gt;ラテン語に由来する語で、以下の2つの要素から成る。
&lt;span class="spacer"&gt;&lt;/span&gt;prae（前に, 先に）
ferre（運ぶ）
&lt;span class="spacer"&gt;&lt;/span&gt;このまま日本語にすると「前に運ぶ」となる。他のものよりも前に出すことから、他よりも高く評価する、他のよりも何かを「好む」という意味になる。
&lt;div class="sample_image prefer"&gt;&lt;/div&gt;
&lt;span class="spacer"&gt;&lt;/span&gt;prefer A to B（AよりBを好む）では、比較の対象をtoで示す。これは「前へ運ぶ」が、何に対して前なのかを示すため。つまり、Bに対して（to B）Aを前に運ぶ（好む）ことを表している。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v>
      </c>
      <c r="T612" s="13" t="str">
        <f>INDEX($L:$L, MATCH("suffer", $B:$B, 0))</f>
        <v>&lt;span class="w"&gt;&lt;b&gt;【138.suffer：苦しむ, 患う】&lt;/b&gt;&lt;/span&gt;
&lt;span class="ml"&gt;ラテン語に由来する語で、以下の2つの要素から成る。
&lt;span class="spacer"&gt;&lt;/span&gt;sub（下に）
ferre（運ぶ）
&lt;span class="spacer"&gt;&lt;/span&gt;このまま日本語にすると「下に運ぶ」となる。もともとは、物理的に重いものがのしかかることを表したが、そこからその苦しみの表現へ発展し、苦痛を受けて「苦しむ」や病気を「患う」という意味になった。
&lt;div class="sample_image suffer"&gt;&lt;/div&gt;&lt;/span&gt;</v>
      </c>
      <c r="U612" s="13" t="str">
        <f>INDEX($L:$L, MATCH("differ", $B:$B, 0))</f>
        <v>&lt;span class="w"&gt;&lt;b&gt;【514.differ：異なる】&lt;/b&gt;&lt;/span&gt;
&lt;span class="ml"&gt;ラテン語に由来する語で、以下の2つの要素から成る。
&lt;span class="spacer"&gt;&lt;/span&gt;dis（離して）
ferre（運ぶ）
&lt;span class="spacer"&gt;&lt;/span&gt;このまま日本語にすると「離れて運ぶ」となる。もともとは別々の方向に運ぶというイメージ。そこから同じではない、つまり「異なる」という意味になる。&lt;/span&gt;</v>
      </c>
      <c r="V612" s="13" t="str">
        <f>INDEX($L:$L, MATCH("infer", $B:$B, 0))</f>
        <v>&lt;span class="w"&gt;&lt;b&gt;【1201.infer：〜を推論する, 推測する】&lt;/b&gt;&lt;/span&gt;
&lt;span class="ml"&gt;ラテン語に由来する語で、以下の2つの要素から成る。
&lt;span class="spacer"&gt;&lt;/span&gt;in（中に）
ferre（運ぶ）
&lt;span class="spacer"&gt;&lt;/span&gt;このまま日本語にすると「中に運ぶ」となる。既にある事柄を思考の中に持ち込んで結論を出すことから、既知の情報をもとに「推論する, 推測する」という意味になる。
&lt;div class="sample_image infer"&gt;&lt;/div&gt;&lt;/span&gt;</v>
      </c>
      <c r="W612" s="13" t="str">
        <f>INDEX($L:$L, MATCH("conference", $B:$B, 0))</f>
        <v>&lt;span class="w"&gt;&lt;b&gt;【461.conference：会議, 協議】&lt;/b&gt;&lt;/span&gt;
&lt;span class="ml"&gt;ラテン語に由来する語で、以下の2つの要素から成る。
&lt;span class="spacer"&gt;&lt;/span&gt;com（共に）
ferre（運ぶ）
&lt;span class="spacer"&gt;&lt;/span&gt;このまま日本語にすると「共に運ぶ」となる。これは、人々が意見や話題を持ち寄って集まるというイメージ。そこから、意見や問題を持ち寄って話し合う「会議, 協議」という意味になる。
&lt;div class="sample_image conference"&gt;&lt;/div&gt;&lt;/span&gt;</v>
      </c>
      <c r="X612" s="13" t="str">
        <f>INDEX($L:$L, MATCH("indifferent", $B:$B, 0))</f>
        <v>&lt;span class="w"&gt;&lt;b&gt;【1091.indifferent：無関心な, どちらでもいい】&lt;/b&gt;&lt;/span&gt;
&lt;span class="ml"&gt;ラテン語に由来する語で、以下の3つの要素から成る。
&lt;span class="spacer"&gt;&lt;/span&gt;in（否定）
dis（離れて）
ferre（運ぶ）
&lt;span class="spacer"&gt;&lt;/span&gt;different（異なる）に否定のinが付いたと考えればよい。興味を引くような違いがない、違いがあったとしても気にしないというイメージから「無関心な, どちらでもいい」という意味になる。&lt;/span&gt;</v>
      </c>
      <c r="AU612" s="15"/>
      <c r="AV612" s="1" t="s">
        <v>1502</v>
      </c>
      <c r="BG612" s="7" t="s">
        <v>1503</v>
      </c>
      <c r="BH612" s="1" t="s">
        <v>1947</v>
      </c>
      <c r="BI612" s="2" t="s">
        <v>3868</v>
      </c>
      <c r="BJ612" s="1" t="s">
        <v>1959</v>
      </c>
      <c r="BK612" s="1" t="s">
        <v>3869</v>
      </c>
      <c r="BL612" s="1" t="s">
        <v>1875</v>
      </c>
      <c r="BM612" s="2" t="s">
        <v>3870</v>
      </c>
    </row>
    <row r="613" spans="1:71" ht="108" x14ac:dyDescent="0.45">
      <c r="A613" s="5">
        <v>612</v>
      </c>
      <c r="B613" s="8" t="s">
        <v>408</v>
      </c>
      <c r="C613" s="6" t="s">
        <v>1816</v>
      </c>
      <c r="D613" s="7" t="s">
        <v>9752</v>
      </c>
      <c r="E613" s="6" t="s">
        <v>408</v>
      </c>
      <c r="F613" s="1"/>
      <c r="G613" s="1"/>
      <c r="J613" s="1" t="s">
        <v>9753</v>
      </c>
      <c r="K613" s="2"/>
      <c r="L613" s="9" t="s">
        <v>10566</v>
      </c>
      <c r="P613" s="7" t="s">
        <v>1241</v>
      </c>
      <c r="AV613" s="1" t="s">
        <v>1502</v>
      </c>
      <c r="BG613" s="7" t="s">
        <v>1503</v>
      </c>
      <c r="BH613" s="1" t="s">
        <v>3871</v>
      </c>
      <c r="BI613" s="1" t="s">
        <v>3872</v>
      </c>
      <c r="BJ613" s="1" t="s">
        <v>1877</v>
      </c>
      <c r="BK613" s="2" t="s">
        <v>8490</v>
      </c>
    </row>
    <row r="614" spans="1:71" ht="144" x14ac:dyDescent="0.45">
      <c r="A614" s="5">
        <v>613</v>
      </c>
      <c r="B614" s="8" t="s">
        <v>409</v>
      </c>
      <c r="C614" s="6" t="s">
        <v>1816</v>
      </c>
      <c r="D614" s="7" t="s">
        <v>9752</v>
      </c>
      <c r="E614" s="1" t="s">
        <v>1325</v>
      </c>
      <c r="F614" s="1" t="s">
        <v>1790</v>
      </c>
      <c r="G614" s="1"/>
      <c r="J614" s="1" t="s">
        <v>9753</v>
      </c>
      <c r="K614" s="2" t="s">
        <v>8491</v>
      </c>
      <c r="L614" s="3" t="s">
        <v>8524</v>
      </c>
      <c r="P614" s="7" t="s">
        <v>1241</v>
      </c>
      <c r="AU614" s="15"/>
      <c r="AV614" s="1" t="s">
        <v>1502</v>
      </c>
      <c r="BG614" s="7" t="s">
        <v>1503</v>
      </c>
      <c r="BH614" s="1" t="s">
        <v>1947</v>
      </c>
      <c r="BI614" s="2" t="s">
        <v>3873</v>
      </c>
      <c r="BJ614" s="1" t="s">
        <v>1996</v>
      </c>
      <c r="BK614" s="2" t="s">
        <v>3874</v>
      </c>
      <c r="BL614" s="1" t="s">
        <v>1877</v>
      </c>
      <c r="BM614" s="2" t="s">
        <v>3875</v>
      </c>
    </row>
    <row r="615" spans="1:71" ht="180" x14ac:dyDescent="0.45">
      <c r="A615" s="5">
        <v>614</v>
      </c>
      <c r="B615" s="8" t="s">
        <v>410</v>
      </c>
      <c r="C615" s="6" t="s">
        <v>1816</v>
      </c>
      <c r="D615" s="7" t="s">
        <v>9752</v>
      </c>
      <c r="E615" s="6" t="s">
        <v>410</v>
      </c>
      <c r="F615" s="1"/>
      <c r="G615" s="1"/>
      <c r="J615" s="1" t="s">
        <v>9753</v>
      </c>
      <c r="K615" s="2" t="s">
        <v>1791</v>
      </c>
      <c r="L615" s="9" t="s">
        <v>8492</v>
      </c>
      <c r="P615" s="7" t="s">
        <v>1241</v>
      </c>
      <c r="AV615" s="1" t="s">
        <v>1502</v>
      </c>
      <c r="BG615" s="7" t="s">
        <v>1503</v>
      </c>
      <c r="BH615" s="1" t="s">
        <v>1947</v>
      </c>
      <c r="BI615" s="2" t="s">
        <v>8493</v>
      </c>
      <c r="BJ615" s="1" t="s">
        <v>2026</v>
      </c>
      <c r="BK615" s="2" t="s">
        <v>3876</v>
      </c>
      <c r="BL615" s="1" t="s">
        <v>1967</v>
      </c>
      <c r="BM615" s="1" t="s">
        <v>3877</v>
      </c>
      <c r="BN615" s="1" t="s">
        <v>1959</v>
      </c>
      <c r="BO615" s="2" t="s">
        <v>3878</v>
      </c>
      <c r="BP615" s="1" t="s">
        <v>1875</v>
      </c>
      <c r="BQ615" s="2" t="s">
        <v>3879</v>
      </c>
      <c r="BR615" s="1" t="s">
        <v>1877</v>
      </c>
      <c r="BS615" s="2" t="s">
        <v>3880</v>
      </c>
    </row>
    <row r="616" spans="1:71" ht="72" x14ac:dyDescent="0.45">
      <c r="A616" s="5">
        <v>615</v>
      </c>
      <c r="B616" s="8" t="s">
        <v>411</v>
      </c>
      <c r="C616" s="6" t="s">
        <v>1816</v>
      </c>
      <c r="D616" s="7" t="s">
        <v>9752</v>
      </c>
      <c r="E616" s="6" t="s">
        <v>411</v>
      </c>
      <c r="F616" s="1"/>
      <c r="G616" s="1"/>
      <c r="J616" s="1" t="s">
        <v>9753</v>
      </c>
      <c r="K616" s="1" t="s">
        <v>1792</v>
      </c>
      <c r="L616" s="9" t="s">
        <v>8494</v>
      </c>
      <c r="P616" s="7" t="s">
        <v>1241</v>
      </c>
      <c r="AV616" s="1" t="s">
        <v>1502</v>
      </c>
      <c r="BG616" s="7" t="s">
        <v>1503</v>
      </c>
      <c r="BH616" s="1" t="s">
        <v>1872</v>
      </c>
      <c r="BI616" s="1" t="s">
        <v>3881</v>
      </c>
      <c r="BJ616" s="1" t="s">
        <v>1875</v>
      </c>
      <c r="BK616" s="2" t="s">
        <v>3882</v>
      </c>
    </row>
    <row r="617" spans="1:71" ht="144" x14ac:dyDescent="0.45">
      <c r="A617" s="5">
        <v>616</v>
      </c>
      <c r="B617" s="8" t="s">
        <v>412</v>
      </c>
      <c r="C617" s="6" t="s">
        <v>1816</v>
      </c>
      <c r="D617" s="7" t="s">
        <v>9752</v>
      </c>
      <c r="E617" s="1" t="s">
        <v>27</v>
      </c>
      <c r="F617" s="1" t="s">
        <v>1793</v>
      </c>
      <c r="G617" s="1"/>
      <c r="J617" s="1" t="s">
        <v>9753</v>
      </c>
      <c r="K617" s="2"/>
      <c r="L617" s="3" t="s">
        <v>8525</v>
      </c>
      <c r="P617" s="7" t="s">
        <v>1241</v>
      </c>
      <c r="AU617" s="15"/>
      <c r="AV617" s="1" t="s">
        <v>1502</v>
      </c>
      <c r="BG617" s="7" t="s">
        <v>1503</v>
      </c>
      <c r="BH617" s="1" t="s">
        <v>1947</v>
      </c>
      <c r="BI617" s="2" t="s">
        <v>3883</v>
      </c>
      <c r="BJ617" s="1" t="s">
        <v>1875</v>
      </c>
      <c r="BK617" s="2" t="s">
        <v>3884</v>
      </c>
      <c r="BL617" s="1" t="s">
        <v>1877</v>
      </c>
      <c r="BM617" s="2" t="s">
        <v>3885</v>
      </c>
    </row>
    <row r="618" spans="1:71" ht="126" x14ac:dyDescent="0.45">
      <c r="A618" s="5">
        <v>617</v>
      </c>
      <c r="B618" s="8" t="s">
        <v>3886</v>
      </c>
      <c r="C618" s="6" t="s">
        <v>1816</v>
      </c>
      <c r="D618" s="7" t="s">
        <v>9752</v>
      </c>
      <c r="E618" s="1" t="s">
        <v>1251</v>
      </c>
      <c r="F618" s="1" t="s">
        <v>1398</v>
      </c>
      <c r="G618" s="1"/>
      <c r="J618" s="1" t="s">
        <v>9753</v>
      </c>
      <c r="K618" s="1" t="s">
        <v>8495</v>
      </c>
      <c r="L618" s="3" t="s">
        <v>8526</v>
      </c>
      <c r="M618" s="1" t="s">
        <v>12176</v>
      </c>
      <c r="P618" s="7" t="s">
        <v>1241</v>
      </c>
      <c r="Q618" s="13" t="str">
        <f>INDEX($L:$L, MATCH("observe", $B:$B, 0))</f>
        <v>&lt;span class="w"&gt;&lt;b&gt;【218.observe：～に気づく, ～を観察する, ～を遵守する】&lt;/b&gt;&lt;/span&gt;
&lt;span class="ml"&gt;ラテン語に由来する語で、以下の2つの要素から成る。
&lt;span class="spacer"&gt;&lt;/span&gt;ob（～に対して）
servare（守る）
&lt;span class="spacer"&gt;&lt;/span&gt;このまま日本語にすると「～に対して守る」となる。守るために警戒し、注意深く見るイメージから「観察する」、そしてその結果「気づく」という意味になる。またルールを注意して守るというイメージから「遵守する, 守る」という意味になる。
&lt;div class="sample_image observe"&gt;&lt;/div&gt;&lt;/span&gt;</v>
      </c>
      <c r="R618" s="13" t="str">
        <f>INDEX($L:$L, MATCH("preserve", $B:$B, 0))</f>
        <v>&lt;span class="w"&gt;&lt;b&gt;【327.preserve：～を保存する, ～を保持する, ～を保護する】&lt;/b&gt;&lt;/span&gt;
&lt;span class="ml"&gt;ラテン語に由来する語で、以下の2つの要素から成る。
&lt;span class="spacer"&gt;&lt;/span&gt;prae（前もって）
servare（守る, 安全に保つ）
&lt;span class="spacer"&gt;&lt;/span&gt;このまま日本語にすると「前もって安全に保つ」となる。変化や劣化が起こる前に安全に保つということから「保存する, 保持する, 保護する」という意味になる。
&lt;div class="sample_image preserve"&gt;&lt;/div&gt;&lt;/span&gt;</v>
      </c>
      <c r="S618" s="13" t="str">
        <f>INDEX($L:$L, MATCH("conservation", $B:$B, 0))</f>
        <v>&lt;span class="w"&gt;&lt;b&gt;【666.conservation：保護, 保存】&lt;/b&gt;&lt;/span&gt;
&lt;span class="ml"&gt;ラテン語に由来する語で、以下の2つの要素から成る。
&lt;span class="spacer"&gt;&lt;/span&gt;com（強意）
servare（見守る, 保つ）
&lt;span class="spacer"&gt;&lt;/span&gt;このまま日本語にすると「しっかり保つ」となる。そこから、資源や自然、動物などの減少・損失を防ぐこと、つまり「保護, 保存」という意味になる。&lt;/span&gt;</v>
      </c>
      <c r="AU618" s="15"/>
      <c r="AV618" s="1" t="s">
        <v>1502</v>
      </c>
      <c r="BG618" s="7" t="s">
        <v>1503</v>
      </c>
      <c r="BH618" s="1" t="s">
        <v>1947</v>
      </c>
      <c r="BI618" s="2" t="s">
        <v>8496</v>
      </c>
      <c r="BJ618" s="1" t="s">
        <v>1959</v>
      </c>
      <c r="BK618" s="2" t="s">
        <v>3887</v>
      </c>
      <c r="BL618" s="1" t="s">
        <v>1875</v>
      </c>
      <c r="BM618" s="2" t="s">
        <v>3888</v>
      </c>
      <c r="BN618" s="1" t="s">
        <v>3496</v>
      </c>
      <c r="BO618" s="2" t="s">
        <v>3889</v>
      </c>
    </row>
    <row r="619" spans="1:71" ht="144" x14ac:dyDescent="0.45">
      <c r="A619" s="5">
        <v>618</v>
      </c>
      <c r="B619" s="8" t="s">
        <v>3838</v>
      </c>
      <c r="C619" s="6" t="s">
        <v>1816</v>
      </c>
      <c r="D619" s="7" t="s">
        <v>9752</v>
      </c>
      <c r="E619" s="1" t="s">
        <v>8968</v>
      </c>
      <c r="F619" s="1"/>
      <c r="G619" s="1"/>
      <c r="J619" s="1" t="s">
        <v>9753</v>
      </c>
      <c r="L619" s="2" t="s">
        <v>8497</v>
      </c>
      <c r="M619" s="1" t="s">
        <v>12154</v>
      </c>
      <c r="P619" s="7" t="s">
        <v>1241</v>
      </c>
      <c r="Q619" s="13" t="str">
        <f>INDEX($L:$L, MATCH("treat", $B:$B, 0))</f>
        <v>&lt;span class="w"&gt;&lt;b&gt;【125.treat：～を扱う, ～を治療する, ごちそうする】&lt;/b&gt;&lt;/span&gt;
&lt;span class="ml"&gt;ラテン語trahere（引く, 引きずる）から派生したtractare（繰り返し引く, 引きずり回す, 取り扱う）に由来する。
&lt;span class="spacer"&gt;&lt;/span&gt;何かを繰り返し引く様子から、何かを「扱う」というイメージになる。医療における患者の扱いなら「治療する」という意味になり、客への扱いならもてなし＝「食べ物や飲み物をふるまう, ごちそうする」という意味になる。&lt;/span&gt;</v>
      </c>
      <c r="R619" s="13" t="str">
        <f>INDEX($L:$L, MATCH("treaty", $B:$B, 0))</f>
        <v>&lt;span class="w"&gt;&lt;b&gt;【1478.treaty：条約, 協定】&lt;/b&gt;&lt;/span&gt;
&lt;span class="ml"&gt;ラテン語trahere（引っ張る）から派生したtractare（扱う, 管理する）に由来する。
&lt;span class="spacer"&gt;&lt;/span&gt;もともとは、物理的に引っ張るという動作を表したが、そこから比喩的に問題を引き出して扱うこと、議論すること、そして交渉という意味へと発展していった。
&lt;span class="spacer"&gt;&lt;/span&gt;さらに交渉という行為そのものから、それによって結ばれる合意へと発展し、ある集団や国家の間で結ばれる「条約, 協定」という意味になった。&lt;/span&gt;</v>
      </c>
      <c r="S619" s="13" t="str">
        <f>INDEX($L:$L, MATCH("retreat", $B:$B, 0))</f>
        <v>&lt;span class="w"&gt;&lt;b&gt;【1172.retreat：後退, 退却, 撤回】&lt;/b&gt;&lt;/span&gt;
&lt;span class="ml"&gt;ラテン語に由来する語で、以下の2つの要素から成る。
&lt;span class="spacer"&gt;&lt;/span&gt;re（後ろへ）
trahere（引く）
&lt;span class="spacer"&gt;&lt;/span&gt;この語の核は「後ろへ引くこと」。物理的に引っ込めることから「後退, 撤退, 撤回」といった意味になった。また引っ込んで隠れることから「隠れ家, 避難所」という意味にもなる。
&lt;div class="sample_image retreat"&gt;&lt;/div&gt;&lt;/span&gt;</v>
      </c>
      <c r="T619" s="13" t="str">
        <f>INDEX($L:$L, MATCH("trait", $B:$B, 0))</f>
        <v>&lt;span class="w"&gt;&lt;b&gt;【455.trait：特性, 特徴】&lt;/b&gt;&lt;/span&gt;
&lt;span class="ml"&gt;ラテン語trahere（引く）に由来する。
&lt;span class="spacer"&gt;&lt;/span&gt;もともとは「（物理的にものを）引っ張る」という動作を意味していたが、そこからペンや筆で「引かれた線」を指すようになった。
&lt;span class="spacer"&gt;&lt;/span&gt;特に顔の絵を描く際の線は、他者と区別される「その人固有の顔立ち（身体的特徴）」となることから、最終的に目に見えない内面的な「特徴, 特性」という意味へと発展した。
&lt;div class="sample_image trait"&gt;&lt;/div&gt;&lt;/span&gt;</v>
      </c>
      <c r="U619" s="13" t="str">
        <f>INDEX($L:$L, MATCH("trail", $B:$B, 0))</f>
        <v>&lt;span class="w"&gt;&lt;b&gt;【972.trail：小道, 跡】&lt;/b&gt;&lt;/span&gt;
&lt;span class="ml"&gt;古フランス語trailler（引く, 引きずる）に由来する。
&lt;span class="spacer"&gt;&lt;/span&gt;この語の核は「引きずってできたもの」。人や動物が通って引かれた「跡」や、繰り返し通ることでできる「小道」という意味になる。&lt;/span&gt;</v>
      </c>
      <c r="V619" s="13" t="str">
        <f>INDEX($L:$L, MATCH("portray", $B:$B, 0))</f>
        <v>&lt;span class="w"&gt;&lt;b&gt;【1409.portray：〜を描く, 役を演じる】&lt;/b&gt;&lt;/span&gt;
&lt;span class="ml"&gt;古フランス語に由来する語で、以下の2つの要素から成る。
&lt;span class="spacer"&gt;&lt;/span&gt;por（前へ）
traire（引く, 線を引く）
&lt;span class="spacer"&gt;&lt;/span&gt;この語の核は「内部のイメージを外に引き出して形にする」。そこから、印象・状況・人物像・性格などさまざまなものを絵や言葉で「描く」という意味になる。また演技を通して形にすることから「演じる」という意味になる。
&lt;div class="sample_image portray"&gt;&lt;/div&gt;&lt;/span&gt;</v>
      </c>
      <c r="AU619" s="15"/>
      <c r="AV619" s="1" t="s">
        <v>1502</v>
      </c>
      <c r="BG619" s="7" t="s">
        <v>1503</v>
      </c>
      <c r="BH619" s="1" t="s">
        <v>1947</v>
      </c>
      <c r="BI619" s="2" t="s">
        <v>3890</v>
      </c>
      <c r="BJ619" s="1" t="s">
        <v>2026</v>
      </c>
      <c r="BK619" s="2" t="s">
        <v>3891</v>
      </c>
      <c r="BL619" s="1" t="s">
        <v>1959</v>
      </c>
      <c r="BM619" s="2" t="s">
        <v>3892</v>
      </c>
      <c r="BN619" s="1" t="s">
        <v>1875</v>
      </c>
      <c r="BO619" s="2" t="s">
        <v>3893</v>
      </c>
      <c r="BP619" s="1" t="s">
        <v>1877</v>
      </c>
      <c r="BQ619" s="2" t="s">
        <v>3894</v>
      </c>
    </row>
    <row r="620" spans="1:71" ht="180" x14ac:dyDescent="0.45">
      <c r="A620" s="5">
        <v>619</v>
      </c>
      <c r="B620" s="8" t="s">
        <v>413</v>
      </c>
      <c r="C620" s="6" t="s">
        <v>1816</v>
      </c>
      <c r="D620" s="7" t="s">
        <v>9752</v>
      </c>
      <c r="E620" s="6" t="s">
        <v>1922</v>
      </c>
      <c r="F620" s="1" t="s">
        <v>1818</v>
      </c>
      <c r="G620" s="1"/>
      <c r="J620" s="1" t="s">
        <v>9753</v>
      </c>
      <c r="K620" s="2" t="s">
        <v>8498</v>
      </c>
      <c r="L620" s="9" t="s">
        <v>8499</v>
      </c>
      <c r="P620" s="7" t="s">
        <v>1241</v>
      </c>
      <c r="AU620" s="15"/>
      <c r="AV620" s="1" t="s">
        <v>1502</v>
      </c>
      <c r="BG620" s="7" t="s">
        <v>1503</v>
      </c>
      <c r="BH620" s="1" t="s">
        <v>1976</v>
      </c>
      <c r="BI620" s="2" t="s">
        <v>3895</v>
      </c>
      <c r="BJ620" s="1" t="s">
        <v>1947</v>
      </c>
      <c r="BK620" s="2" t="s">
        <v>3896</v>
      </c>
      <c r="BL620" s="1" t="s">
        <v>1877</v>
      </c>
      <c r="BM620" s="2" t="s">
        <v>3897</v>
      </c>
    </row>
    <row r="621" spans="1:71" ht="126" x14ac:dyDescent="0.45">
      <c r="A621" s="5">
        <v>620</v>
      </c>
      <c r="B621" s="8" t="s">
        <v>3898</v>
      </c>
      <c r="C621" s="6" t="s">
        <v>1816</v>
      </c>
      <c r="D621" s="7" t="s">
        <v>9752</v>
      </c>
      <c r="E621" s="1" t="s">
        <v>1459</v>
      </c>
      <c r="F621" s="1" t="s">
        <v>6148</v>
      </c>
      <c r="G621" s="1"/>
      <c r="J621" s="1" t="s">
        <v>9753</v>
      </c>
      <c r="K621" s="2" t="s">
        <v>8500</v>
      </c>
      <c r="L621" s="2" t="s">
        <v>8501</v>
      </c>
      <c r="M621" s="1" t="s">
        <v>12133</v>
      </c>
      <c r="P621" s="7" t="s">
        <v>1241</v>
      </c>
      <c r="Q621" s="13" t="str">
        <f>INDEX($L:$L, MATCH("view", $B:$B, 0))</f>
        <v>&lt;span class="w"&gt;&lt;b&gt;【54.view：眺め, 見解】&lt;/b&gt;&lt;/span&gt;
&lt;span class="ml"&gt;ラテン語videre（見る）に由来する。
&lt;span class="spacer"&gt;&lt;/span&gt;見るという動詞から「眺め」という名詞になった。また視覚的に見えるものから発展して「見解, 考え」という意味になる。
&lt;span class="spacer"&gt;&lt;/span&gt;日本語でも考え方や思考力が独特な人に対して「見ている世界が違う」と表現することがあるように、視覚と思考は密接に結びついている。
&lt;span class="spacer"&gt;&lt;/span&gt;印欧祖語*weid-（見る）から生まれた語は、おおむね視覚系の意味と思考系の意味に分かれる。
&lt;span class="spacer"&gt;&lt;/span&gt;視覚系：video, visit, vision, evidence
&lt;span class="spacer"&gt;&lt;/span&gt;思考系：wise, wisdom, wit, advice
&lt;span class="spacer"&gt;&lt;/span&gt;しかし完全にどちらかに分かれるわけではく、viewのように視覚系の意味「眺め」と、思考系の意味「見解」を持つことがある。
&lt;span class="spacer"&gt;&lt;/span&gt;視覚と思考が結びついていることは、see（見る）とI see（なるほど, 理解）からもわかる。&lt;/span&gt;</v>
      </c>
      <c r="R621" s="13" t="str">
        <f>INDEX($L:$L, MATCH("review", $B:$B, 0))</f>
        <v>&lt;span class="w"&gt;&lt;b&gt;【454.review：論評, 復習】&lt;/b&gt;&lt;/span&gt;
&lt;span class="ml"&gt;ラテン語に由来する語で、以下の2つの要素から成る。
&lt;span class="spacer"&gt;&lt;/span&gt;re（再び）
videre（見る）
&lt;span class="spacer"&gt;&lt;/span&gt;このまま日本語にすると「再び見る」となる。15世紀半ばには、軍事において、訓練を繰り返し見てその有効性を評価することを表した。そこから書籍や何かを評価すること＝「論評」という意味になる。
&lt;span class="spacer"&gt;&lt;/span&gt;また過去を繰り返し振り返ることから「復習」という意味にもなる。&lt;/span&gt;</v>
      </c>
      <c r="S621" s="13" t="str">
        <f>INDEX($L:$L, MATCH("revise", $B:$B, 0))</f>
        <v>&lt;span class="w"&gt;&lt;b&gt;【1231.revise：〜を修正する, 〜を改訂する】&lt;/b&gt;&lt;/span&gt;
&lt;span class="ml"&gt;ラテン語に由来する語で、以下の2つの要素から成る。
&lt;span class="spacer"&gt;&lt;/span&gt;re（再び）
videre（見る）
&lt;span class="spacer"&gt;&lt;/span&gt;このまま日本語にすると「再び見る」となる。一度出来上がったものを見直し、間違いを直したりアップデートしたりすることから「改訂する, 修正する」という意味になる。
&lt;div class="sample_image revise"&gt;&lt;/div&gt;&lt;/span&gt;</v>
      </c>
      <c r="T621" s="13" t="str">
        <f>INDEX($L:$L, MATCH("visible", $B:$B, 0))</f>
        <v>&lt;span class="w"&gt;&lt;b&gt;【593.visible：目に見える】&lt;/b&gt;&lt;/span&gt;
&lt;span class="ml"&gt;ラテン語に由来する語で、以下の2つの要素から成る。
&lt;span class="spacer"&gt;&lt;/span&gt;videre（見る）
bilis（できる）
&lt;span class="spacer"&gt;&lt;/span&gt;このまま日本語にすると「見ることができる」つまり「目に見える」という意味になる。&lt;/span&gt;</v>
      </c>
      <c r="U621" s="13" t="str">
        <f>INDEX($L:$L, MATCH("visual", $B:$B, 0))</f>
        <v>&lt;span class="w"&gt;&lt;b&gt;【393.visual：視覚の, 目に見える】&lt;/b&gt;&lt;/span&gt;
&lt;span class="ml"&gt;ラテン語に由来する語で、以下の2つの要素から成る。
&lt;span class="spacer"&gt;&lt;/span&gt;videre（見る）
alis（形容詞化）
&lt;span class="spacer"&gt;&lt;/span&gt;見るという視覚に関する形容詞となり、「視覚の, 目に見える」という意味になる。&lt;/span&gt;</v>
      </c>
      <c r="V621" s="13" t="str">
        <f>INDEX($L:$L, MATCH("evidence", $B:$B, 0))</f>
        <v>&lt;span class="w"&gt;&lt;b&gt;【74.evidence：証拠】&lt;/b&gt;&lt;/span&gt;
&lt;span class="ml"&gt;ラテン語に由来する語で、以下の2つの要素から成る。
&lt;span class="spacer"&gt;&lt;/span&gt;ex（外へ）
videre（見る）
&lt;span class="spacer"&gt;&lt;/span&gt;このまま日本語にすると「外に見える」となる。つまり隠れているのではなく「はっきり目に見える」というイメージ。ここからはっきり見える物＝明らかな物＝「証拠」という意味になる。
&lt;span class="spacer"&gt;&lt;/span&gt;「はっきり目に見える」というイメージを持っておくと、形容詞evidentが「明らかな」という意味になることも理解できる。&lt;/span&gt;</v>
      </c>
      <c r="W621" s="13" t="str">
        <f>INDEX($L:$L, MATCH("survey", $B:$B, 0))</f>
        <v>&lt;span class="w"&gt;&lt;b&gt;【207.survey：～を調査する, ～を概観する】&lt;/b&gt;&lt;/span&gt;
&lt;span class="ml"&gt;ラテン語に由来する語で、以下の2つの要素から成る。
&lt;span class="spacer"&gt;&lt;/span&gt;super（上に, 超えて）
videre（見る）
&lt;span class="spacer"&gt;&lt;/span&gt;このまま日本語にすると「上から見る」となる。俯瞰視点で全体に目を配ることから「調査する, 概観する」という意味になる。
&lt;div class="sample_image survey"&gt;&lt;/div&gt;&lt;/span&gt;</v>
      </c>
      <c r="AU621" s="15"/>
      <c r="AV621" s="1" t="s">
        <v>1502</v>
      </c>
      <c r="BG621" s="7" t="s">
        <v>1503</v>
      </c>
      <c r="BH621" s="1" t="s">
        <v>1947</v>
      </c>
      <c r="BI621" s="2" t="s">
        <v>3899</v>
      </c>
      <c r="BJ621" s="1" t="s">
        <v>2026</v>
      </c>
      <c r="BK621" s="1" t="s">
        <v>3900</v>
      </c>
      <c r="BL621" s="1" t="s">
        <v>1959</v>
      </c>
      <c r="BM621" s="2" t="s">
        <v>3901</v>
      </c>
      <c r="BN621" s="1" t="s">
        <v>1875</v>
      </c>
      <c r="BO621" s="2" t="s">
        <v>3902</v>
      </c>
      <c r="BP621" s="1" t="s">
        <v>1877</v>
      </c>
      <c r="BQ621" s="2" t="s">
        <v>8502</v>
      </c>
    </row>
    <row r="622" spans="1:71" ht="144" x14ac:dyDescent="0.45">
      <c r="A622" s="5">
        <v>621</v>
      </c>
      <c r="B622" s="8" t="s">
        <v>3903</v>
      </c>
      <c r="C622" s="6" t="s">
        <v>1816</v>
      </c>
      <c r="D622" s="7" t="s">
        <v>9752</v>
      </c>
      <c r="E622" s="1" t="s">
        <v>46</v>
      </c>
      <c r="F622" s="1" t="s">
        <v>1389</v>
      </c>
      <c r="G622" s="1"/>
      <c r="J622" s="1" t="s">
        <v>9753</v>
      </c>
      <c r="K622" s="3" t="s">
        <v>8592</v>
      </c>
      <c r="L622" s="2" t="s">
        <v>8503</v>
      </c>
      <c r="M622" s="1" t="s">
        <v>12188</v>
      </c>
      <c r="P622" s="7" t="s">
        <v>1241</v>
      </c>
      <c r="Q622" s="13" t="str">
        <f>INDEX($L:$L, MATCH("obvious", $B:$B, 0))</f>
        <v>&lt;span class="w"&gt;&lt;b&gt;【287.obvious：明らかな】&lt;/b&gt;&lt;/span&gt;
&lt;span class="ml"&gt;ラテン語に由来する語で、以下の3つの要素から成る。
&lt;span class="spacer"&gt;&lt;/span&gt;ob（前に, ～に対して）
via（道）
us（形容詞化）
&lt;span class="spacer"&gt;&lt;/span&gt;このまま日本語にすると「道に, 行く手に」となる。道の上に何かが置かれているイメージから、一目見てわかる＝「明らかな, はっきり見える」という意味になる。
&lt;div class="sample_image obvious"&gt;&lt;/div&gt;&lt;/span&gt;</v>
      </c>
      <c r="R622" s="13" t="str">
        <f>INDEX($L:$L, MATCH("previous", $B:$B, 0))</f>
        <v>&lt;span class="w"&gt;&lt;b&gt;【291.previous：以前の, 前の】&lt;/b&gt;&lt;/span&gt;
&lt;span class="ml"&gt;ラテン語に由来する語で、以下の3つの要素から成る。
&lt;span class="spacer"&gt;&lt;/span&gt;prae（前に, 以前に）
via（道）
us（形容詞化）
&lt;span class="spacer"&gt;&lt;/span&gt;このまま日本語にすると「道の前」となる。これは道の先を行くイメージ。時間を道にたとえると、未来が現在を通過して過去になる。道の先を行くということは、先に現在を通過しているということなので、時系列において既に起こっている。ここから「以前の, 前の」という意味になる。
&lt;div class="sample_image previous"&gt;&lt;/div&gt;&lt;/span&gt;</v>
      </c>
      <c r="S622" s="13" t="str">
        <f>INDEX($L:$L, MATCH("via", $B:$B, 0))</f>
        <v>&lt;span class="w"&gt;&lt;b&gt;【800.via：〜経由で】&lt;/b&gt;&lt;/span&gt;
&lt;span class="ml"&gt;ラテン語via（道, 〜経由で）に由来する。
&lt;span class="spacer"&gt;&lt;/span&gt;ラテン語から意味の変化はほとんどなく「〜経由で」という意味になる。&lt;/span&gt;</v>
      </c>
      <c r="T622" s="13" t="str">
        <f>INDEX($L:$L, MATCH("trivial", $B:$B, 0))</f>
        <v>&lt;span class="w"&gt;&lt;b&gt;【1297.trivial：ささいな, 取るに足りない】&lt;/b&gt;&lt;/span&gt;
&lt;span class="ml"&gt;ラテン語に由来する語で、以下の2つの要素から成る。
&lt;span class="spacer"&gt;&lt;/span&gt;tri（3）
via（道）
alis（形容詞化）
&lt;span class="spacer"&gt;&lt;/span&gt;もともとは、3つの道が交わる場所（三叉路）を表した。古代ローマにおいて、三叉路は人々が行き交う非常に公共性の高い場所で、自然と立ち話や情報交換の場になった。そこで話される内容は、たいして重要ではない日常の噂話やありふれた世間話ばかりだったことから「ささいな, 取るに足りない」という意味になった。&lt;/span&gt;</v>
      </c>
      <c r="AU622" s="15"/>
      <c r="AV622" s="1" t="s">
        <v>1502</v>
      </c>
      <c r="BG622" s="7" t="s">
        <v>1503</v>
      </c>
      <c r="BH622" s="1" t="s">
        <v>1947</v>
      </c>
      <c r="BI622" s="2" t="s">
        <v>3904</v>
      </c>
      <c r="BJ622" s="1" t="s">
        <v>2026</v>
      </c>
      <c r="BK622" s="2" t="s">
        <v>3905</v>
      </c>
      <c r="BL622" s="1" t="s">
        <v>1959</v>
      </c>
      <c r="BM622" s="1" t="s">
        <v>3906</v>
      </c>
      <c r="BN622" s="1" t="s">
        <v>2114</v>
      </c>
      <c r="BO622" s="1" t="s">
        <v>3907</v>
      </c>
      <c r="BP622" s="1" t="s">
        <v>1875</v>
      </c>
      <c r="BQ622" s="2" t="s">
        <v>3908</v>
      </c>
    </row>
    <row r="623" spans="1:71" ht="144" x14ac:dyDescent="0.45">
      <c r="A623" s="5">
        <v>622</v>
      </c>
      <c r="B623" s="8" t="s">
        <v>414</v>
      </c>
      <c r="C623" s="6" t="s">
        <v>1816</v>
      </c>
      <c r="D623" s="7" t="s">
        <v>9752</v>
      </c>
      <c r="E623" s="1" t="s">
        <v>1395</v>
      </c>
      <c r="F623" s="1" t="s">
        <v>1794</v>
      </c>
      <c r="G623" s="1"/>
      <c r="J623" s="1" t="s">
        <v>9753</v>
      </c>
      <c r="K623" s="2" t="s">
        <v>8504</v>
      </c>
      <c r="L623" s="9" t="s">
        <v>9209</v>
      </c>
      <c r="P623" s="7" t="s">
        <v>1241</v>
      </c>
      <c r="AU623" s="15"/>
      <c r="AV623" s="1" t="s">
        <v>1502</v>
      </c>
      <c r="BG623" s="7" t="s">
        <v>1503</v>
      </c>
      <c r="BH623" s="1" t="s">
        <v>1976</v>
      </c>
      <c r="BI623" s="2" t="s">
        <v>3909</v>
      </c>
      <c r="BJ623" s="1" t="s">
        <v>1959</v>
      </c>
      <c r="BK623" s="2" t="s">
        <v>3910</v>
      </c>
      <c r="BL623" s="1" t="s">
        <v>1875</v>
      </c>
      <c r="BM623" s="2" t="s">
        <v>3911</v>
      </c>
    </row>
    <row r="624" spans="1:71" ht="90" x14ac:dyDescent="0.45">
      <c r="A624" s="5">
        <v>623</v>
      </c>
      <c r="B624" s="8" t="s">
        <v>415</v>
      </c>
      <c r="C624" s="6" t="s">
        <v>1816</v>
      </c>
      <c r="D624" s="7" t="s">
        <v>9752</v>
      </c>
      <c r="E624" s="6" t="s">
        <v>415</v>
      </c>
      <c r="F624" s="1"/>
      <c r="G624" s="1"/>
      <c r="J624" s="1" t="s">
        <v>9753</v>
      </c>
      <c r="K624" s="2" t="s">
        <v>1795</v>
      </c>
      <c r="L624" s="9" t="s">
        <v>8505</v>
      </c>
      <c r="P624" s="7" t="s">
        <v>1241</v>
      </c>
      <c r="AV624" s="1" t="s">
        <v>1502</v>
      </c>
      <c r="BG624" s="7" t="s">
        <v>1503</v>
      </c>
      <c r="BH624" s="1" t="s">
        <v>1872</v>
      </c>
      <c r="BI624" s="1" t="s">
        <v>3912</v>
      </c>
      <c r="BJ624" s="1" t="s">
        <v>1875</v>
      </c>
      <c r="BK624" s="2" t="s">
        <v>3913</v>
      </c>
    </row>
    <row r="625" spans="1:73" ht="162" x14ac:dyDescent="0.45">
      <c r="A625" s="5">
        <v>624</v>
      </c>
      <c r="B625" s="8" t="s">
        <v>416</v>
      </c>
      <c r="C625" s="6" t="s">
        <v>1816</v>
      </c>
      <c r="D625" s="7" t="s">
        <v>9752</v>
      </c>
      <c r="E625" s="6" t="s">
        <v>416</v>
      </c>
      <c r="F625" s="1"/>
      <c r="G625" s="1"/>
      <c r="J625" s="1" t="s">
        <v>9753</v>
      </c>
      <c r="K625" s="2" t="s">
        <v>8506</v>
      </c>
      <c r="L625" s="9" t="s">
        <v>8507</v>
      </c>
      <c r="P625" s="7" t="s">
        <v>1241</v>
      </c>
      <c r="Q625" s="13" t="str">
        <f>INDEX($L:$L, MATCH("pose", $B:$B, 0))</f>
        <v>&lt;span class="w"&gt;&lt;b&gt;【804.pose：（危険）を引き起こす, （問題など）を提起する, ポーズをとる, 装う】&lt;/b&gt;&lt;/span&gt;
&lt;span class="ml"&gt;ラテン語に由来する語で、以下の2つの要素から成る。
&lt;span class="spacer"&gt;&lt;/span&gt;pausere（止まる, 休む, 休ませる）
ponere（置く）
&lt;span class="spacer"&gt;&lt;/span&gt;この語の核は「何かを置く」。問題や危険を置くことから「問題を提起する, 危険を引き起こす」という意味になる。またある態度や性格に身を置くことから、態度や性格を「装う」、またモデルなどが「ポーズをとる」という意味になる。
&lt;span class="spacer"&gt;&lt;/span&gt;poseの目的語にくるものを「置く」ことから文に合った訳を考えればよい。
&lt;div class="sample_image pose"&gt;&lt;/div&gt;&lt;/span&gt;</v>
      </c>
      <c r="R625" s="13" t="str">
        <f>INDEX($L:$L, MATCH("expose", $B:$B, 0))</f>
        <v>&lt;span class="w"&gt;&lt;b&gt;【433.expose：～をさらす, 〜を暴露する】&lt;/b&gt;&lt;/span&gt;
&lt;span class="ml"&gt;ラテン語に由来する語で、以下の2つの要素から成る。
&lt;span class="spacer"&gt;&lt;/span&gt;ex（外に）
ponere（置く）
&lt;span class="spacer"&gt;&lt;/span&gt;このまま日本語にすると「外に置く」となる。これは、内側にあるものを外側に置くイメージ。そこから何かを「さらす, 暴露する」という意味になる。
&lt;div class="sample_image expose"&gt;&lt;/div&gt;&lt;/span&gt;</v>
      </c>
      <c r="S625" s="13" t="str">
        <f>INDEX($L:$L, MATCH("impose", $B:$B, 0))</f>
        <v>&lt;span class="w"&gt;&lt;b&gt;【826.impose：〜を課す, 〜を押し付ける】&lt;/b&gt;&lt;/span&gt;
&lt;span class="ml"&gt;古フランス語に由来する語で、以下の2つの要素から成る。
&lt;span class="spacer"&gt;&lt;/span&gt;in（中に）
poser（置く）
&lt;span class="spacer"&gt;&lt;/span&gt;このまま日本語にすると「中に置く」となる。相手の領域の中に押し込んで置くイメージから、対象に何かを「押し付ける, 課す」という意味になる。
&lt;div class="sample_image impose"&gt;&lt;/div&gt;&lt;/span&gt;</v>
      </c>
      <c r="T625" s="13" t="str">
        <f>INDEX($L:$L, MATCH("propose", $B:$B, 0))</f>
        <v>&lt;span class="w"&gt;&lt;b&gt;【436.propose：〜を提案する】&lt;/b&gt;&lt;/span&gt;
&lt;span class="ml"&gt;ラテン語に由来する語で、以下の2つの要素から成る。
&lt;span class="spacer"&gt;&lt;/span&gt;pro（前へ）
ponere（置く）
&lt;span class="spacer"&gt;&lt;/span&gt;このまま日本語にすると「前に置く」となる。意見や考えを相手の前に置くイメージから「提案する」という意味になる。&lt;/span&gt;</v>
      </c>
      <c r="U625" s="13" t="str">
        <f>INDEX($L:$L, MATCH("oppose", $B:$B, 0))</f>
        <v>&lt;span class="w"&gt;&lt;b&gt;【513.oppose：〜に反対する, 〜を対抗させる】&lt;/b&gt;&lt;/span&gt;
&lt;span class="ml"&gt;ラテン語に由来する語で、以下の2つの要素から成る。
&lt;span class="spacer"&gt;&lt;/span&gt;ob（〜に対して）
ponere（置く）
&lt;span class="spacer"&gt;&lt;/span&gt;このまま日本語にすると「～に対して置く」となる。相手に対して自分を置く、つまり相手と自分が向かい合うように置くイメージから「反対する, 対抗させる」という意味になる。
&lt;div class="sample_image oppose"&gt;&lt;/div&gt;&lt;/span&gt;</v>
      </c>
      <c r="V625" s="13" t="str">
        <f>INDEX($L:$L, MATCH("dispose", $B:$B, 0))</f>
        <v>&lt;span class="w"&gt;&lt;b&gt;【1435.dispose：（of ~）〜を処分する, （dispose ~ to do）〜する気にさせる】&lt;/b&gt;&lt;/span&gt;
&lt;span class="ml"&gt;ラテン語に由来する語で、以下の2つの要素から成る。
&lt;span class="spacer"&gt;&lt;/span&gt;dis（離れて）
ponere（置く）
&lt;span class="spacer"&gt;&lt;/span&gt;このまま日本語にすると「離して置く」となるが、この語の核は「ごちゃごちゃしたものをそれぞれ離して整理し、あるべき位置へ置く」イメージ。
&lt;span class="spacer"&gt;&lt;/span&gt;不要なもの・問題などを整理して、それがあるべき場所へ置くことから「処分する」という意味になる。
&lt;span class="spacer"&gt;&lt;/span&gt;また相手の気持ちを整理して進むべき方向へ置くことから「何かをする気にさせる」となる。
&lt;span class="spacer"&gt;&lt;/span&gt;dispose 人 to do
人 be disposed to do
&lt;div class="sample_image dispose"&gt;&lt;/div&gt;&lt;/span&gt;</v>
      </c>
      <c r="W625" s="13" t="str">
        <f>INDEX($L:$L, MATCH("compose", $B:$B, 0))</f>
        <v>&lt;span class="w"&gt;&lt;b&gt;【833.compose：～を構成する, ～を創作する】&lt;/b&gt;&lt;/span&gt;
&lt;span class="ml"&gt;ラテン語に由来する語で、以下の2つの要素から成る。
&lt;span class="spacer"&gt;&lt;/span&gt;com（共に）
ponere（置く）
&lt;span class="spacer"&gt;&lt;/span&gt;このまま日本語にすると「共に置く」となる。2つ以上のものを一緒に置いて全体を形作ることから、構成要素となって全体を作り上げる＝「構成する, 創作する」という意味になる。
&lt;div class="sample_image compose"&gt;&lt;/div&gt;&lt;/span&gt;</v>
      </c>
      <c r="X625" s="13" t="str">
        <f>INDEX($L:$L, MATCH("suppose", $B:$B, 0))</f>
        <v>&lt;span class="w"&gt;&lt;b&gt;【121.suppose：～と仮定する, と思う】&lt;/b&gt;&lt;/span&gt;
&lt;span class="ml"&gt;ラテン語に由来する語で、以下の2つの要素から成る。
&lt;span class="spacer"&gt;&lt;/span&gt;sub（下に）
ponere（置く）
&lt;span class="spacer"&gt;&lt;/span&gt;このまま日本語にすると「下に置く」となる。思考において、何かを既にあるものとして土台に置くイメージから、何かを前提として置く＝「仮定する」という意味になる。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&lt;div class="sample_image suppose"&gt;&lt;/div&gt;
&lt;span class="spacer"&gt;&lt;/span&gt;supposeを「前提に置く」というイメージで覚えておけば、be supposed to do A（Aすることになっている）は、要は「Aするということが前提として置かれている」だけだと理解できる。&lt;/span&gt;</v>
      </c>
      <c r="Y625" s="13" t="str">
        <f>INDEX($L:$L, MATCH("positive", $B:$B, 0))</f>
        <v>&lt;span class="w"&gt;&lt;b&gt;【179.positive：肯定的な, 確信して, （検査で）陽性の】&lt;/b&gt;&lt;/span&gt;
&lt;span class="ml"&gt;ラテン語に由来する語で、以下の2つの要素から成る。
&lt;span class="spacer"&gt;&lt;/span&gt;ponere（置く）の過去分詞positus（置かれる）
ivus（形容詞化）
&lt;span class="spacer"&gt;&lt;/span&gt;もともとは法律用語。法や権威あるものによって置かれる、つまり法や権威によって定められて否定のしようがないという意味で使われた。ここから「肯定的な, 確信して, 陽性の」という意味になる。&lt;/span&gt;</v>
      </c>
      <c r="Z625" s="13" t="str">
        <f>INDEX($L:$L, MATCH("deposit", $B:$B, 0))</f>
        <v>&lt;span class="w"&gt;&lt;b&gt;【1315.deposit：〜を置く, 〜を預ける】&lt;/b&gt;&lt;/span&gt;
&lt;span class="ml"&gt;ラテン語に由来する語で、以下の2つの要素から成る。
&lt;span class="spacer"&gt;&lt;/span&gt;de（離れて, 下に）
ponere（置く）
&lt;span class="spacer"&gt;&lt;/span&gt;このまま日本語にすると「離れて置く, 下に置く」となる。物理的に何かを「置く」という意味もあるが、金銭や貴重品を離れた場所に「預ける」という意味にもなる。
&lt;span class="spacer"&gt;&lt;/span&gt;depositのposit部分は、positionと同じなので、そこから「置く」というイメージ持っておくとよい。
&lt;div class="sample_image deposit"&gt;&lt;/div&gt;&lt;/span&gt;</v>
      </c>
      <c r="AA625" s="13" t="str">
        <f>INDEX($L:$L, MATCH("compound", $B:$B, 0))</f>
        <v>&lt;span class="w"&gt;&lt;b&gt;【1129.compound：〜を悪化させる, 〜を合成する, 〜を混合する】&lt;/b&gt;&lt;/span&gt;
&lt;span class="ml"&gt;ラテン語に由来する語で、以下の2つの要素から成る。
&lt;span class="spacer"&gt;&lt;/span&gt;com（共に）
ponere（置く）
&lt;span class="spacer"&gt;&lt;/span&gt;このまま日本語にすると「共に置く」となる。複数のものを一緒にすることから、何かを「合成する, 混合する, 調合する」といった意味になる。さらに、問題や困難などがどんどん一緒に置かれて積もっていくことから、状況や問題などを「悪化させる」という意味にもなる。
&lt;div class="sample_image compound"&gt;&lt;/div&gt;&lt;/span&gt;</v>
      </c>
      <c r="AB625" s="13" t="str">
        <f>INDEX($L:$L, MATCH("postpone", $B:$B, 0))</f>
        <v>&lt;span class="w"&gt;&lt;b&gt;【1134.postpone：〜を延期する】&lt;/b&gt;&lt;/span&gt;
&lt;span class="ml"&gt;ラテン語に由来する語で、以下の2つの要素から成る。
&lt;span class="spacer"&gt;&lt;/span&gt;post（後に）
ponere（置く）
&lt;span class="spacer"&gt;&lt;/span&gt;このまま日本語にすると「後に置く」となる。予定や物事を時間的に後に置くことから「延期する」という意味になる。&lt;/span&gt;
&lt;div class="animation postpone"&gt;&lt;/div&gt;</v>
      </c>
      <c r="AC625" s="13" t="str">
        <f>INDEX($L:$L, MATCH("component", $B:$B, 0))</f>
        <v>&lt;span class="w"&gt;&lt;b&gt;【677.component：構成要素, 部品】&lt;/b&gt;&lt;/span&gt;
&lt;span class="ml"&gt;ラテン語に由来する語で、以下の2つの要素から成る。
&lt;span class="spacer"&gt;&lt;/span&gt;com（共に）
ponere（置く）
&lt;span class="spacer"&gt;&lt;/span&gt;このまま日本語にすると「共に置く」となる。いくつかの部分を一緒に置くことで全体が構成されることから、全体の「構成要素, 部品」という意味になる。
&lt;div class="sample_image component"&gt;&lt;/div&gt;&lt;/span&gt;</v>
      </c>
      <c r="AD625" s="13" t="str">
        <f>INDEX($L:$L, MATCH("opponent", $B:$B, 0))</f>
        <v>&lt;span class="w"&gt;&lt;b&gt;【762.opponent：（試合や論争などの）相手, 反対者】&lt;/b&gt;&lt;/span&gt;
&lt;span class="ml"&gt;ラテン語に由来する語で、以下の3つの要素から成る。
&lt;span class="spacer"&gt;&lt;/span&gt;ob（前に, 対して）
ponere（置く）
ens（現在分詞を作る：〜しているもの）
&lt;span class="spacer"&gt;&lt;/span&gt;この語の核は「何かに対立する位置に置いてあるもの」。ここから「対戦相手, 反対者」という意味になる。
&lt;div class="sample_image opponent"&gt;&lt;/div&gt;&lt;/span&gt;</v>
      </c>
      <c r="AE625" s="13" t="str">
        <f>INDEX($L:$L, MATCH("posture", $B:$B, 0))</f>
        <v>&lt;span class="w"&gt;&lt;b&gt;【1451.posture：姿勢, 心構え】&lt;/b&gt;&lt;/span&gt;
&lt;span class="ml"&gt;ラテン語に由来する語で、以下の2つの要素から成る。
&lt;span class="spacer"&gt;&lt;/span&gt;ponere（置く）の過去分詞positus
ura（名詞化）
&lt;span class="spacer"&gt;&lt;/span&gt;このまま日本語にすると「置かれた状態」となる。これは何かの位置や配置を表したが、特に身体の各パーツの位置を指すようになり、そこから身体のポジション＝「姿勢」という意味になった。
&lt;span class="spacer"&gt;&lt;/span&gt;さらにそこから比喩的に、状況に対する心理的な姿勢＝「心構え」という意味にもなった。&lt;/span&gt;</v>
      </c>
      <c r="AU625" s="15"/>
      <c r="AV625" s="1" t="s">
        <v>1502</v>
      </c>
      <c r="BG625" s="7" t="s">
        <v>1503</v>
      </c>
      <c r="BH625" s="1" t="s">
        <v>2036</v>
      </c>
      <c r="BI625" s="1" t="s">
        <v>8508</v>
      </c>
      <c r="BJ625" s="1" t="s">
        <v>1959</v>
      </c>
      <c r="BK625" s="1" t="s">
        <v>8509</v>
      </c>
      <c r="BL625" s="1" t="s">
        <v>1996</v>
      </c>
      <c r="BM625" s="1" t="s">
        <v>8510</v>
      </c>
      <c r="BN625" s="1" t="s">
        <v>1877</v>
      </c>
      <c r="BO625" s="2" t="s">
        <v>8511</v>
      </c>
    </row>
    <row r="626" spans="1:73" ht="162" x14ac:dyDescent="0.45">
      <c r="A626" s="5">
        <v>625</v>
      </c>
      <c r="B626" s="8" t="s">
        <v>417</v>
      </c>
      <c r="C626" s="6" t="s">
        <v>1816</v>
      </c>
      <c r="D626" s="7" t="s">
        <v>9752</v>
      </c>
      <c r="E626" s="1" t="s">
        <v>1505</v>
      </c>
      <c r="F626" s="1" t="s">
        <v>1796</v>
      </c>
      <c r="G626" s="1"/>
      <c r="J626" s="1" t="s">
        <v>9753</v>
      </c>
      <c r="K626" s="2" t="s">
        <v>8512</v>
      </c>
      <c r="L626" s="9" t="s">
        <v>8513</v>
      </c>
      <c r="P626" s="7" t="s">
        <v>1241</v>
      </c>
      <c r="AU626" s="15"/>
      <c r="AV626" s="1" t="s">
        <v>1502</v>
      </c>
      <c r="BG626" s="7" t="s">
        <v>1503</v>
      </c>
      <c r="BH626" s="1" t="s">
        <v>1947</v>
      </c>
      <c r="BI626" s="2" t="s">
        <v>3914</v>
      </c>
      <c r="BJ626" s="1" t="s">
        <v>1959</v>
      </c>
      <c r="BK626" s="2" t="s">
        <v>3915</v>
      </c>
      <c r="BL626" s="1" t="s">
        <v>1875</v>
      </c>
      <c r="BM626" s="2" t="s">
        <v>3916</v>
      </c>
    </row>
    <row r="627" spans="1:73" ht="108" x14ac:dyDescent="0.45">
      <c r="A627" s="5">
        <v>626</v>
      </c>
      <c r="B627" s="8" t="s">
        <v>418</v>
      </c>
      <c r="C627" s="6" t="s">
        <v>1816</v>
      </c>
      <c r="D627" s="7" t="s">
        <v>9752</v>
      </c>
      <c r="E627" s="6" t="s">
        <v>418</v>
      </c>
      <c r="F627" s="1"/>
      <c r="G627" s="1"/>
      <c r="J627" s="1" t="s">
        <v>9753</v>
      </c>
      <c r="K627" s="2" t="s">
        <v>8514</v>
      </c>
      <c r="L627" s="9" t="s">
        <v>8515</v>
      </c>
      <c r="P627" s="7" t="s">
        <v>1241</v>
      </c>
      <c r="AU627" s="15"/>
      <c r="AV627" s="1" t="s">
        <v>1502</v>
      </c>
      <c r="BG627" s="7" t="s">
        <v>1503</v>
      </c>
      <c r="BH627" s="1" t="s">
        <v>1875</v>
      </c>
      <c r="BI627" s="2" t="s">
        <v>3917</v>
      </c>
      <c r="BJ627" s="1" t="s">
        <v>3496</v>
      </c>
      <c r="BK627" s="2" t="s">
        <v>3918</v>
      </c>
    </row>
    <row r="628" spans="1:73" ht="144" x14ac:dyDescent="0.45">
      <c r="A628" s="5">
        <v>627</v>
      </c>
      <c r="B628" s="8" t="s">
        <v>419</v>
      </c>
      <c r="C628" s="6" t="s">
        <v>1816</v>
      </c>
      <c r="D628" s="7" t="s">
        <v>9752</v>
      </c>
      <c r="E628" s="6" t="s">
        <v>419</v>
      </c>
      <c r="F628" s="1"/>
      <c r="G628" s="1"/>
      <c r="J628" s="1" t="s">
        <v>9753</v>
      </c>
      <c r="K628" s="2"/>
      <c r="L628" s="9" t="s">
        <v>8516</v>
      </c>
      <c r="P628" s="7" t="s">
        <v>1241</v>
      </c>
      <c r="AV628" s="1" t="s">
        <v>1502</v>
      </c>
      <c r="BG628" s="7" t="s">
        <v>1503</v>
      </c>
      <c r="BH628" s="1" t="s">
        <v>2458</v>
      </c>
      <c r="BI628" s="1" t="s">
        <v>3919</v>
      </c>
      <c r="BJ628" s="1" t="s">
        <v>1947</v>
      </c>
      <c r="BK628" s="1" t="s">
        <v>3920</v>
      </c>
      <c r="BL628" s="1" t="s">
        <v>2026</v>
      </c>
      <c r="BM628" s="1" t="s">
        <v>3921</v>
      </c>
      <c r="BN628" s="1" t="s">
        <v>1967</v>
      </c>
      <c r="BO628" s="1" t="s">
        <v>3922</v>
      </c>
      <c r="BP628" s="1" t="s">
        <v>1959</v>
      </c>
      <c r="BQ628" s="2" t="s">
        <v>3923</v>
      </c>
      <c r="BR628" s="1" t="s">
        <v>1875</v>
      </c>
      <c r="BS628" s="2" t="s">
        <v>3924</v>
      </c>
      <c r="BT628" s="1" t="s">
        <v>1877</v>
      </c>
      <c r="BU628" s="2" t="s">
        <v>8517</v>
      </c>
    </row>
    <row r="629" spans="1:73" ht="126" x14ac:dyDescent="0.45">
      <c r="A629" s="5">
        <v>628</v>
      </c>
      <c r="B629" s="8" t="s">
        <v>3925</v>
      </c>
      <c r="C629" s="6" t="s">
        <v>1816</v>
      </c>
      <c r="D629" s="7" t="s">
        <v>9752</v>
      </c>
      <c r="E629" s="1" t="s">
        <v>1325</v>
      </c>
      <c r="F629" s="1" t="s">
        <v>1614</v>
      </c>
      <c r="G629" s="1"/>
      <c r="J629" s="1" t="s">
        <v>9753</v>
      </c>
      <c r="K629" s="1" t="s">
        <v>7945</v>
      </c>
      <c r="L629" s="3" t="s">
        <v>8527</v>
      </c>
      <c r="M629" s="1" t="s">
        <v>12203</v>
      </c>
      <c r="P629" s="7" t="s">
        <v>1241</v>
      </c>
      <c r="Q629" s="13" t="str">
        <f>INDEX($L:$L, MATCH("admit", $B:$B, 0))</f>
        <v>&lt;span class="w"&gt;&lt;b&gt;【406.admit：〜を認める, 入場・入学を認める】&lt;/b&gt;&lt;/span&gt;
&lt;span class="ml"&gt;ラテン語に由来する語で、以下の2つの要素から成る。
&lt;span class="spacer"&gt;&lt;/span&gt;ad（～へ）
mittere（送る, 放つ）
&lt;span class="spacer"&gt;&lt;/span&gt;このまま日本語にすると「〜へ送る」となる。これは、外から来たものをそのまま内側へ送るイメージ。そこから、学校や会場で内側へ送るなら「入場・入学を認める」、議論において主張や真実を内側に送るなら「認める」という意味になる。
&lt;div class="sample_image admit"&gt;&lt;/div&gt;&lt;/span&gt;</v>
      </c>
      <c r="R629" s="13" t="str">
        <f>INDEX($L:$L, MATCH("submit", $B:$B, 0))</f>
        <v>&lt;span class="w"&gt;&lt;b&gt;【928.submit：〜を提出する, submit oneself 従う】&lt;/b&gt;&lt;/span&gt;
&lt;span class="ml"&gt;ラテン語に由来する語で、以下の2つの要素から成る。
&lt;span class="spacer"&gt;&lt;/span&gt;sub（〜の下に）
mittere（送る, 放つ）
&lt;span class="spacer"&gt;&lt;/span&gt;このまま日本語にすると「下に送る」となる。この物理的な下方向への動きから、自分自身を相手の下に置き、相手に「従う」という意味になった。さらに、自分で判断するのではなく他者の判断に従うために、自分の意見や考えなどを差し出すことから、何かを「提出する」という意味にもなった。
&lt;div class="sample_image submit"&gt;&lt;/div&gt;&lt;/span&gt;</v>
      </c>
      <c r="S629" s="13" t="str">
        <f>INDEX($L:$L, MATCH("emit", $B:$B, 0))</f>
        <v>&lt;span class="w"&gt;&lt;b&gt;【1322.emit：（光・熱などを）放つ, 排出する】&lt;/b&gt;&lt;/span&gt;
&lt;span class="ml"&gt;ラテン語に由来する語で、以下の2つの要素から成る。
&lt;span class="spacer"&gt;&lt;/span&gt;ex（外に）
mittere（送る）
&lt;span class="spacer"&gt;&lt;/span&gt;このまま日本語にすると「外に送る」となる。物理的に何かを外へ送り出すという動作から、目に見えないエネルギーや気体などを「放つ, 排出する」という意味になった。
&lt;div class="sample_image emit"&gt;&lt;/div&gt;&lt;/span&gt;</v>
      </c>
      <c r="T629" s="13" t="str">
        <f>INDEX($L:$L, MATCH("commit", $B:$B, 0))</f>
        <v>&lt;span class="w"&gt;&lt;b&gt;【601.commit：（受け身で）献身する, 罪などを犯す】&lt;/b&gt;&lt;/span&gt;
&lt;span class="ml"&gt;ラテン語に由来する語で、以下の2つの要素から成る。
&lt;span class="spacer"&gt;&lt;/span&gt;com（共に）
mittere（送る, 放つ）
&lt;span class="spacer"&gt;&lt;/span&gt;このまま日本語にすると「共に送る」となる。ここから現代英語の「献身する」や「罪などを犯す」という意味への発展経緯は明らかではないため、あくまでイメージで覚えておく。この語の核は「対象の元へ何かをまとめて送る」。
&lt;span class="spacer"&gt;&lt;/span&gt;①まだ実行していないものを現実に送る感じから「何かを行う」となる。特に後戻りできない重大なことを行うことから「罪などを犯す」という意味になる。
&lt;span class="spacer"&gt;&lt;/span&gt;②自分自身や自分の能力、時間、権限など、自分と自分に関するものをまとめて対象に送る感じから「献身する, 専念する」という意味になる。この場合は、commit oneself to A / be committed to Aといった形で使われる。&lt;/span&gt;</v>
      </c>
      <c r="U629" s="13" t="str">
        <f>INDEX($L:$L, MATCH("transmit", $B:$B, 0))</f>
        <v>&lt;span class="w"&gt;&lt;b&gt;【1028.transmit：〜を伝える, （電波や信号など）を送る】&lt;/b&gt;&lt;/span&gt;
&lt;span class="ml"&gt;ラテン語に由来する語で、以下の2つの要素から成る。
&lt;span class="spacer"&gt;&lt;/span&gt;trans（越えて, 向こうへ）
mittere（送る, 放つ）
&lt;span class="spacer"&gt;&lt;/span&gt;このまま日本語にすると「越えて送る」となる。もともとは、何かを隔てた向こう側へ送るという物理的な移動を表した。そこからエネルギーや情報など、空間を越えて「伝える, 送る」という意味になった。
&lt;div class="sample_image transmit"&gt;&lt;/div&gt;&lt;/span&gt;</v>
      </c>
      <c r="AU629" s="15"/>
      <c r="AV629" s="1" t="s">
        <v>1502</v>
      </c>
      <c r="BG629" s="7" t="s">
        <v>1503</v>
      </c>
      <c r="BH629" s="1" t="s">
        <v>1947</v>
      </c>
      <c r="BI629" s="2" t="s">
        <v>3926</v>
      </c>
      <c r="BJ629" s="1" t="s">
        <v>1959</v>
      </c>
      <c r="BK629" s="1" t="s">
        <v>3927</v>
      </c>
      <c r="BL629" s="1" t="s">
        <v>1875</v>
      </c>
      <c r="BM629" s="2" t="s">
        <v>3928</v>
      </c>
    </row>
    <row r="630" spans="1:73" ht="162" x14ac:dyDescent="0.45">
      <c r="A630" s="5">
        <v>629</v>
      </c>
      <c r="B630" s="8" t="s">
        <v>3929</v>
      </c>
      <c r="C630" s="6" t="s">
        <v>1816</v>
      </c>
      <c r="D630" s="7" t="s">
        <v>9752</v>
      </c>
      <c r="E630" s="1" t="s">
        <v>29</v>
      </c>
      <c r="F630" s="1" t="s">
        <v>1751</v>
      </c>
      <c r="G630" s="1"/>
      <c r="J630" s="1" t="s">
        <v>9753</v>
      </c>
      <c r="K630" s="1" t="s">
        <v>8518</v>
      </c>
      <c r="L630" s="3" t="s">
        <v>8528</v>
      </c>
      <c r="M630" s="1" t="s">
        <v>12151</v>
      </c>
      <c r="P630" s="7" t="s">
        <v>1241</v>
      </c>
      <c r="Q630" s="13" t="str">
        <f>INDEX($L:$L, MATCH("express", $B:$B, 0))</f>
        <v>&lt;span class="w"&gt;&lt;b&gt;【111.express：～を表す, ～を述べる】&lt;/b&gt;&lt;/span&gt;
&lt;span class="ml"&gt;ラテン語に由来する語で、以下の2つの要素から成る。
&lt;span class="spacer"&gt;&lt;/span&gt;ex（外に）
premere（押す：pressの語源）
&lt;span class="spacer"&gt;&lt;/span&gt;このまま日本語にすると「外に押す」となる。自分の中にあるものを外に押し出すことから、何かを「～を表す, 述べる」という意味になる。&lt;/span&gt;</v>
      </c>
      <c r="R630" s="13" t="str">
        <f>INDEX($L:$L, MATCH("suppress", $B:$B, 0))</f>
        <v>&lt;span class="w"&gt;&lt;b&gt;【1308.suppress：〜を抑える】&lt;/b&gt;&lt;/span&gt;
&lt;span class="ml"&gt;ラテン語に由来する語で、以下の2つの要素から成る。
&lt;span class="spacer"&gt;&lt;/span&gt;sub（下に）
premere（押す）
&lt;span class="spacer"&gt;&lt;/span&gt;物理的に下に押すという動作から、感情や情報、社会的な運動などを表面に出ないように「抑える」という意味になった。
&lt;div class="sample_image suppress"&gt;&lt;/div&gt;&lt;/span&gt;</v>
      </c>
      <c r="S630" s="13" t="str">
        <f>INDEX($L:$L, MATCH("depression", $B:$B, 0))</f>
        <v>&lt;span class="w"&gt;&lt;b&gt;【559.depression：憂うつ, 不況】&lt;/b&gt;&lt;/span&gt;
&lt;span class="ml"&gt;ラテン語に由来する語で、以下の3つの要素から成る。
&lt;span class="spacer"&gt;&lt;/span&gt;de（下に）
premere（押す, 圧する）
io（名詞化）
&lt;span class="spacer"&gt;&lt;/span&gt;このまま日本語にすると「下に押す」となる。これは、通常の状態から押し下げるというイメージ。気分を押し下げれば「憂うつ」、経済活動を押し下げれば「不況」という意味になる。&lt;/span&gt;</v>
      </c>
      <c r="AU630" s="15"/>
      <c r="AV630" s="1" t="s">
        <v>1502</v>
      </c>
      <c r="BG630" s="7" t="s">
        <v>1503</v>
      </c>
      <c r="BH630" s="1" t="s">
        <v>1947</v>
      </c>
      <c r="BI630" s="2" t="s">
        <v>3930</v>
      </c>
      <c r="BJ630" s="1" t="s">
        <v>1959</v>
      </c>
      <c r="BK630" s="1" t="s">
        <v>3931</v>
      </c>
      <c r="BL630" s="1" t="s">
        <v>1875</v>
      </c>
      <c r="BM630" s="2" t="s">
        <v>3932</v>
      </c>
    </row>
    <row r="631" spans="1:73" ht="126" x14ac:dyDescent="0.45">
      <c r="A631" s="5">
        <v>630</v>
      </c>
      <c r="B631" s="8" t="s">
        <v>3933</v>
      </c>
      <c r="C631" s="6" t="s">
        <v>1816</v>
      </c>
      <c r="D631" s="7" t="s">
        <v>9752</v>
      </c>
      <c r="E631" s="1" t="s">
        <v>8929</v>
      </c>
      <c r="F631" s="1" t="s">
        <v>4768</v>
      </c>
      <c r="G631" s="1"/>
      <c r="J631" s="1" t="s">
        <v>9753</v>
      </c>
      <c r="K631" s="2" t="s">
        <v>8529</v>
      </c>
      <c r="L631" s="3" t="s">
        <v>8530</v>
      </c>
      <c r="M631" s="1" t="s">
        <v>12135</v>
      </c>
      <c r="P631" s="7" t="s">
        <v>1241</v>
      </c>
      <c r="Q631" s="13" t="str">
        <f>INDEX($L:$L, MATCH("respect", $B:$B, 0))</f>
        <v>&lt;span class="w"&gt;&lt;b&gt;【133.respect：〜を尊敬する】&lt;/b&gt;&lt;/span&gt;
&lt;span class="ml"&gt;ラテン語に由来する語で、以下の2つの要素から成る。
&lt;span class="spacer"&gt;&lt;/span&gt;re（後ろへ）
specere（見る）
&lt;span class="spacer"&gt;&lt;/span&gt;このまま日本語にすると「後ろを見る」となる。振り返って見る、1度見たものを何度もよく見るというイメージから、対象に注意、配慮、敬意を向ける、つまり「尊敬する」という意味になる。
&lt;span class="spacer"&gt;&lt;/span&gt;名詞respectは、ある事柄に何度も目を向けることから、目を向ける先の「ポイント」や「関係」を意味する。&lt;/span&gt;</v>
      </c>
      <c r="R631" s="13" t="str">
        <f>INDEX($L:$L, MATCH("aspect", $B:$B, 0))</f>
        <v>&lt;span class="w"&gt;&lt;b&gt;【174.aspect：側面, 観点】&lt;/b&gt;&lt;/span&gt;
&lt;span class="ml"&gt;ラテン語に由来する語で、以下の3つの要素から成る。
&lt;span class="spacer"&gt;&lt;/span&gt;ad（～へ）
specere（見る）
tus（名詞化）
&lt;span class="spacer"&gt;&lt;/span&gt;このまま日本語にすると「～へ見ること」となる。もともとは占星術用語として使われ、地球と他の惑星がどのように見えるかを意味した。たとえば地球から月を見るとき、地球上の観測点からは月のひとつの面しか見えない。
&lt;span class="spacer"&gt;&lt;/span&gt;ここから、自分から相手、相手から自分を見るそれぞれの「観点」や、見ている相手の「側面」という意味になる。
&lt;div class="sample_image aspect"&gt;&lt;/div&gt;&lt;/span&gt;</v>
      </c>
      <c r="S631" s="13" t="str">
        <f>INDEX($L:$L, MATCH("prospect", $B:$B, 0))</f>
        <v>&lt;span class="w"&gt;&lt;b&gt;【860.prospect：見込み, 未来への展望, 有望な人】&lt;/b&gt;&lt;/span&gt;
&lt;span class="ml"&gt;ラテン語に由来する語で、以下の2つの要素から成る。
&lt;span class="spacer"&gt;&lt;/span&gt;pro（前へ）
specere（見る）
&lt;span class="spacer"&gt;&lt;/span&gt;このまま日本語にすると「前方を見る」となる。物理的に遠くを見ることから、時間的に遠い将来を見ることへと発展して「見込み, 未来への展望」という意味になった。また未来を期待される人＝「将来有望な人」という意味にもなった。&lt;/span&gt;</v>
      </c>
      <c r="T631" s="13" t="str">
        <f>INDEX($L:$L, MATCH("perspective", $B:$B, 0))</f>
        <v>&lt;span class="w"&gt;&lt;b&gt;【365.perspective：観点（≒立場）, 大局観, 遠近法】&lt;/b&gt;&lt;/span&gt;
&lt;span class="ml"&gt;ラテン語に由来する語で、以下の2つの要素から成る。
&lt;span class="spacer"&gt;&lt;/span&gt;per（通して）
specere（見る）
&lt;span class="spacer"&gt;&lt;/span&gt;このまま日本語にすると「見通す」となる。これは「ある視点から対象の奥側まで全体を見通す」というイメージで、次の3つのポイントがある。①見る視点・②全体を見ること・③奥まで見ること。
&lt;span class="spacer"&gt;&lt;/span&gt;「見る視点」からは、物事を見るときの視点＝「観点, 立場」という意味になる。
&lt;span class="spacer"&gt;&lt;/span&gt;「全体を見る」からは、対局を見通す「大局観」という意味になる。
&lt;span class="spacer"&gt;&lt;/span&gt;「奥まで見る」からは、空間を見通して奥行や距離を正しく把握する「遠近法」という意味になる。
&lt;div class="sample_image perspective"&gt;&lt;/div&gt;
&lt;span class="spacer"&gt;&lt;/span&gt;perspectiveは、ある「観点, 立場」から「全体を見ること」。そしてその見方の一例が「遠近法」だと覚えればよい。&lt;/span&gt;</v>
      </c>
      <c r="U631" s="13" t="str">
        <f>INDEX($L:$L, MATCH("spectator", $B:$B, 0))</f>
        <v>&lt;span class="w"&gt;&lt;b&gt;【1465.spectator：観客】&lt;/b&gt;&lt;/span&gt;
&lt;span class="ml"&gt;ラテン語に由来する語で、以下の2つの要素から成る。
&lt;span class="spacer"&gt;&lt;/span&gt;spectare（繰り返し見る, 観察する）
or（〜する人）
&lt;span class="spacer"&gt;&lt;/span&gt;このまま日本語にすると「しっかり見る人, 観察する人」すなわち「観客」という意味になる。
&lt;span class="spacer"&gt;&lt;/span&gt;spectを見たら「見る」系の意味だと覚えておくとよい。&lt;/span&gt;</v>
      </c>
      <c r="V631" s="13" t="str">
        <f>INDEX($L:$L, MATCH("species", $B:$B, 0))</f>
        <v>&lt;span class="w"&gt;&lt;b&gt;【56.species：（生物の）種】&lt;/b&gt;&lt;/span&gt;
&lt;span class="ml"&gt;ラテン語specere（注視する）に由来する。
&lt;span class="spacer"&gt;&lt;/span&gt;何かを注視するということは、全体を見るのではなく、全体の中の特定のものに目を向けるということ。ここから生物全体の中の特定の種類＝「生物の種」という意味になる。
&lt;span class="spacer"&gt;&lt;/span&gt;ラテン語のspeciesが英語になっただけなので、-iesは英語の名詞複数形ではない。&lt;/span&gt;</v>
      </c>
      <c r="W631" s="13" t="str">
        <f>INDEX($L:$L, MATCH("specific", $B:$B, 0))</f>
        <v>&lt;span class="w"&gt;&lt;b&gt;【184.specific：特定の, 明確な, 具体的な, ～に特有の】&lt;/b&gt;&lt;/span&gt;
&lt;span class="ml"&gt;ラテン語に由来する語で、以下の2つの要素から成る。
&lt;span class="spacer"&gt;&lt;/span&gt;species（種類）
facere（作る, する）
&lt;span class="spacer"&gt;&lt;/span&gt;このまま日本語にすると「ある種類を作る」となる。何かの種類を作るとは、他の種類にはない特定の性質を持たせるということ。ここから「特定の, 特有の」という意味になる。
&lt;span class="spacer"&gt;&lt;/span&gt;また特定という意味から曖昧ではなく「明確な, 具体的な」という意味になる。&lt;/span&gt;</v>
      </c>
      <c r="X631" s="13" t="str">
        <f>INDEX($L:$L, MATCH("unexpected", $B:$B, 0))</f>
        <v>&lt;span class="w"&gt;&lt;b&gt;【594.unexpected：思いがけない】&lt;/b&gt;&lt;/span&gt;
&lt;span class="ml"&gt;［expectの語源］
ラテン語に由来する語で、以下の2つの要素から成る。
&lt;span class="spacer"&gt;&lt;/span&gt;ex（外に, 徹底的に）
specere（見る）
&lt;span class="spacer"&gt;&lt;/span&gt;このまま日本語にすると「外を徹底的に見る」となる。これが頭の中で未来の出来事に目を向けることへと発展し、未来に起こることを「期待する」という意味になった。
&lt;span class="spacer"&gt;&lt;/span&gt;［unexpectedの語源］
近代英語にさかのぼり、以下の2つの要素から成る。
&lt;span class="spacer"&gt;&lt;/span&gt;un（否定）
expectの過去分詞expected
&lt;span class="spacer"&gt;&lt;/span&gt;ここから、起きることを期待して見ていなかった、つまり「思いがけない」という意味になる。&lt;/span&gt;</v>
      </c>
      <c r="Y631" s="13" t="str">
        <f>INDEX($L:$L, MATCH("spectrum", $B:$B, 0))</f>
        <v>&lt;span class="w"&gt;&lt;b&gt;【1369.spectrum：スペクトル, （波動・変動の）範囲】&lt;/b&gt;&lt;/span&gt;
&lt;span class="ml"&gt;ラテン語に由来する語で、以下の2つの要素から成る。
&lt;span class="spacer"&gt;&lt;/span&gt;specere（見る, 眺める）
um（名詞化）
&lt;span class="spacer"&gt;&lt;/span&gt;このまま日本語にすると「見えるもの」となり、核は「本来は見えないものが目の前に現れたもの」。
&lt;span class="spacer"&gt;&lt;/span&gt;物理学者のアイザック・ニュートンが、プリズムを通した太陽光が虹色に分かれる現象を発表した際、この暗闇に浮かび上がる光の帯を光が現れた姿と見立ててspectrumと名付けた。そこから目に見える光の色帯＝「スペクトル」という意味になった。
&lt;span class="spacer"&gt;&lt;/span&gt;さらに、光の波長が途切れることなく連続して広がっている様子から、光や音だけではなく事象や意見など、様々な物事が連続的に存在する「範囲」という意味にもなった。
&lt;div class="sample_image spectrum"&gt;&lt;/div&gt;&lt;/span&gt;</v>
      </c>
      <c r="Z631" s="13" t="str">
        <f>INDEX($L:$L, MATCH("despite", $B:$B, 0))</f>
        <v>&lt;span class="w"&gt;&lt;b&gt;【100.despite：～にもかかわらず】&lt;/b&gt;&lt;/span&gt;
&lt;span class="ml"&gt;ラテン語に由来する語で、以下の2つの要素から成る。
&lt;span class="spacer"&gt;&lt;/span&gt;de（下に）
specere（見る）
&lt;span class="spacer"&gt;&lt;/span&gt;このまま日本語にすると「下に見る」となる。これは見下すという対象の存在を軽く見る行為。「対象があってもなくても関係ない」から「～にもかかわらず」という意味になる。
&lt;span class="spacer"&gt;&lt;/span&gt;ターゲットの例文 "They went hiking despite the fact a storm was coming" は「嵐が来ている事実を、それが事実であろうとなかろうと関係なくハイキングに行った」ということを伝えている。この日本語訳を「嵐が来ているという事実&lt;strong&gt;にもかかわらず&lt;/strong&gt;」と表現しているだけ。&lt;/span&gt;</v>
      </c>
      <c r="AU631" s="15"/>
      <c r="AV631" s="1" t="s">
        <v>1502</v>
      </c>
      <c r="BG631" s="7" t="s">
        <v>1503</v>
      </c>
      <c r="BH631" s="1" t="s">
        <v>1947</v>
      </c>
      <c r="BI631" s="2" t="s">
        <v>3934</v>
      </c>
      <c r="BJ631" s="1" t="s">
        <v>1959</v>
      </c>
      <c r="BK631" s="2" t="s">
        <v>3935</v>
      </c>
      <c r="BL631" s="1" t="s">
        <v>1875</v>
      </c>
      <c r="BM631" s="2" t="s">
        <v>3936</v>
      </c>
    </row>
    <row r="632" spans="1:73" ht="180" x14ac:dyDescent="0.45">
      <c r="A632" s="5">
        <v>631</v>
      </c>
      <c r="B632" s="8" t="s">
        <v>420</v>
      </c>
      <c r="C632" s="6" t="s">
        <v>1816</v>
      </c>
      <c r="D632" s="7" t="s">
        <v>9752</v>
      </c>
      <c r="E632" s="1" t="s">
        <v>1797</v>
      </c>
      <c r="F632" s="1" t="s">
        <v>1798</v>
      </c>
      <c r="G632" s="1"/>
      <c r="J632" s="1" t="s">
        <v>9753</v>
      </c>
      <c r="K632" s="2"/>
      <c r="L632" s="3" t="s">
        <v>8596</v>
      </c>
      <c r="P632" s="7" t="s">
        <v>1241</v>
      </c>
      <c r="AU632" s="15"/>
      <c r="AV632" s="1" t="s">
        <v>1502</v>
      </c>
      <c r="BG632" s="7" t="s">
        <v>1503</v>
      </c>
      <c r="BH632" s="1" t="s">
        <v>1875</v>
      </c>
      <c r="BI632" s="2" t="s">
        <v>3937</v>
      </c>
      <c r="BJ632" s="1" t="s">
        <v>1877</v>
      </c>
      <c r="BK632" s="2" t="s">
        <v>3938</v>
      </c>
    </row>
    <row r="633" spans="1:73" ht="108" x14ac:dyDescent="0.45">
      <c r="A633" s="5">
        <v>632</v>
      </c>
      <c r="B633" s="8" t="s">
        <v>3939</v>
      </c>
      <c r="C633" s="6" t="s">
        <v>1816</v>
      </c>
      <c r="D633" s="7" t="s">
        <v>9752</v>
      </c>
      <c r="E633" s="1" t="s">
        <v>8969</v>
      </c>
      <c r="F633" s="1" t="s">
        <v>1447</v>
      </c>
      <c r="G633" s="1"/>
      <c r="J633" s="1" t="s">
        <v>9753</v>
      </c>
      <c r="K633" s="2"/>
      <c r="L633" s="2" t="s">
        <v>8531</v>
      </c>
      <c r="P633" s="7" t="s">
        <v>1241</v>
      </c>
      <c r="AV633" s="1" t="s">
        <v>1502</v>
      </c>
      <c r="BG633" s="7" t="s">
        <v>1503</v>
      </c>
      <c r="BH633" s="1" t="s">
        <v>1872</v>
      </c>
      <c r="BI633" s="1" t="s">
        <v>3940</v>
      </c>
      <c r="BJ633" s="1" t="s">
        <v>1877</v>
      </c>
      <c r="BK633" s="2" t="s">
        <v>3941</v>
      </c>
    </row>
    <row r="634" spans="1:73" ht="126" x14ac:dyDescent="0.45">
      <c r="A634" s="5">
        <v>633</v>
      </c>
      <c r="B634" s="8" t="s">
        <v>3942</v>
      </c>
      <c r="C634" s="6" t="s">
        <v>1816</v>
      </c>
      <c r="D634" s="7" t="s">
        <v>9752</v>
      </c>
      <c r="E634" s="1" t="s">
        <v>29</v>
      </c>
      <c r="F634" s="1" t="s">
        <v>1726</v>
      </c>
      <c r="G634" s="1"/>
      <c r="J634" s="1" t="s">
        <v>9753</v>
      </c>
      <c r="K634" s="2" t="s">
        <v>8532</v>
      </c>
      <c r="L634" s="2" t="s">
        <v>8533</v>
      </c>
      <c r="M634" s="1" t="s">
        <v>12161</v>
      </c>
      <c r="P634" s="7" t="s">
        <v>1241</v>
      </c>
      <c r="Q634" s="13" t="str">
        <f>INDEX($L:$L, MATCH("export", $B:$B, 0))</f>
        <v>&lt;span class="w"&gt;&lt;b&gt;【634.export：〜を輸出する】&lt;/b&gt;&lt;/span&gt;
&lt;span class="ml"&gt;ラテン語に由来する語で、以下の2つの要素から成る。
&lt;span class="spacer"&gt;&lt;/span&gt;ex（外に）
portare（運ぶ）
&lt;span class="spacer"&gt;&lt;/span&gt;このまま日本語にすると「外に運ぶ」となる。他国や他地域へ運び出すイメージから「輸出する」という意味になる。&lt;/span&gt;</v>
      </c>
      <c r="R634" s="13" t="str">
        <f>INDEX($L:$L, MATCH("transport", $B:$B, 0))</f>
        <v>&lt;span class="w"&gt;&lt;b&gt;【528.transport：〜を輸送する, 〜を運ぶ】&lt;/b&gt;&lt;/span&gt;
&lt;span class="ml"&gt;ラテン語に由来する語で、以下の2つの要素から成る。
&lt;span class="spacer"&gt;&lt;/span&gt;trans（越えて）
portare（運ぶ）
&lt;span class="spacer"&gt;&lt;/span&gt;このまま日本語にすると「越えて運ぶ」となる。ある場所から別の場所へ運ぶことから「輸送する, 運ぶ」という意味になる。&lt;/span&gt;</v>
      </c>
      <c r="S634" s="13" t="str">
        <f>INDEX($L:$L, MATCH("opportunity", $B:$B, 0))</f>
        <v>&lt;span class="w"&gt;&lt;b&gt;【141.opportunity：機会, チャンス】&lt;/b&gt;&lt;/span&gt;
&lt;span class="ml"&gt;ラテン語に由来する語で、以下の2つの要素から成る。
&lt;span class="spacer"&gt;&lt;/span&gt;ob（〜に向かって）
portus（港）
&lt;span class="spacer"&gt;&lt;/span&gt;ラテン語ではob+portus+venire（来る）からなるフレーズが存在し、「港に向かって風が来ている」を表現した。風が吹いて港に入るのに適したチャンスということから「機会, チャンス」という意味になる。
&lt;div class="sample_image opportunity"&gt;&lt;/div&gt;&lt;/span&gt;</v>
      </c>
      <c r="AU634" s="15"/>
      <c r="AV634" s="1" t="s">
        <v>1502</v>
      </c>
      <c r="BG634" s="7" t="s">
        <v>1503</v>
      </c>
      <c r="BH634" s="1" t="s">
        <v>1947</v>
      </c>
      <c r="BI634" s="2" t="s">
        <v>3943</v>
      </c>
      <c r="BJ634" s="1" t="s">
        <v>1875</v>
      </c>
      <c r="BK634" s="2" t="s">
        <v>3944</v>
      </c>
      <c r="BL634" s="1" t="s">
        <v>1877</v>
      </c>
      <c r="BM634" s="2" t="s">
        <v>3945</v>
      </c>
    </row>
    <row r="635" spans="1:73" ht="108" x14ac:dyDescent="0.45">
      <c r="A635" s="5">
        <v>634</v>
      </c>
      <c r="B635" s="8" t="s">
        <v>3946</v>
      </c>
      <c r="C635" s="6" t="s">
        <v>1816</v>
      </c>
      <c r="D635" s="7" t="s">
        <v>9752</v>
      </c>
      <c r="E635" s="1" t="s">
        <v>1413</v>
      </c>
      <c r="F635" s="1" t="s">
        <v>1726</v>
      </c>
      <c r="G635" s="1"/>
      <c r="J635" s="1" t="s">
        <v>9753</v>
      </c>
      <c r="K635" s="2" t="s">
        <v>8534</v>
      </c>
      <c r="L635" s="2" t="s">
        <v>8535</v>
      </c>
      <c r="M635" s="1" t="s">
        <v>12161</v>
      </c>
      <c r="P635" s="7" t="s">
        <v>1241</v>
      </c>
      <c r="Q635" s="13" t="str">
        <f>INDEX($L:$L, MATCH("import", $B:$B, 0))</f>
        <v>&lt;span class="w"&gt;&lt;b&gt;【633.import：〜を輸入する, 〜を取り込む】&lt;/b&gt;&lt;/span&gt;
&lt;span class="ml"&gt;ラテン語に由来する語で、以下の2つの要素から成る。
&lt;span class="spacer"&gt;&lt;/span&gt;in（中に）
portare（運ぶ）
&lt;span class="spacer"&gt;&lt;/span&gt;このまま日本語にすると「中に運ぶ」となる。他国や他地域から運び込むイメージから「輸入する」や、外から「取り込む」という意味になる。&lt;/span&gt;</v>
      </c>
      <c r="R635" s="13" t="str">
        <f>INDEX($L:$L, MATCH("transport", $B:$B, 0))</f>
        <v>&lt;span class="w"&gt;&lt;b&gt;【528.transport：〜を輸送する, 〜を運ぶ】&lt;/b&gt;&lt;/span&gt;
&lt;span class="ml"&gt;ラテン語に由来する語で、以下の2つの要素から成る。
&lt;span class="spacer"&gt;&lt;/span&gt;trans（越えて）
portare（運ぶ）
&lt;span class="spacer"&gt;&lt;/span&gt;このまま日本語にすると「越えて運ぶ」となる。ある場所から別の場所へ運ぶことから「輸送する, 運ぶ」という意味になる。&lt;/span&gt;</v>
      </c>
      <c r="S635" s="13" t="str">
        <f>INDEX($L:$L, MATCH("opportunity", $B:$B, 0))</f>
        <v>&lt;span class="w"&gt;&lt;b&gt;【141.opportunity：機会, チャンス】&lt;/b&gt;&lt;/span&gt;
&lt;span class="ml"&gt;ラテン語に由来する語で、以下の2つの要素から成る。
&lt;span class="spacer"&gt;&lt;/span&gt;ob（〜に向かって）
portus（港）
&lt;span class="spacer"&gt;&lt;/span&gt;ラテン語ではob+portus+venire（来る）からなるフレーズが存在し、「港に向かって風が来ている」を表現した。風が吹いて港に入るのに適したチャンスということから「機会, チャンス」という意味になる。
&lt;div class="sample_image opportunity"&gt;&lt;/div&gt;&lt;/span&gt;</v>
      </c>
      <c r="AU635" s="15"/>
      <c r="AV635" s="1" t="s">
        <v>1502</v>
      </c>
      <c r="BG635" s="7" t="s">
        <v>1503</v>
      </c>
      <c r="BH635" s="1" t="s">
        <v>1947</v>
      </c>
      <c r="BI635" s="2" t="s">
        <v>3947</v>
      </c>
      <c r="BJ635" s="1" t="s">
        <v>1877</v>
      </c>
      <c r="BK635" s="2" t="s">
        <v>3948</v>
      </c>
    </row>
    <row r="636" spans="1:73" ht="126" x14ac:dyDescent="0.45">
      <c r="A636" s="5">
        <v>635</v>
      </c>
      <c r="B636" s="8" t="s">
        <v>421</v>
      </c>
      <c r="C636" s="6" t="s">
        <v>1816</v>
      </c>
      <c r="D636" s="7" t="s">
        <v>9752</v>
      </c>
      <c r="E636" s="1" t="s">
        <v>27</v>
      </c>
      <c r="F636" s="1" t="s">
        <v>1923</v>
      </c>
      <c r="G636" s="1" t="s">
        <v>1818</v>
      </c>
      <c r="J636" s="1" t="s">
        <v>9753</v>
      </c>
      <c r="K636" s="2"/>
      <c r="L636" s="3" t="s">
        <v>8597</v>
      </c>
      <c r="P636" s="7" t="s">
        <v>1241</v>
      </c>
      <c r="AU636" s="15"/>
      <c r="AV636" s="1" t="s">
        <v>1502</v>
      </c>
      <c r="BG636" s="7" t="s">
        <v>1503</v>
      </c>
      <c r="BH636" s="1" t="s">
        <v>1947</v>
      </c>
      <c r="BI636" s="2" t="s">
        <v>3949</v>
      </c>
      <c r="BJ636" s="1" t="s">
        <v>1877</v>
      </c>
      <c r="BK636" s="2" t="s">
        <v>3950</v>
      </c>
    </row>
    <row r="637" spans="1:73" ht="126" x14ac:dyDescent="0.45">
      <c r="A637" s="5">
        <v>636</v>
      </c>
      <c r="B637" s="8" t="s">
        <v>422</v>
      </c>
      <c r="C637" s="6" t="s">
        <v>1816</v>
      </c>
      <c r="D637" s="7" t="s">
        <v>9752</v>
      </c>
      <c r="E637" s="1" t="s">
        <v>1799</v>
      </c>
      <c r="F637" s="1" t="s">
        <v>1800</v>
      </c>
      <c r="G637" s="1"/>
      <c r="J637" s="1" t="s">
        <v>9753</v>
      </c>
      <c r="K637" s="2" t="s">
        <v>1801</v>
      </c>
      <c r="L637" s="9" t="s">
        <v>8536</v>
      </c>
      <c r="M637" s="1" t="s">
        <v>12156</v>
      </c>
      <c r="P637" s="7" t="s">
        <v>1241</v>
      </c>
      <c r="Q637" s="13" t="str">
        <f>INDEX($L:$L, MATCH("mention", $B:$B, 0))</f>
        <v>&lt;span class="w"&gt;&lt;b&gt;【128.mention：～に言及する, ～と言う】&lt;/b&gt;&lt;/span&gt;
&lt;span class="ml"&gt;ラテン語mens（心, 知性）に関連するminisci（思い出す, 考える）に由来する。
&lt;span class="spacer"&gt;&lt;/span&gt;何かを思い出したり考えたりして、それを言葉にすることから「言及する, 言う」という意味になる。&lt;/span&gt;</v>
      </c>
      <c r="R637" s="13" t="str">
        <f>INDEX($L:$L, MATCH("mental", $B:$B, 0))</f>
        <v>&lt;span class="w"&gt;&lt;b&gt;【183.mental：精神の, 頭の中で行う】&lt;/b&gt;&lt;/span&gt;
&lt;span class="ml"&gt;ラテン語に由来する語で、以下の2つの要素から成る。
&lt;span class="spacer"&gt;&lt;/span&gt;mens（心）
alis（形容詞化）
&lt;span class="spacer"&gt;&lt;/span&gt;ラテン語から意味の変化はほとんどなく「心の, 精神の, 頭の中で行う」という意味になる。&lt;/span&gt;</v>
      </c>
      <c r="S637" s="13" t="str">
        <f>INDEX($L:$L, MATCH("dementia", $B:$B, 0))</f>
        <v>&lt;span class="w"&gt;&lt;b&gt;【1064.dementia：認知症】&lt;/b&gt;&lt;/span&gt;
&lt;span class="ml"&gt;ラテン語に由来する語で、以下の3つの要素から成る。
&lt;span class="spacer"&gt;&lt;/span&gt;de（〜から離れて）
mens（心）
ia（名詞化）
&lt;span class="spacer"&gt;&lt;/span&gt;この語の核は「心があるべきところから離れている」。もともとは正気を失っている様子を表したが、そこから医学において、精神機能が極めて低い状態や精神的な能力が欠如した状態である「認知症」という意味になった。
&lt;span class="spacer"&gt;&lt;/span&gt;1800年代の人々は、「認知症」のことを心や精神が失われた状態、精神の病だと考えていたことがわかる。
&lt;div class="sample_image dementia"&gt;&lt;/div&gt;&lt;/span&gt;</v>
      </c>
      <c r="T637" s="13" t="str">
        <f>INDEX($L:$L, MATCH("comment", $B:$B, 0))</f>
        <v>&lt;span class="w"&gt;&lt;b&gt;【441.comment：意見, コメント】&lt;/b&gt;&lt;/span&gt;
&lt;span class="ml"&gt;ラテン語ラテン語に由来する語で、以下の2つの要素から成る。
&lt;span class="spacer"&gt;&lt;/span&gt;com（強意）
mēns（心）に関連する動詞meminisse（思い出す）
&lt;span class="spacer"&gt;&lt;/span&gt;この語の核は、心（mind）で考えること。そこから考え出されたもの＝「意見, コメント」という意味になる。&lt;/span&gt;</v>
      </c>
      <c r="U637" s="13" t="str">
        <f>INDEX($L:$L, MATCH("remind", $B:$B, 0))</f>
        <v>&lt;span class="w"&gt;&lt;b&gt;【416.remind：〜に思い出させる】&lt;/b&gt;&lt;/span&gt;
&lt;span class="ml"&gt;近代英語にさかのぼり、以下の2つの要素から成る。
&lt;span class="spacer"&gt;&lt;/span&gt;re（再び）
mind（心にとめる）
&lt;span class="spacer"&gt;&lt;/span&gt;このまま日本語にすると「再び心にとめる」となる。誰かに対してもう一度心にとめさせることから、「思い出させる」という意味になる。&lt;/span&gt;</v>
      </c>
      <c r="V637" s="13" t="str">
        <f>INDEX($L:$L, MATCH("monument", $B:$B, 0))</f>
        <v>&lt;span class="w"&gt;&lt;b&gt;【1277.monument：記念碑, 遺跡, 金字塔】&lt;/b&gt;&lt;/span&gt;
&lt;span class="ml"&gt;ラテン語に由来する語で、以下の2つの要素から成る。
&lt;span class="spacer"&gt;&lt;/span&gt;monere（思い出させる）
mentum（名詞化）
&lt;span class="spacer"&gt;&lt;/span&gt;この語の核は「人や出来事を思い出させるもの」。そこから、亡くなった人を思い出させるための墓や霊廟、または特定の人物や出来事を記念して建てられた像といった「記念碑, 遺跡」という意味になった。
&lt;span class="spacer"&gt;&lt;/span&gt;また物理的な建造物だけではなく比喩的に、後世に長く語り継がれるべき偉大な業績や不朽の名作を表す「金字塔」という意味でも使われる。
&lt;div class="sample_image monument"&gt;&lt;/div&gt;&lt;/span&gt;</v>
      </c>
      <c r="AU637" s="15"/>
      <c r="AV637" s="1" t="s">
        <v>1502</v>
      </c>
      <c r="BG637" s="7" t="s">
        <v>1503</v>
      </c>
      <c r="BH637" s="1" t="s">
        <v>1947</v>
      </c>
      <c r="BI637" s="2" t="s">
        <v>3951</v>
      </c>
      <c r="BJ637" s="1" t="s">
        <v>1877</v>
      </c>
      <c r="BK637" s="2" t="s">
        <v>3952</v>
      </c>
      <c r="BL637" s="1" t="s">
        <v>3496</v>
      </c>
      <c r="BM637" s="2" t="s">
        <v>8537</v>
      </c>
    </row>
    <row r="638" spans="1:73" ht="216" x14ac:dyDescent="0.45">
      <c r="A638" s="5">
        <v>637</v>
      </c>
      <c r="B638" s="8" t="s">
        <v>423</v>
      </c>
      <c r="C638" s="6" t="s">
        <v>1816</v>
      </c>
      <c r="D638" s="7" t="s">
        <v>9752</v>
      </c>
      <c r="E638" s="6" t="s">
        <v>8970</v>
      </c>
      <c r="F638" s="1" t="s">
        <v>8872</v>
      </c>
      <c r="G638" s="1" t="s">
        <v>1818</v>
      </c>
      <c r="J638" s="1" t="s">
        <v>9753</v>
      </c>
      <c r="K638" s="2" t="s">
        <v>8538</v>
      </c>
      <c r="L638" s="3" t="s">
        <v>8598</v>
      </c>
      <c r="P638" s="7" t="s">
        <v>1241</v>
      </c>
      <c r="AU638" s="15"/>
      <c r="AV638" s="1" t="s">
        <v>1502</v>
      </c>
      <c r="BG638" s="7" t="s">
        <v>1503</v>
      </c>
      <c r="BH638" s="1" t="s">
        <v>1947</v>
      </c>
      <c r="BI638" s="2" t="s">
        <v>3953</v>
      </c>
      <c r="BJ638" s="1" t="s">
        <v>1875</v>
      </c>
      <c r="BK638" s="2" t="s">
        <v>3954</v>
      </c>
      <c r="BL638" s="1" t="s">
        <v>1877</v>
      </c>
      <c r="BM638" s="2" t="s">
        <v>3955</v>
      </c>
    </row>
    <row r="639" spans="1:73" ht="144" x14ac:dyDescent="0.45">
      <c r="A639" s="5">
        <v>638</v>
      </c>
      <c r="B639" s="8" t="s">
        <v>3956</v>
      </c>
      <c r="C639" s="6" t="s">
        <v>1816</v>
      </c>
      <c r="D639" s="7" t="s">
        <v>9752</v>
      </c>
      <c r="E639" s="1" t="s">
        <v>1454</v>
      </c>
      <c r="F639" s="1" t="s">
        <v>8971</v>
      </c>
      <c r="G639" s="1"/>
      <c r="J639" s="1" t="s">
        <v>9753</v>
      </c>
      <c r="K639" s="2" t="s">
        <v>8539</v>
      </c>
      <c r="L639" s="3" t="s">
        <v>8599</v>
      </c>
      <c r="P639" s="7" t="s">
        <v>1241</v>
      </c>
      <c r="Q639" s="13" t="str">
        <f>INDEX($L:$L, MATCH("limit", $B:$B, 0))</f>
        <v>&lt;span class="w"&gt;&lt;b&gt;【23.limit：～を制限する】&lt;/b&gt;&lt;/span&gt;
&lt;span class="ml"&gt;ラテン語limitem（境界, 限界）に由来する。
&lt;span class="spacer"&gt;&lt;/span&gt;「境界, 限界」から、限界を設定する＝「制限する」という意味になる。&lt;/span&gt;</v>
      </c>
      <c r="AU639" s="15"/>
      <c r="AV639" s="1" t="s">
        <v>1502</v>
      </c>
      <c r="BG639" s="7" t="s">
        <v>1503</v>
      </c>
      <c r="BH639" s="1" t="s">
        <v>1947</v>
      </c>
      <c r="BI639" s="2" t="s">
        <v>8540</v>
      </c>
      <c r="BJ639" s="1" t="s">
        <v>1877</v>
      </c>
      <c r="BK639" s="2" t="s">
        <v>3957</v>
      </c>
    </row>
    <row r="640" spans="1:73" ht="90" x14ac:dyDescent="0.45">
      <c r="A640" s="5">
        <v>639</v>
      </c>
      <c r="B640" s="8" t="s">
        <v>424</v>
      </c>
      <c r="C640" s="6" t="s">
        <v>1816</v>
      </c>
      <c r="D640" s="7" t="s">
        <v>9752</v>
      </c>
      <c r="E640" s="6" t="s">
        <v>424</v>
      </c>
      <c r="F640" s="1"/>
      <c r="G640" s="1"/>
      <c r="J640" s="1" t="s">
        <v>9753</v>
      </c>
      <c r="K640" s="2" t="s">
        <v>8541</v>
      </c>
      <c r="L640" s="9" t="s">
        <v>8542</v>
      </c>
      <c r="P640" s="7" t="s">
        <v>1241</v>
      </c>
      <c r="AU640" s="15"/>
      <c r="AV640" s="1" t="s">
        <v>1502</v>
      </c>
      <c r="BG640" s="7" t="s">
        <v>1503</v>
      </c>
      <c r="BH640" s="1" t="s">
        <v>1959</v>
      </c>
      <c r="BI640" s="2" t="s">
        <v>3958</v>
      </c>
      <c r="BJ640" s="1" t="s">
        <v>1875</v>
      </c>
      <c r="BK640" s="2" t="s">
        <v>3959</v>
      </c>
    </row>
    <row r="641" spans="1:75" ht="108" x14ac:dyDescent="0.45">
      <c r="A641" s="5">
        <v>640</v>
      </c>
      <c r="B641" s="8" t="s">
        <v>425</v>
      </c>
      <c r="C641" s="6" t="s">
        <v>1816</v>
      </c>
      <c r="D641" s="7" t="s">
        <v>9752</v>
      </c>
      <c r="E641" s="6" t="s">
        <v>425</v>
      </c>
      <c r="F641" s="1"/>
      <c r="G641" s="1"/>
      <c r="J641" s="1" t="s">
        <v>9753</v>
      </c>
      <c r="K641" s="2" t="s">
        <v>8543</v>
      </c>
      <c r="L641" s="3" t="s">
        <v>8600</v>
      </c>
      <c r="P641" s="7" t="s">
        <v>1241</v>
      </c>
      <c r="AU641" s="15"/>
      <c r="AV641" s="1" t="s">
        <v>1502</v>
      </c>
      <c r="BG641" s="7" t="s">
        <v>1503</v>
      </c>
      <c r="BH641" s="1" t="s">
        <v>1947</v>
      </c>
      <c r="BI641" s="2" t="s">
        <v>3960</v>
      </c>
      <c r="BJ641" s="1" t="s">
        <v>2036</v>
      </c>
      <c r="BK641" s="2" t="s">
        <v>3961</v>
      </c>
      <c r="BL641" s="1" t="s">
        <v>1959</v>
      </c>
      <c r="BM641" s="1" t="s">
        <v>3962</v>
      </c>
      <c r="BN641" s="1" t="s">
        <v>3250</v>
      </c>
      <c r="BO641" s="1" t="s">
        <v>3963</v>
      </c>
      <c r="BP641" s="1" t="s">
        <v>1875</v>
      </c>
      <c r="BQ641" s="2" t="s">
        <v>3964</v>
      </c>
      <c r="BR641" s="1" t="s">
        <v>1877</v>
      </c>
      <c r="BS641" s="2" t="s">
        <v>3965</v>
      </c>
    </row>
    <row r="642" spans="1:75" ht="90" x14ac:dyDescent="0.45">
      <c r="A642" s="5">
        <v>641</v>
      </c>
      <c r="B642" s="8" t="s">
        <v>3966</v>
      </c>
      <c r="C642" s="6" t="s">
        <v>6850</v>
      </c>
      <c r="D642" s="7" t="s">
        <v>9752</v>
      </c>
      <c r="E642" s="1" t="s">
        <v>8972</v>
      </c>
      <c r="F642" s="1" t="s">
        <v>1582</v>
      </c>
      <c r="G642" s="1"/>
      <c r="J642" s="1" t="s">
        <v>9753</v>
      </c>
      <c r="K642" s="2" t="s">
        <v>8544</v>
      </c>
      <c r="L642" s="3" t="s">
        <v>8601</v>
      </c>
      <c r="M642" s="1" t="s">
        <v>12183</v>
      </c>
      <c r="P642" s="7" t="s">
        <v>1241</v>
      </c>
      <c r="Q642" s="13" t="str">
        <f>INDEX($L:$L, MATCH("consequence", $B:$B, 0))</f>
        <v>&lt;span class="w"&gt;&lt;b&gt;【272.consequence：（通例〜sで）結果】&lt;/b&gt;&lt;/span&gt;
&lt;span class="ml"&gt;ラテン語に由来する語で、以下の2つの要素から成る。
&lt;span class="spacer"&gt;&lt;/span&gt;com（共に）
sequi（従う, 後に続く）
&lt;span class="spacer"&gt;&lt;/span&gt;このまま日本語にすると「共に従う」となる。何かの後に従って続くイメージから、
→ある行動や過程のあとに続く「結果」という意味になる。
&lt;div class="sample_image consequence"&gt;&lt;/div&gt;&lt;/span&gt;</v>
      </c>
      <c r="R642" s="13" t="str">
        <f>INDEX($L:$L, MATCH("subsequent", $B:$B, 0))</f>
        <v>&lt;span class="w"&gt;&lt;b&gt;【1089.subsequent：その後の】&lt;/b&gt;&lt;/span&gt;
&lt;span class="ml"&gt;ラテン語に由来する語で、以下の2つの要素から成る。
&lt;span class="spacer"&gt;&lt;/span&gt;sub（下に, 後に）
sequi（従う）
&lt;span class="spacer"&gt;&lt;/span&gt;この語の核は「何かの後に従って続く」。subはサブメンバーのサブで、後に控えているイメージ。sequent部分はsequence（連続）の形容詞として覚える。何かの後に連続しているイメージから「その後の」という意味になる。&lt;/span&gt;</v>
      </c>
      <c r="S642" s="13" t="str">
        <f>INDEX($L:$L, MATCH("pursue", $B:$B, 0))</f>
        <v>&lt;span class="w"&gt;&lt;b&gt;【604.pursue：追い求める】&lt;/b&gt;&lt;/span&gt;
&lt;span class="ml"&gt;ラテン語に由来する語で、以下の2つの要素から成る。
&lt;span class="spacer"&gt;&lt;/span&gt;pro（前へ）
sequi（従う）
&lt;span class="spacer"&gt;&lt;/span&gt;このまま日本語にすると「前に従う」となる。この核は「前にいるものの後を追って従い続ける」。物理的に何かを追いかけることから、比喩的に目標や目的を「追い求める」という意味になった。
&lt;div class="sample_image pursue"&gt;&lt;/div&gt;&lt;/span&gt;</v>
      </c>
      <c r="T642" s="13" t="str">
        <f>INDEX($L:$L, MATCH("sue", $B:$B, 0))</f>
        <v>&lt;span class="w"&gt;&lt;b&gt;【902.sue：〜を告訴する】&lt;/b&gt;&lt;/span&gt;
&lt;span class="ml"&gt;ラテン語sequi（従う, 後を追う）に由来する。
&lt;span class="spacer"&gt;&lt;/span&gt;相手の後を追うという物理的な追跡から、法廷で相手を追うことへと意味が特化して「告訴する」という意味になった。
&lt;div class="sample_image sue"&gt;&lt;/div&gt;&lt;/span&gt;</v>
      </c>
      <c r="AU642" s="15"/>
      <c r="AV642" s="1" t="s">
        <v>1502</v>
      </c>
      <c r="BG642" s="7" t="s">
        <v>1503</v>
      </c>
      <c r="BH642" s="1" t="s">
        <v>1947</v>
      </c>
      <c r="BI642" s="2" t="s">
        <v>3978</v>
      </c>
      <c r="BJ642" s="1" t="s">
        <v>1967</v>
      </c>
      <c r="BK642" s="1" t="s">
        <v>3979</v>
      </c>
      <c r="BL642" s="1" t="s">
        <v>1959</v>
      </c>
      <c r="BM642" s="1" t="s">
        <v>426</v>
      </c>
      <c r="BN642" s="1" t="s">
        <v>1875</v>
      </c>
      <c r="BO642" s="2" t="s">
        <v>3980</v>
      </c>
      <c r="BP642" s="1" t="s">
        <v>1877</v>
      </c>
      <c r="BQ642" s="2" t="s">
        <v>3981</v>
      </c>
    </row>
    <row r="643" spans="1:75" ht="72" x14ac:dyDescent="0.45">
      <c r="A643" s="5">
        <v>642</v>
      </c>
      <c r="B643" s="8" t="s">
        <v>427</v>
      </c>
      <c r="C643" s="6" t="s">
        <v>6850</v>
      </c>
      <c r="D643" s="7" t="s">
        <v>9752</v>
      </c>
      <c r="E643" s="6" t="s">
        <v>427</v>
      </c>
      <c r="F643" s="1"/>
      <c r="G643" s="1"/>
      <c r="J643" s="1" t="s">
        <v>9753</v>
      </c>
      <c r="K643" s="2" t="s">
        <v>8545</v>
      </c>
      <c r="L643" s="9" t="s">
        <v>8546</v>
      </c>
      <c r="P643" s="7" t="s">
        <v>1241</v>
      </c>
      <c r="AU643" s="15"/>
      <c r="AV643" s="1" t="s">
        <v>1502</v>
      </c>
      <c r="BG643" s="7" t="s">
        <v>1503</v>
      </c>
      <c r="BH643" s="1" t="s">
        <v>2458</v>
      </c>
      <c r="BI643" s="2" t="s">
        <v>3982</v>
      </c>
      <c r="BJ643" s="1" t="s">
        <v>1877</v>
      </c>
      <c r="BK643" s="1" t="s">
        <v>3983</v>
      </c>
      <c r="BL643" s="1" t="s">
        <v>1875</v>
      </c>
      <c r="BM643" s="2" t="s">
        <v>3984</v>
      </c>
      <c r="BN643" s="1" t="s">
        <v>1877</v>
      </c>
      <c r="BO643" s="2" t="s">
        <v>3985</v>
      </c>
    </row>
    <row r="644" spans="1:75" ht="252" x14ac:dyDescent="0.45">
      <c r="A644" s="5">
        <v>643</v>
      </c>
      <c r="B644" s="8" t="s">
        <v>428</v>
      </c>
      <c r="C644" s="6" t="s">
        <v>6850</v>
      </c>
      <c r="D644" s="7" t="s">
        <v>9752</v>
      </c>
      <c r="E644" s="1" t="s">
        <v>1498</v>
      </c>
      <c r="F644" s="1" t="s">
        <v>1924</v>
      </c>
      <c r="G644" s="1" t="s">
        <v>1925</v>
      </c>
      <c r="J644" s="1" t="s">
        <v>9753</v>
      </c>
      <c r="K644" s="2" t="s">
        <v>8547</v>
      </c>
      <c r="L644" s="9" t="s">
        <v>8602</v>
      </c>
      <c r="P644" s="7" t="s">
        <v>1241</v>
      </c>
      <c r="AU644" s="15"/>
      <c r="AV644" s="1" t="s">
        <v>1502</v>
      </c>
      <c r="BG644" s="7" t="s">
        <v>1503</v>
      </c>
      <c r="BH644" s="1" t="s">
        <v>2458</v>
      </c>
      <c r="BI644" s="2" t="s">
        <v>3986</v>
      </c>
      <c r="BJ644" s="1" t="s">
        <v>2036</v>
      </c>
      <c r="BK644" s="1" t="s">
        <v>3987</v>
      </c>
      <c r="BL644" s="1" t="s">
        <v>1967</v>
      </c>
      <c r="BM644" s="1" t="s">
        <v>3988</v>
      </c>
      <c r="BN644" s="1" t="s">
        <v>1875</v>
      </c>
      <c r="BO644" s="2" t="s">
        <v>3989</v>
      </c>
      <c r="BP644" s="1" t="s">
        <v>1877</v>
      </c>
      <c r="BQ644" s="2" t="s">
        <v>3990</v>
      </c>
    </row>
    <row r="645" spans="1:75" ht="234" x14ac:dyDescent="0.45">
      <c r="A645" s="5">
        <v>644</v>
      </c>
      <c r="B645" s="8" t="s">
        <v>3967</v>
      </c>
      <c r="C645" s="6" t="s">
        <v>6850</v>
      </c>
      <c r="D645" s="7" t="s">
        <v>9752</v>
      </c>
      <c r="E645" s="1" t="s">
        <v>1254</v>
      </c>
      <c r="F645" s="1" t="s">
        <v>8973</v>
      </c>
      <c r="G645" s="1" t="s">
        <v>1767</v>
      </c>
      <c r="J645" s="1" t="s">
        <v>9753</v>
      </c>
      <c r="K645" s="2"/>
      <c r="L645" s="2" t="s">
        <v>8548</v>
      </c>
      <c r="P645" s="7" t="s">
        <v>1241</v>
      </c>
      <c r="Q645" s="13" t="str">
        <f>INDEX($L:$L, MATCH("occasion", $B:$B, 0))</f>
        <v>&lt;span class="w"&gt;&lt;b&gt;【458.occasion：時, 場合, 機会】&lt;/b&gt;&lt;/span&gt;
&lt;span class="ml"&gt;ラテン語に由来する語で、以下の3つの要素から成る。
&lt;span class="spacer"&gt;&lt;/span&gt;ob（〜に向かって）
cadere（落ちる）
io（名詞化）
&lt;span class="spacer"&gt;&lt;/span&gt;このまま日本語にすると「何かに向かって落ちること」となる。何かが目の前に向かって落ちてくるように、ある出来事やタイミングが転がりこんでくるイメージ。そこから、ある出来事が起こる「時」という意味になる。
&lt;span class="spacer"&gt;&lt;/span&gt;「場合, 機会」という訳は、文脈に応じて「時」の代わりにするものとして覚えておけばよい。一番重要なのは、何かが起こる「時」という意味。
&lt;span class="spacer"&gt;&lt;/span&gt;ギリシャ語やラテン語では、自分の意思とは関係なく降りかかる出来事を「落ちてくる」という感覚で表現することがある。たとえば、incident（出来事）, case（事例）, symptom（症状）といったものが挙げられる。おそらく神様が天から落とすイメージ。
&lt;span class="spacer"&gt;&lt;/span&gt;このような出来事が落ちてくるという感覚は、日本語の「チャンスが舞い込む」や「災難が降りかかる」という表現にも見られる。自分の意思ではコントロールできないことは、天から落ちてくるという感覚。
&lt;div class="sample_image occasion"&gt;&lt;/div&gt;&lt;/span&gt;</v>
      </c>
      <c r="R645" s="13" t="str">
        <f>INDEX($L:$L, MATCH("casual", $B:$B, 0))</f>
        <v>&lt;span class="w"&gt;&lt;b&gt;【881.casual：何気ない, 形式ばらない】&lt;/b&gt;&lt;/span&gt;
&lt;span class="ml"&gt;ラテン語に由来する語で、以下の2つの要素から成る。
&lt;span class="spacer"&gt;&lt;/span&gt;cadere（落ちる, 降りかかる）
alis（形容詞化）
&lt;span class="spacer"&gt;&lt;/span&gt;もともとは、出来事が突然降りかかってくることから、自分の意思とは関係のない偶然であることを表した。さらにそこから発展して、意図や事前の準備などを必要としない気楽さを表すようになり、「何気ない, 形式ばらない」という意味になった。&lt;/span&gt;</v>
      </c>
      <c r="S645" s="13" t="str">
        <f>INDEX($L:$L, MATCH("cheat", $B:$B, 0))</f>
        <v>&lt;span class="w"&gt;&lt;b&gt;【1021.cheat：〜をだます, 不正をする】&lt;/b&gt;&lt;/span&gt;
&lt;span class="ml"&gt;ラテン語に由来する語で、以下の2つの要素から成る。
&lt;span class="spacer"&gt;&lt;/span&gt;ex（外に）
cadere（落ちる）
&lt;span class="spacer"&gt;&lt;/span&gt;このまま日本語にすると「外に落ちる」となる。これは、何かが本来の道から外れて転がりこむというイメージ。
&lt;span class="spacer"&gt;&lt;/span&gt;中世の封建社会では、土地や財産を相続する人がいない（＝相続する道が断たれた）場合、その土地や財産を国が没収した（＝国に転がりこんだ）。この没収を担当した役人たちの中には、権力を盾にして不当に財産を没収する者がいたことから、相手を「だます」や「 不正をする」という意味になった。&lt;/span&gt;</v>
      </c>
      <c r="AU645" s="15"/>
      <c r="AV645" s="1" t="s">
        <v>1502</v>
      </c>
      <c r="BG645" s="7" t="s">
        <v>1503</v>
      </c>
      <c r="BH645" s="1" t="s">
        <v>1947</v>
      </c>
      <c r="BI645" s="2" t="s">
        <v>3991</v>
      </c>
      <c r="BJ645" s="1" t="s">
        <v>1959</v>
      </c>
      <c r="BK645" s="2" t="s">
        <v>3992</v>
      </c>
      <c r="BL645" s="1" t="s">
        <v>1875</v>
      </c>
      <c r="BM645" s="2" t="s">
        <v>8549</v>
      </c>
    </row>
    <row r="646" spans="1:75" ht="180" x14ac:dyDescent="0.45">
      <c r="A646" s="5">
        <v>645</v>
      </c>
      <c r="B646" s="8" t="s">
        <v>429</v>
      </c>
      <c r="C646" s="6" t="s">
        <v>6850</v>
      </c>
      <c r="D646" s="7" t="s">
        <v>9752</v>
      </c>
      <c r="E646" s="1" t="s">
        <v>1802</v>
      </c>
      <c r="F646" s="1" t="s">
        <v>1803</v>
      </c>
      <c r="G646" s="1"/>
      <c r="J646" s="1" t="s">
        <v>9753</v>
      </c>
      <c r="K646" s="2" t="s">
        <v>8550</v>
      </c>
      <c r="L646" s="4" t="s">
        <v>8603</v>
      </c>
      <c r="P646" s="7" t="s">
        <v>1241</v>
      </c>
      <c r="Q646" s="13" t="str">
        <f>INDEX($L:$L, MATCH("wisdom", $B:$B, 0))</f>
        <v>&lt;span class="w"&gt;&lt;b&gt;【741.wisdom：知恵, 賢明さ】&lt;/b&gt;&lt;/span&gt;
&lt;span class="ml"&gt;古英語にさかのぼり、以下の2つの要素から成る。
&lt;span class="spacer"&gt;&lt;/span&gt;wis（賢明な：wiseの語源）
dom（名詞化）
&lt;span class="spacer"&gt;&lt;/span&gt;このまま日本語にすると「賢明なこと」となる。そこから「賢明さ」や学習や経験に基づく「知恵」という意味になる。&lt;/span&gt;</v>
      </c>
      <c r="AU646" s="15"/>
      <c r="AV646" s="1" t="s">
        <v>1502</v>
      </c>
      <c r="BG646" s="7" t="s">
        <v>1503</v>
      </c>
      <c r="BH646" s="1" t="s">
        <v>1976</v>
      </c>
      <c r="BI646" s="1" t="s">
        <v>8551</v>
      </c>
      <c r="BJ646" s="1" t="s">
        <v>1872</v>
      </c>
      <c r="BK646" s="2" t="s">
        <v>3993</v>
      </c>
    </row>
    <row r="647" spans="1:75" ht="162" x14ac:dyDescent="0.45">
      <c r="A647" s="5">
        <v>646</v>
      </c>
      <c r="B647" s="8" t="s">
        <v>430</v>
      </c>
      <c r="C647" s="6" t="s">
        <v>6850</v>
      </c>
      <c r="D647" s="7" t="s">
        <v>9752</v>
      </c>
      <c r="E647" s="1" t="s">
        <v>430</v>
      </c>
      <c r="F647" s="1"/>
      <c r="G647" s="1"/>
      <c r="J647" s="1" t="s">
        <v>9753</v>
      </c>
      <c r="K647" s="2" t="s">
        <v>8552</v>
      </c>
      <c r="L647" s="3" t="s">
        <v>10338</v>
      </c>
      <c r="P647" s="7" t="s">
        <v>1241</v>
      </c>
      <c r="AU647" s="15"/>
      <c r="AV647" s="1" t="s">
        <v>1502</v>
      </c>
      <c r="BG647" s="7" t="s">
        <v>1503</v>
      </c>
      <c r="BH647" s="1" t="s">
        <v>1976</v>
      </c>
      <c r="BI647" s="2" t="s">
        <v>3994</v>
      </c>
      <c r="BJ647" s="1" t="s">
        <v>1947</v>
      </c>
      <c r="BK647" s="2" t="s">
        <v>3995</v>
      </c>
      <c r="BL647" s="1" t="s">
        <v>1959</v>
      </c>
      <c r="BM647" s="1" t="s">
        <v>3996</v>
      </c>
      <c r="BN647" s="1" t="s">
        <v>1875</v>
      </c>
      <c r="BO647" s="2" t="s">
        <v>3997</v>
      </c>
    </row>
    <row r="648" spans="1:75" ht="126" x14ac:dyDescent="0.45">
      <c r="A648" s="5">
        <v>647</v>
      </c>
      <c r="B648" s="8" t="s">
        <v>431</v>
      </c>
      <c r="C648" s="6" t="s">
        <v>6850</v>
      </c>
      <c r="D648" s="7" t="s">
        <v>9752</v>
      </c>
      <c r="E648" s="6" t="s">
        <v>1804</v>
      </c>
      <c r="F648" s="1" t="s">
        <v>1447</v>
      </c>
      <c r="G648" s="1"/>
      <c r="J648" s="1" t="s">
        <v>9753</v>
      </c>
      <c r="K648" s="2" t="s">
        <v>8553</v>
      </c>
      <c r="L648" s="9" t="s">
        <v>8554</v>
      </c>
      <c r="P648" s="7" t="s">
        <v>1241</v>
      </c>
      <c r="Q648" s="13" t="str">
        <f>INDEX($L:$L, MATCH("bear", $B:$B, 0))</f>
        <v>&lt;span class="w"&gt;&lt;b&gt;【24.bear：～を耐える, ～を産む, ～を心に抱く】&lt;/b&gt;&lt;/span&gt;
&lt;span class="ml"&gt;古英語beran（運ぶ, 持ってくる, 耐える, 産む）にさかのぼる語。この語の核は「何かを抱えこむ」というイメージ。
&lt;span class="spacer"&gt;&lt;/span&gt;子どもをお腹に抱えこむ
＝「産む」
&lt;span class="spacer"&gt;&lt;/span&gt;負担や辛いことを抱えこむ
＝「耐える」
&lt;span class="spacer"&gt;&lt;/span&gt;考えを頭や心に抱えこむ
＝「心に抱く」という意味になる。&lt;/span&gt;</v>
      </c>
      <c r="AV648" s="1" t="s">
        <v>1502</v>
      </c>
      <c r="BG648" s="7" t="s">
        <v>1503</v>
      </c>
      <c r="BH648" s="1" t="s">
        <v>1976</v>
      </c>
      <c r="BI648" s="1" t="s">
        <v>3998</v>
      </c>
      <c r="BJ648" s="1" t="s">
        <v>3999</v>
      </c>
      <c r="BK648" s="1" t="s">
        <v>4000</v>
      </c>
      <c r="BL648" s="1" t="s">
        <v>1872</v>
      </c>
      <c r="BM648" s="1" t="s">
        <v>4001</v>
      </c>
    </row>
    <row r="649" spans="1:75" ht="126" x14ac:dyDescent="0.45">
      <c r="A649" s="5">
        <v>648</v>
      </c>
      <c r="B649" s="8" t="s">
        <v>432</v>
      </c>
      <c r="C649" s="6" t="s">
        <v>6850</v>
      </c>
      <c r="D649" s="7" t="s">
        <v>9752</v>
      </c>
      <c r="E649" s="1" t="s">
        <v>432</v>
      </c>
      <c r="F649" s="1"/>
      <c r="G649" s="1"/>
      <c r="J649" s="1" t="s">
        <v>9753</v>
      </c>
      <c r="K649" s="2" t="s">
        <v>8555</v>
      </c>
      <c r="L649" s="9" t="s">
        <v>8556</v>
      </c>
      <c r="P649" s="7" t="s">
        <v>1241</v>
      </c>
      <c r="AV649" s="1" t="s">
        <v>1502</v>
      </c>
      <c r="BG649" s="7" t="s">
        <v>1503</v>
      </c>
      <c r="BH649" s="1" t="s">
        <v>1976</v>
      </c>
      <c r="BI649" s="1" t="s">
        <v>4002</v>
      </c>
      <c r="BJ649" s="1" t="s">
        <v>2458</v>
      </c>
      <c r="BK649" s="2" t="s">
        <v>4003</v>
      </c>
      <c r="BL649" s="1" t="s">
        <v>1947</v>
      </c>
      <c r="BM649" s="1" t="s">
        <v>4004</v>
      </c>
      <c r="BN649" s="1" t="s">
        <v>1967</v>
      </c>
      <c r="BO649" s="1" t="s">
        <v>4005</v>
      </c>
      <c r="BP649" s="1" t="s">
        <v>1959</v>
      </c>
      <c r="BQ649" s="2" t="s">
        <v>4006</v>
      </c>
      <c r="BR649" s="1" t="s">
        <v>2114</v>
      </c>
      <c r="BS649" s="1" t="s">
        <v>4007</v>
      </c>
      <c r="BT649" s="1" t="s">
        <v>1875</v>
      </c>
      <c r="BU649" s="2" t="s">
        <v>4008</v>
      </c>
      <c r="BV649" s="1" t="s">
        <v>1877</v>
      </c>
      <c r="BW649" s="2" t="s">
        <v>4009</v>
      </c>
    </row>
    <row r="650" spans="1:75" ht="108" x14ac:dyDescent="0.45">
      <c r="A650" s="5">
        <v>649</v>
      </c>
      <c r="B650" s="8" t="s">
        <v>433</v>
      </c>
      <c r="C650" s="6" t="s">
        <v>6850</v>
      </c>
      <c r="D650" s="7" t="s">
        <v>9752</v>
      </c>
      <c r="E650" s="6" t="s">
        <v>433</v>
      </c>
      <c r="F650" s="1"/>
      <c r="G650" s="1"/>
      <c r="J650" s="1" t="s">
        <v>9753</v>
      </c>
      <c r="K650" s="2"/>
      <c r="L650" s="9" t="s">
        <v>8557</v>
      </c>
      <c r="P650" s="7" t="s">
        <v>1241</v>
      </c>
      <c r="AU650" s="15"/>
      <c r="AV650" s="1" t="s">
        <v>1502</v>
      </c>
      <c r="BG650" s="7" t="s">
        <v>1503</v>
      </c>
      <c r="BH650" s="1" t="s">
        <v>1947</v>
      </c>
      <c r="BI650" s="2" t="s">
        <v>4010</v>
      </c>
      <c r="BJ650" s="1" t="s">
        <v>1959</v>
      </c>
      <c r="BK650" s="1" t="s">
        <v>4011</v>
      </c>
      <c r="BL650" s="1" t="s">
        <v>2114</v>
      </c>
      <c r="BM650" s="1" t="s">
        <v>4012</v>
      </c>
      <c r="BN650" s="1" t="s">
        <v>1875</v>
      </c>
      <c r="BO650" s="2" t="s">
        <v>4013</v>
      </c>
      <c r="BP650" s="1" t="s">
        <v>1877</v>
      </c>
      <c r="BQ650" s="2" t="s">
        <v>4014</v>
      </c>
    </row>
    <row r="651" spans="1:75" ht="234" x14ac:dyDescent="0.45">
      <c r="A651" s="5">
        <v>650</v>
      </c>
      <c r="B651" s="8" t="s">
        <v>434</v>
      </c>
      <c r="C651" s="6" t="s">
        <v>6850</v>
      </c>
      <c r="D651" s="7" t="s">
        <v>9752</v>
      </c>
      <c r="E651" s="1" t="s">
        <v>1621</v>
      </c>
      <c r="F651" s="1" t="s">
        <v>1808</v>
      </c>
      <c r="G651" s="1"/>
      <c r="J651" s="1" t="s">
        <v>9753</v>
      </c>
      <c r="K651" s="2"/>
      <c r="L651" s="4" t="s">
        <v>8558</v>
      </c>
      <c r="P651" s="7" t="s">
        <v>1241</v>
      </c>
      <c r="Q651" s="14" t="str">
        <f>INDEX($L:$L, MATCH("regard", $B:$B, 0))</f>
        <v>&lt;span class="w"&gt;&lt;b&gt;【132.regard：〜を見なす, 注意を払う, 〜を評価する, 敬意を払う】&lt;/b&gt;&lt;/span&gt;
&lt;span class="ml"&gt;古フランス語に由来する語で、以下の2つの要素から成る。
&lt;span class="spacer"&gt;&lt;/span&gt;re（強意）
garder（見る, 注意する）
&lt;span class="spacer"&gt;&lt;/span&gt;このgarderは、ボディガードのguard（監視者）の語源でもある。つまり、regardのgard部分の意味の核は「注意して見る」。
&lt;span class="spacer"&gt;&lt;/span&gt;ここからまず「注意を払う」という意味になる。
&lt;span class="spacer"&gt;&lt;/span&gt;次に、何かに注意を向けるということは、その対象に注意を向ける価値があるということ。そこから「評価する, 敬意を払う」という意味になる。
&lt;span class="spacer"&gt;&lt;/span&gt;最後に、注意というニュアンスが薄まってただ対象を見るとなり、「見なす」という意味になる。&lt;/span&gt;</v>
      </c>
      <c r="R651" s="14" t="str">
        <f>INDEX($L:$L, MATCH("regardless", $B:$B, 0))</f>
        <v>&lt;span class="w"&gt;&lt;b&gt;【497.regardless：（of ~）〜に関係なく, 〜にかかわらず】&lt;/b&gt;&lt;/span&gt;
&lt;span class="ml"&gt;近代英語にさかのぼり、以下の2つの要素から成る。
&lt;span class="spacer"&gt;&lt;/span&gt;regard（関心, 注意）
less（～がない）
&lt;span class="spacer"&gt;&lt;/span&gt;このまま日本語にすると「関心や注意がない」となる。ある事柄に注意や関心を向けず、それを考慮に入れないことから、「〜に関係なく, 〜にもかかわらず」という意味になる。&lt;/span&gt;</v>
      </c>
      <c r="S651" s="14" t="str">
        <f>INDEX($L:$L, MATCH("guard", $B:$B, 0))</f>
        <v>&lt;span class="w"&gt;&lt;b&gt;【761.guard：警備員, 監視】&lt;/b&gt;&lt;/span&gt;
&lt;span class="ml"&gt;印欧祖語*wer-（警戒する）−古フランス語garder（保持する, 保護する）に由来する。
&lt;span class="spacer"&gt;&lt;/span&gt;もともとは注意深く見て警戒するというニュアンスだったが、そこから、見ているだけではなく何かを保護するという能動的な行動のニュアンスが強まった。そして守る行為である「監視」や、守る人である「警備員」などの意味になった。&lt;/span&gt;</v>
      </c>
      <c r="T651" s="13" t="str">
        <f>INDEX($L:$L, MATCH("reward", $B:$B, 0))</f>
        <v>&lt;span class="w"&gt;&lt;b&gt;【258.reward：報酬, 報い】&lt;/b&gt;&lt;/span&gt;
&lt;span class="ml"&gt;古北フランス語に由来する語で、以下の2つの要素から成る。
&lt;span class="spacer"&gt;&lt;/span&gt;re（強意）
warder（見る, 注意を払う）
&lt;span class="spacer"&gt;&lt;/span&gt;このまま日本語にすると「しっかり注意して見る」となる。この語の核は、相手の行動を注意して見て、行動や結果の良し悪しで報酬や罰を与えること。現代では通常、良い意味で使用されて「報酬, 報い」という意味になる。
&lt;div class="sample_image reward"&gt;&lt;/div&gt;
&lt;span class="spacer"&gt;&lt;/span&gt;rewardはregardと同じ語源を持つ。どちらも「注意して見る」ことが核になっている。wとgの違いはフランス語の方言差のようなもの。&lt;/span&gt;</v>
      </c>
      <c r="U651" s="13" t="str">
        <f>INDEX($L:$L, MATCH("aware", $B:$B, 0))</f>
        <v>&lt;span class="w"&gt;&lt;b&gt;【190.aware：気づいて, 知って】&lt;/b&gt;&lt;/span&gt;
&lt;span class="ml"&gt;gewær（用心深い, 警戒している）にさかのぼる語。
&lt;span class="spacer"&gt;&lt;/span&gt;用心や警戒といった注意しているという感覚から、対象に注意を向けて「気づいて, 知って」という意味になった。&lt;/span&gt;</v>
      </c>
      <c r="AU651" s="15"/>
      <c r="AV651" s="1" t="s">
        <v>1502</v>
      </c>
      <c r="BG651" s="7" t="s">
        <v>1503</v>
      </c>
      <c r="BH651" s="1" t="s">
        <v>3250</v>
      </c>
      <c r="BI651" s="2" t="s">
        <v>4015</v>
      </c>
      <c r="BJ651" s="1" t="s">
        <v>2114</v>
      </c>
      <c r="BK651" s="1" t="s">
        <v>4016</v>
      </c>
      <c r="BL651" s="1" t="s">
        <v>1875</v>
      </c>
      <c r="BM651" s="2" t="s">
        <v>4017</v>
      </c>
    </row>
    <row r="652" spans="1:75" ht="144" x14ac:dyDescent="0.45">
      <c r="A652" s="5">
        <v>651</v>
      </c>
      <c r="B652" s="8" t="s">
        <v>3968</v>
      </c>
      <c r="C652" s="6" t="s">
        <v>6850</v>
      </c>
      <c r="D652" s="7" t="s">
        <v>9752</v>
      </c>
      <c r="E652" s="1" t="s">
        <v>4018</v>
      </c>
      <c r="F652" s="1" t="s">
        <v>1695</v>
      </c>
      <c r="G652" s="1" t="s">
        <v>1474</v>
      </c>
      <c r="J652" s="1" t="s">
        <v>9753</v>
      </c>
      <c r="K652" s="2" t="s">
        <v>8559</v>
      </c>
      <c r="L652" s="2" t="s">
        <v>8560</v>
      </c>
      <c r="M652" s="1" t="s">
        <v>12205</v>
      </c>
      <c r="P652" s="7" t="s">
        <v>1241</v>
      </c>
      <c r="Q652" s="13" t="str">
        <f>INDEX($L:$L, MATCH("superior", $B:$B, 0))</f>
        <v>&lt;span class="w"&gt;&lt;b&gt;【493.superior：より優れた】&lt;/b&gt;&lt;/span&gt;
&lt;span class="ml"&gt;ラテン語に由来する語で、以下の3つの要素から成る。
&lt;span class="spacer"&gt;&lt;/span&gt;super（上に, 越えて）
us（形容詞化）
ior（比較級を作る）
&lt;span class="spacer"&gt;&lt;/span&gt;このまま日本語にすると「より上の」となる。物理的な位置関係において、何かよりも上であるということから、能力・品質・地位などが上であることへと発展し、「より優れた」という意味になった。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v>
      </c>
      <c r="R652" s="13" t="str">
        <f>INDEX($L:$L, MATCH("inferior", $B:$B, 0))</f>
        <v>&lt;span class="w"&gt;&lt;b&gt;【1092.inferior：より劣った】&lt;/b&gt;&lt;/span&gt;
&lt;span class="ml"&gt;ラテン語に由来する語で、以下の3つの要素から成る。
&lt;span class="spacer"&gt;&lt;/span&gt;infra（下に）
us（形容詞化）
or（比較級を作る）
&lt;span class="spacer"&gt;&lt;/span&gt;このまま日本語にすると「より下の」となる。物理的に基準よりも下に位置することから比喩的に、質・能力・立場などが「より劣った」という意味になる。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v>
      </c>
      <c r="AU652" s="15"/>
      <c r="AV652" s="1" t="s">
        <v>1502</v>
      </c>
      <c r="BG652" s="7" t="s">
        <v>1503</v>
      </c>
      <c r="BH652" s="1" t="s">
        <v>4019</v>
      </c>
      <c r="BI652" s="2" t="s">
        <v>4020</v>
      </c>
      <c r="BJ652" s="1" t="s">
        <v>1947</v>
      </c>
      <c r="BK652" s="2" t="s">
        <v>4021</v>
      </c>
      <c r="BL652" s="1" t="s">
        <v>1967</v>
      </c>
      <c r="BM652" s="2" t="s">
        <v>8561</v>
      </c>
      <c r="BN652" s="1" t="s">
        <v>1959</v>
      </c>
      <c r="BO652" s="2" t="s">
        <v>4022</v>
      </c>
      <c r="BP652" s="1" t="s">
        <v>1875</v>
      </c>
      <c r="BQ652" s="2" t="s">
        <v>4023</v>
      </c>
      <c r="BR652" s="1" t="s">
        <v>1877</v>
      </c>
      <c r="BS652" s="2" t="s">
        <v>4024</v>
      </c>
      <c r="BT652" s="1" t="s">
        <v>3496</v>
      </c>
      <c r="BU652" s="2" t="s">
        <v>4025</v>
      </c>
    </row>
    <row r="653" spans="1:75" ht="216" x14ac:dyDescent="0.45">
      <c r="A653" s="5">
        <v>652</v>
      </c>
      <c r="B653" s="8" t="s">
        <v>435</v>
      </c>
      <c r="C653" s="6" t="s">
        <v>6850</v>
      </c>
      <c r="D653" s="7" t="s">
        <v>9752</v>
      </c>
      <c r="E653" s="6" t="s">
        <v>766</v>
      </c>
      <c r="F653" s="1" t="s">
        <v>1551</v>
      </c>
      <c r="G653" s="1"/>
      <c r="J653" s="1" t="s">
        <v>9753</v>
      </c>
      <c r="K653" s="2" t="s">
        <v>8562</v>
      </c>
      <c r="L653" s="4" t="s">
        <v>8563</v>
      </c>
      <c r="M653" s="1" t="s">
        <v>12212</v>
      </c>
      <c r="P653" s="7" t="s">
        <v>1241</v>
      </c>
      <c r="Q653" s="14" t="str">
        <f>INDEX($L:$L, MATCH("apologize", $B:$B, 0))</f>
        <v>&lt;span class="w"&gt;&lt;b&gt;【813.apologize：謝る（to人, for対象）, 弁明する】&lt;/b&gt;&lt;/span&gt;
&lt;span class="ml"&gt;近代英語にさかのぼり、以下の2つの要素になる。
&lt;span class="spacer"&gt;&lt;/span&gt;apology（謝罪, 弁明）
ize（動詞化）
&lt;span class="spacer"&gt;&lt;/span&gt;apologyはギリシャ語に由来する語で、以下の2つの要素から成る。
&lt;span class="spacer"&gt;&lt;/span&gt;apo（〜に対して）
logos（言葉）
&lt;span class="spacer"&gt;&lt;/span&gt;これは、自分への非難や告発に対して尽くす言葉、つまり自己の「弁明」を表した。そこから意味が変化し、自分の非を認めて後悔を示す「謝罪」という意味になった。&lt;/span&gt;</v>
      </c>
      <c r="R653" s="13" t="str">
        <f>INDEX($L:$L, MATCH("dialogue", $B:$B, 0))</f>
        <v>&lt;span class="w"&gt;&lt;b&gt;【676.dialogue：対話, 会話】&lt;/b&gt;&lt;/span&gt;
&lt;span class="ml"&gt;ギリシャ語に由来する語で、以下の2つの要素から成る。
&lt;span class="spacer"&gt;&lt;/span&gt;dia（横切って, 間に）
logos（言葉）
&lt;span class="spacer"&gt;&lt;/span&gt;このまま日本語にすると「言葉が横切る」となる。2人以上の人物の間で言葉が飛び交う様子から「会話, 対話」という意味になる。
&lt;div class="sample_image dialogue"&gt;&lt;/div&gt;
&lt;span class="spacer"&gt;&lt;/span&gt;monos（単独の）logos（言葉）なら
monologue（独白, 1人の長話, モノローグ）
&lt;span class="spacer"&gt;&lt;/span&gt;pro（前の）logos（言葉）なら
prologue（物語の本編が始まる前の序章）
&lt;span class="spacer"&gt;&lt;/span&gt;epi（追加の）logos（言葉）なら
epilogue（物語の本編が終わった後の後日談）&lt;/span&gt;</v>
      </c>
      <c r="AU653" s="15"/>
      <c r="AV653" s="1" t="s">
        <v>1502</v>
      </c>
      <c r="BG653" s="7" t="s">
        <v>1503</v>
      </c>
      <c r="BH653" s="1" t="s">
        <v>2458</v>
      </c>
      <c r="BI653" s="2" t="s">
        <v>4026</v>
      </c>
      <c r="BJ653" s="1" t="s">
        <v>1947</v>
      </c>
      <c r="BK653" s="1" t="s">
        <v>4027</v>
      </c>
      <c r="BL653" s="1" t="s">
        <v>1959</v>
      </c>
      <c r="BM653" s="2" t="s">
        <v>4028</v>
      </c>
      <c r="BN653" s="1" t="s">
        <v>1875</v>
      </c>
      <c r="BO653" s="2" t="s">
        <v>4029</v>
      </c>
      <c r="BP653" s="2" t="s">
        <v>1877</v>
      </c>
      <c r="BQ653" s="2" t="s">
        <v>4030</v>
      </c>
    </row>
    <row r="654" spans="1:75" ht="409.6" x14ac:dyDescent="0.45">
      <c r="A654" s="5">
        <v>653</v>
      </c>
      <c r="B654" s="8" t="s">
        <v>436</v>
      </c>
      <c r="C654" s="6" t="s">
        <v>6850</v>
      </c>
      <c r="D654" s="7" t="s">
        <v>9752</v>
      </c>
      <c r="E654" s="1" t="s">
        <v>1743</v>
      </c>
      <c r="F654" s="1" t="s">
        <v>8974</v>
      </c>
      <c r="G654" s="1"/>
      <c r="J654" s="1" t="s">
        <v>9753</v>
      </c>
      <c r="K654" s="2" t="s">
        <v>8564</v>
      </c>
      <c r="L654" s="4" t="s">
        <v>8565</v>
      </c>
      <c r="M654" s="1" t="s">
        <v>12210</v>
      </c>
      <c r="P654" s="7" t="s">
        <v>1241</v>
      </c>
      <c r="Q654" s="14" t="str">
        <f>INDEX($L:$L, MATCH("minister", $B:$B, 0))</f>
        <v>&lt;span class="w"&gt;&lt;b&gt;【552.minister：大臣, プロテスタントの聖職者】&lt;/b&gt;&lt;/span&gt;
&lt;span class="ml"&gt;ラテン語に由来する語で、以下の2つの要素から成る。
&lt;span class="spacer"&gt;&lt;/span&gt;minor（より小さい）
teros（比較級を作る）
&lt;span class="spacer"&gt;&lt;/span&gt;この語の核は「より小さい者」で、上位者に仕える者・下位の者を表した。
&lt;span class="spacer"&gt;&lt;/span&gt;中世では、キリスト教と結びつき、神に仕えて人々に奉仕する人たちを「神のしもべ」と位置付けたことから「聖職者」という意味になった。
&lt;span class="spacer"&gt;&lt;/span&gt;また政治の文脈では、君主に仕えて国政を補佐する役人たち、すなわち「国王のしもべ」である「大臣」を指すようになった。&lt;/span&gt;</v>
      </c>
      <c r="R654" s="14" t="str">
        <f>INDEX($L:$L, MATCH("administration", $B:$B, 0))</f>
        <v>&lt;span class="w"&gt;&lt;b&gt;【877.administration：管理（部）, 運営, 行政, 政府（機関）】&lt;/b&gt;&lt;/span&gt;
&lt;span class="ml"&gt;ラテン語に由来する語で、以下の要素から成る。
&lt;span class="spacer"&gt;&lt;/span&gt;&lt;b&gt;［ministerの語源］&lt;/b&gt;
minus（小さい）
teros（比較級）
&lt;span class="spacer"&gt;&lt;/span&gt;この語の核は「より小さい者」。主人に対して自分をより小さくする者、つまり召使いや助手といった主人に奉仕する者を表した。
&lt;span class="spacer"&gt;&lt;/span&gt;&lt;b&gt;［administrationの語源］&lt;/b&gt;
ad（〜へ）
ministrare（奉仕する, 仕える）
io（名詞化）
&lt;span class="spacer"&gt;&lt;/span&gt;このまま日本語にすると「〜へ奉仕する者」となる。王や君主へ奉仕する者たちは、彼らの代わりに領地や財産を管理し、運営したことから、組織や国の「管理, 運営」という意味になった。また国の管理や運営を行っている「行政, 政府」という意味にもなった。
&lt;div class="sample_image administration"&gt;&lt;/div&gt;&lt;/span&gt;</v>
      </c>
      <c r="S654" s="14" t="str">
        <f>INDEX($L:$L, MATCH("minor", $B:$B, 0))</f>
        <v>&lt;span class="w"&gt;&lt;b&gt;【587.minor：些細な, 小さい】&lt;/b&gt;&lt;/span&gt;
&lt;span class="ml"&gt;ラテン語の比較級minor（より小さい, 重要度の低い）に由来する。
&lt;span class="spacer"&gt;&lt;/span&gt;ここから「小さい」や、重要度が小さい、つまり「些細な」という意味になる。&lt;/span&gt;</v>
      </c>
      <c r="T654" s="13" t="str">
        <f>INDEX($L:$L, MATCH("diminish", $B:$B, 0))</f>
        <v>&lt;span class="w"&gt;&lt;b&gt;【1015.diminish：〜を減らす, 減る】&lt;/b&gt;&lt;/span&gt;
&lt;span class="ml"&gt;ラテン語に由来する語で、以下の2つの要素から成る。
&lt;span class="spacer"&gt;&lt;/span&gt;de（完全に）
minuere（小さくする）
&lt;span class="spacer"&gt;&lt;/span&gt;このまま日本語にすると「完全に小さくする」となる。そこから何かを「減らす」や、何かが「減る」という意味になる。
&lt;span class="spacer"&gt;&lt;/span&gt;diminishのmini部分は、以下の語と関連する。
minimum（最小限）
minus（マイナス）
minor（マイナー）&lt;/span&gt;</v>
      </c>
      <c r="AU654" s="15"/>
      <c r="AV654" s="1" t="s">
        <v>1502</v>
      </c>
      <c r="BG654" s="7" t="s">
        <v>1503</v>
      </c>
      <c r="BH654" s="1" t="s">
        <v>1947</v>
      </c>
      <c r="BI654" s="2" t="s">
        <v>8566</v>
      </c>
      <c r="BJ654" s="1" t="s">
        <v>1877</v>
      </c>
      <c r="BK654" s="2" t="s">
        <v>4031</v>
      </c>
    </row>
    <row r="655" spans="1:75" ht="270" x14ac:dyDescent="0.45">
      <c r="A655" s="5">
        <v>654</v>
      </c>
      <c r="B655" s="8" t="s">
        <v>437</v>
      </c>
      <c r="C655" s="6" t="s">
        <v>6850</v>
      </c>
      <c r="D655" s="7" t="s">
        <v>9752</v>
      </c>
      <c r="E655" s="1" t="s">
        <v>1413</v>
      </c>
      <c r="F655" s="1" t="s">
        <v>8975</v>
      </c>
      <c r="G655" s="1" t="s">
        <v>1580</v>
      </c>
      <c r="J655" s="1" t="s">
        <v>9753</v>
      </c>
      <c r="K655" s="2" t="s">
        <v>8567</v>
      </c>
      <c r="L655" s="4" t="s">
        <v>8568</v>
      </c>
      <c r="M655" s="1" t="s">
        <v>12181</v>
      </c>
      <c r="P655" s="7" t="s">
        <v>1241</v>
      </c>
      <c r="Q655" s="14" t="str">
        <f>INDEX($L:$L, MATCH("concept", $B:$B, 0))</f>
        <v>&lt;span class="w"&gt;&lt;b&gt;【241.concept：概念, 考え】&lt;/b&gt;&lt;/span&gt;
&lt;span class="ml"&gt;ラテン語に由来する語で、以下の2つの要素から成る。
&lt;span class="spacer"&gt;&lt;/span&gt;com（強意）
capere（取る）
&lt;span class="spacer"&gt;&lt;/span&gt;このまま日本語にすると「しっかり取る」となる。しっかり取り入れることから頭の中に取り入れられたもの＝「概念, 考え」という意味になる。&lt;/span&gt;</v>
      </c>
      <c r="R655" s="14" t="str">
        <f>INDEX($L:$L, MATCH("reception", $B:$B, 0))</f>
        <v>&lt;span class="w"&gt;&lt;b&gt;【1446.reception：反応, 受付, 宴会, 受信】&lt;/b&gt;&lt;/span&gt;
&lt;span class="ml"&gt;ラテン語に由来する語で、以下の3つの要素から成る。
&lt;span class="spacer"&gt;&lt;/span&gt;re（再び, 後ろへ）
capere（取る）
io（名詞化）
&lt;span class="spacer"&gt;&lt;/span&gt;このまま日本語にすると「後ろへ（自分の方へ）取ること」となる。この語の核は「何かを受け取ること、受け入れること」。この核をもとに文脈で日本語訳すればよい。
&lt;span class="spacer"&gt;&lt;/span&gt;来客を受け入れることからは「宴会, 受付」、人や作品などが受け入れられることからは「反応, 評判」、電波を受け入れることからは「受信」という意味になる。&lt;/span&gt;</v>
      </c>
      <c r="S655" s="14" t="str">
        <f>INDEX($L:$L, MATCH("recipe", $B:$B, 0))</f>
        <v>&lt;span class="w"&gt;&lt;b&gt;【870.recipe：調理法, レシピ, 手順】&lt;/b&gt;&lt;/span&gt;
&lt;span class="ml"&gt;ラテン語に由来する語で、以下の2つの要素から成る。
&lt;span class="spacer"&gt;&lt;/span&gt;re（再び）
capere（取る）
&lt;span class="spacer"&gt;&lt;/span&gt;もともとは、医師が薬剤師に渡す処方箋の冒頭に、ラテン語recipe（取りなさい）と書いたことによる。これは処方箋に書かれた材料を取り出しなさいという指示だったが、そこから薬の処方箋そのものを表すようになった。
&lt;span class="spacer"&gt;&lt;/span&gt;処方箋は薬の作り方を書き記したものなので、そこから発展して、何かの「手順」や料理の「調理法, レシピ」という意味になった。&lt;/span&gt;</v>
      </c>
      <c r="T655" s="13" t="str">
        <f>INDEX($L:$L, MATCH("recipient", $B:$B, 0))</f>
        <v>&lt;span class="w"&gt;&lt;b&gt;【1264.recipient：受け取る人】&lt;/b&gt;&lt;/span&gt;
&lt;span class="ml"&gt;ラテン語に由来する語で、以下の3つの要素から成る。
&lt;span class="spacer"&gt;&lt;/span&gt;re（後ろへ, 再び）
capere（取る）
ens（〜している人）
&lt;span class="spacer"&gt;&lt;/span&gt;このまま日本語にすると「後ろへ取る人」となる。相手の方から自分の方へ何かを取る、つまり受け取ることを表して、何かを「受け取る人」という意味になる。
&lt;span class="spacer"&gt;&lt;/span&gt;receiveにent（〜する人）が付いてできた語というイメージで覚えればよい。&lt;/span&gt;</v>
      </c>
      <c r="AU655" s="15"/>
      <c r="AV655" s="1" t="s">
        <v>1502</v>
      </c>
      <c r="BG655" s="7" t="s">
        <v>1503</v>
      </c>
      <c r="BH655" s="1" t="s">
        <v>1947</v>
      </c>
      <c r="BI655" s="2" t="s">
        <v>4032</v>
      </c>
      <c r="BJ655" s="1" t="s">
        <v>1959</v>
      </c>
      <c r="BK655" s="1" t="s">
        <v>4033</v>
      </c>
      <c r="BL655" s="1" t="s">
        <v>2114</v>
      </c>
      <c r="BM655" s="1" t="s">
        <v>4034</v>
      </c>
      <c r="BN655" s="1" t="s">
        <v>1875</v>
      </c>
      <c r="BO655" s="2" t="s">
        <v>4035</v>
      </c>
    </row>
    <row r="656" spans="1:75" ht="144" x14ac:dyDescent="0.45">
      <c r="A656" s="5">
        <v>655</v>
      </c>
      <c r="B656" s="8" t="s">
        <v>438</v>
      </c>
      <c r="C656" s="6" t="s">
        <v>6850</v>
      </c>
      <c r="D656" s="7" t="s">
        <v>9752</v>
      </c>
      <c r="E656" s="6" t="s">
        <v>438</v>
      </c>
      <c r="F656" s="1"/>
      <c r="G656" s="1"/>
      <c r="J656" s="1" t="s">
        <v>9753</v>
      </c>
      <c r="K656" s="2"/>
      <c r="L656" s="9" t="s">
        <v>8569</v>
      </c>
      <c r="P656" s="7" t="s">
        <v>1241</v>
      </c>
      <c r="AV656" s="1" t="s">
        <v>1502</v>
      </c>
      <c r="BG656" s="7" t="s">
        <v>1503</v>
      </c>
      <c r="BH656" s="1" t="s">
        <v>1875</v>
      </c>
      <c r="BI656" s="1" t="s">
        <v>4036</v>
      </c>
      <c r="BJ656" s="1" t="s">
        <v>1877</v>
      </c>
      <c r="BK656" s="2" t="s">
        <v>4037</v>
      </c>
    </row>
    <row r="657" spans="1:69" ht="108" x14ac:dyDescent="0.45">
      <c r="A657" s="5">
        <v>656</v>
      </c>
      <c r="B657" s="8" t="s">
        <v>439</v>
      </c>
      <c r="C657" s="6" t="s">
        <v>6850</v>
      </c>
      <c r="D657" s="7" t="s">
        <v>9752</v>
      </c>
      <c r="E657" s="6" t="s">
        <v>439</v>
      </c>
      <c r="F657" s="1"/>
      <c r="G657" s="1"/>
      <c r="J657" s="1" t="s">
        <v>9753</v>
      </c>
      <c r="K657" s="2" t="s">
        <v>8604</v>
      </c>
      <c r="L657" s="9" t="s">
        <v>8605</v>
      </c>
      <c r="P657" s="7" t="s">
        <v>1241</v>
      </c>
      <c r="Q657" s="13" t="str">
        <f>INDEX($L:$L, MATCH("bind", $B:$B, 0))</f>
        <v>&lt;span class="w"&gt;&lt;b&gt;【1105.bind：〜を縛る】&lt;/b&gt;&lt;/span&gt;
&lt;span class="ml"&gt;古英語bindan（紐や拘束具で縛る, 捕虜にする）にさかのぼる。
&lt;span class="spacer"&gt;&lt;/span&gt;古英語から意味の変化はほとんどなく、何かを「縛る」という意味になる。bindにer（〜するもの）をつければ日本語でも使われるバインダーになる。また動詞bindは、bond（絆, ボンド）やband（髪を縛るバンド）と共通の語源にさかのぼる。&lt;/span&gt;</v>
      </c>
      <c r="AV657" s="1" t="s">
        <v>1502</v>
      </c>
      <c r="BG657" s="7" t="s">
        <v>1503</v>
      </c>
      <c r="BH657" s="1" t="s">
        <v>1872</v>
      </c>
      <c r="BI657" s="1" t="s">
        <v>4038</v>
      </c>
      <c r="BJ657" s="1" t="s">
        <v>1875</v>
      </c>
      <c r="BK657" s="2" t="s">
        <v>4039</v>
      </c>
      <c r="BL657" s="1" t="s">
        <v>1877</v>
      </c>
      <c r="BM657" s="2" t="s">
        <v>4040</v>
      </c>
    </row>
    <row r="658" spans="1:69" ht="126" x14ac:dyDescent="0.45">
      <c r="A658" s="5">
        <v>657</v>
      </c>
      <c r="B658" s="8" t="s">
        <v>440</v>
      </c>
      <c r="C658" s="6" t="s">
        <v>6850</v>
      </c>
      <c r="D658" s="7" t="s">
        <v>9752</v>
      </c>
      <c r="E658" s="6" t="s">
        <v>440</v>
      </c>
      <c r="F658" s="1"/>
      <c r="G658" s="1"/>
      <c r="J658" s="1" t="s">
        <v>9753</v>
      </c>
      <c r="K658" s="2" t="s">
        <v>8593</v>
      </c>
      <c r="L658" s="9" t="s">
        <v>8570</v>
      </c>
      <c r="P658" s="7" t="s">
        <v>1241</v>
      </c>
      <c r="AU658" s="15"/>
      <c r="AV658" s="1" t="s">
        <v>1502</v>
      </c>
      <c r="BG658" s="7" t="s">
        <v>1503</v>
      </c>
      <c r="BH658" s="1" t="s">
        <v>1947</v>
      </c>
      <c r="BI658" s="2" t="s">
        <v>4041</v>
      </c>
      <c r="BJ658" s="1" t="s">
        <v>1875</v>
      </c>
      <c r="BK658" s="2" t="s">
        <v>4042</v>
      </c>
      <c r="BL658" s="1" t="s">
        <v>1877</v>
      </c>
      <c r="BM658" s="2" t="s">
        <v>8571</v>
      </c>
    </row>
    <row r="659" spans="1:69" ht="126" x14ac:dyDescent="0.45">
      <c r="A659" s="5">
        <v>658</v>
      </c>
      <c r="B659" s="8" t="s">
        <v>441</v>
      </c>
      <c r="C659" s="6" t="s">
        <v>6850</v>
      </c>
      <c r="D659" s="7" t="s">
        <v>9752</v>
      </c>
      <c r="E659" s="1" t="s">
        <v>1341</v>
      </c>
      <c r="F659" s="1" t="s">
        <v>1926</v>
      </c>
      <c r="G659" s="1" t="s">
        <v>1927</v>
      </c>
      <c r="J659" s="1" t="s">
        <v>9753</v>
      </c>
      <c r="K659" s="2" t="s">
        <v>8572</v>
      </c>
      <c r="L659" s="4" t="s">
        <v>8573</v>
      </c>
      <c r="P659" s="7" t="s">
        <v>1241</v>
      </c>
      <c r="Q659" s="13" t="str">
        <f>INDEX($L:$L, MATCH("physician", $B:$B, 0))</f>
        <v>&lt;span class="w"&gt;&lt;b&gt;【570.physician：医師, 内科医】&lt;/b&gt;&lt;/span&gt;
&lt;span class="ml"&gt;ギリシャ語physis（自然）に由来する。
&lt;span class="spacer"&gt;&lt;/span&gt;ここでいう自然とは、人工の対義語となる森や川などの自然ではなく、あるものに生まれつき備わった成長や変化の原理を意味する。
&lt;span class="spacer"&gt;&lt;/span&gt;大昔の医師は自然の法則や体液のバランスを理解し、その摂理によって健康を回復させる学者であったため、「自然」から「医師, 内科医」という意味が生まれた。
&lt;span class="spacer"&gt;&lt;/span&gt;一方で外科医（surgeon）は、語源的に「手で行う仕事」を意味する。自然の力や理論に基づく内科的治療に対し、実際に刃物を握って物理的な手作業で治療を行う職人であったためphysicianとは明確に区別され、現在でもその区別が残っている。&lt;/span&gt;</v>
      </c>
      <c r="R659" s="13" t="str">
        <f>INDEX($L:$L, MATCH("allergy", $B:$B, 0))</f>
        <v>&lt;span class="w"&gt;&lt;b&gt;【957.allergy：アレルギー】&lt;/b&gt;&lt;/span&gt;
&lt;span class="ml"&gt;ギリシャ語をもとに造られた語で、以下の2つの要素から成る。
&lt;span class="spacer"&gt;&lt;/span&gt;allos（異なる, 奇妙な）
ergon（仕事）
&lt;span class="spacer"&gt;&lt;/span&gt;小児科医クレメンス・E・フォン・ピルケによってギリシャ語をもとに造られた語。彼が患者を診察している際、ある物質（ワクチンや花粉など）に再び触れたとき、免疫システムが初回とは異なる（allo）過敏な働き（ergon）をすることに気づき、この2つのギリシャ語を組み合わせて「アレルギー」と名付けた。&lt;/span&gt;</v>
      </c>
      <c r="AU659" s="15"/>
      <c r="AV659" s="1" t="s">
        <v>1502</v>
      </c>
      <c r="BG659" s="7" t="s">
        <v>1503</v>
      </c>
      <c r="BH659" s="1" t="s">
        <v>2458</v>
      </c>
      <c r="BI659" s="2" t="s">
        <v>4043</v>
      </c>
      <c r="BJ659" s="1" t="s">
        <v>2036</v>
      </c>
      <c r="BK659" s="2" t="s">
        <v>4044</v>
      </c>
      <c r="BL659" s="1" t="s">
        <v>1959</v>
      </c>
      <c r="BM659" s="1" t="s">
        <v>4045</v>
      </c>
      <c r="BN659" s="1" t="s">
        <v>1875</v>
      </c>
      <c r="BO659" s="2" t="s">
        <v>4046</v>
      </c>
    </row>
    <row r="660" spans="1:69" ht="396" x14ac:dyDescent="0.45">
      <c r="A660" s="5">
        <v>659</v>
      </c>
      <c r="B660" s="8" t="s">
        <v>442</v>
      </c>
      <c r="C660" s="6" t="s">
        <v>6850</v>
      </c>
      <c r="D660" s="7" t="s">
        <v>9752</v>
      </c>
      <c r="E660" s="1" t="s">
        <v>27</v>
      </c>
      <c r="F660" s="1" t="s">
        <v>1341</v>
      </c>
      <c r="G660" s="1" t="s">
        <v>1809</v>
      </c>
      <c r="J660" s="1" t="s">
        <v>9753</v>
      </c>
      <c r="K660" s="2" t="s">
        <v>8574</v>
      </c>
      <c r="L660" s="3" t="s">
        <v>8606</v>
      </c>
      <c r="M660" s="1" t="s">
        <v>12202</v>
      </c>
      <c r="P660" s="7" t="s">
        <v>1241</v>
      </c>
      <c r="Q660" s="14" t="str">
        <f>INDEX($L:$L, MATCH("secure", $B:$B, 0))</f>
        <v>&lt;span class="w"&gt;&lt;b&gt;【721.secure：〜を確保する, 〜を守る】&lt;/b&gt;&lt;/span&gt;
&lt;span class="ml"&gt;ラテン語に由来する語で、以下の2つの要素から成る。
&lt;span class="spacer"&gt;&lt;/span&gt;se（離れて）
cura（心配）
&lt;span class="spacer"&gt;&lt;/span&gt;このまま日本語にすると「心配から離れた」となる。心配から解放された安全な状態にすることから、なくなる心配がないように何かを「確保する」という意味になった。&lt;/span&gt;</v>
      </c>
      <c r="R660" s="14" t="str">
        <f>INDEX($L:$L, MATCH("assure", $B:$B, 0))</f>
        <v>&lt;span class="w"&gt;&lt;b&gt;【1301.assure：〜保証する, 〜に自信を持って言う】&lt;/b&gt;&lt;/span&gt;
&lt;span class="ml"&gt;ラテン語に由来する語で、以下の3つの要素から成る。
&lt;span class="spacer"&gt;&lt;/span&gt;ad（〜へ）
se（離れて）
cura（注意）
&lt;span class="spacer"&gt;&lt;/span&gt;このまま日本語にすると「対象を注意から離れた状態にする」となる。相手を心配がない状態にすることから、何かを「保証する, 自信を持って言う」という意味になる。
&lt;div class="sample_image assure"&gt;&lt;/div&gt;
&lt;span class="spacer"&gt;&lt;/span&gt;ラテン語se（離れて）＋cura（注意）からは、英語のsure（確信して）やsecure（安全な）も生まれている。
&lt;span class="spacer"&gt;&lt;/span&gt;どちらも核は、注意から離れている状態。注意（や心配）から解放されているということが、一切の不安のない確信（sure）や安全（secure）へとつながった。
&lt;span class="spacer"&gt;&lt;/span&gt;このイメージからassureは、相手へ確信や安心をもたらすように「保証する, 自信をもって言う」と考えればよい。&lt;/span&gt;</v>
      </c>
      <c r="S660" s="14" t="str">
        <f>INDEX($L:$L, MATCH("ensure", $B:$B, 0))</f>
        <v>&lt;span class="w"&gt;&lt;b&gt;【509.ensure：～を確実にする】&lt;/b&gt;&lt;/span&gt;
&lt;span class="ml"&gt;古フランス語に由来する語で、以下の2つの要素から成る。
&lt;span class="spacer"&gt;&lt;/span&gt;en（動詞化）
seur（確実な, 確かな：sureの語源）
&lt;span class="spacer"&gt;&lt;/span&gt;このまま日本語にすると「確実な状態にする」となる。つまり「何かが確実にそうなるようにする」というイメージで、ここから「〜を確実にする」という意味になる。&lt;/span&gt;</v>
      </c>
      <c r="T660" s="14" t="str">
        <f>INDEX($L:$L, MATCH("cure", $B:$B, 0))</f>
        <v>&lt;span class="w"&gt;&lt;b&gt;【527.cure：〜を治す, 〜を取り除く, 病気が治る】&lt;/b&gt;&lt;/span&gt;
&lt;span class="ml"&gt;ラテン語curare（世話をする）に由来する。
&lt;span class="spacer"&gt;&lt;/span&gt;これは対象の状態に注意を払い、管理し、整えることを意味する。医療的な文脈では、病人の世話をして健康な状態へ導くことから、「病気を治す, 病を取り除く, 病気が治る」という意味になる。&lt;/span&gt;</v>
      </c>
      <c r="U660" s="14" t="str">
        <f>INDEX($L:$L, MATCH("accurate", $B:$B, 0))</f>
        <v>&lt;span class="w"&gt;&lt;b&gt;【382.accurate：正確な, 精密な】&lt;/b&gt;&lt;/span&gt;
&lt;span class="ml"&gt;ラテン語に由来する語で、以下の2つの要素から成る。
&lt;span class="spacer"&gt;&lt;/span&gt;ad（～へ）
cura（注意）から派生したcurare（注意を払う）
&lt;span class="spacer"&gt;&lt;/span&gt;このまま日本語にすると「対象へ注意を払う」となる。ここから何かを注意深く念入りに行うことから「正確な, 精密な」という意味になる。&lt;/span&gt;</v>
      </c>
      <c r="V660" s="13" t="str">
        <f>INDEX($L:$L, MATCH("curious", $B:$B, 0))</f>
        <v>&lt;span class="w"&gt;&lt;b&gt;【580.curious：好奇心の強い】&lt;/b&gt;&lt;/span&gt;
&lt;span class="ml"&gt;ラテン語に由来する語で、以下の2つの要素から成る。
cura（注意, 関心）
osus（形容詞化：〜に満ちた）
&lt;span class="spacer"&gt;&lt;/span&gt;このまま日本語にすると「注意や関心に満ちた」となる。ここから関心が溢れて、熱心に探りたがる、つまり「好奇心が強い」という意味になる。
&lt;div class="sample_image curious"&gt;&lt;/div&gt;&lt;/span&gt;</v>
      </c>
      <c r="AU660" s="15"/>
      <c r="AV660" s="1" t="s">
        <v>1502</v>
      </c>
      <c r="BG660" s="7" t="s">
        <v>1503</v>
      </c>
      <c r="BH660" s="1" t="s">
        <v>1947</v>
      </c>
      <c r="BI660" s="2" t="s">
        <v>4047</v>
      </c>
      <c r="BJ660" s="1" t="s">
        <v>1959</v>
      </c>
      <c r="BK660" s="2" t="s">
        <v>4048</v>
      </c>
      <c r="BL660" s="1" t="s">
        <v>1877</v>
      </c>
      <c r="BM660" s="2" t="s">
        <v>4049</v>
      </c>
    </row>
    <row r="661" spans="1:69" ht="126" x14ac:dyDescent="0.45">
      <c r="A661" s="5">
        <v>660</v>
      </c>
      <c r="B661" s="8" t="s">
        <v>443</v>
      </c>
      <c r="C661" s="6" t="s">
        <v>6850</v>
      </c>
      <c r="D661" s="7" t="s">
        <v>9752</v>
      </c>
      <c r="E661" s="6" t="s">
        <v>443</v>
      </c>
      <c r="F661" s="1"/>
      <c r="G661" s="1"/>
      <c r="J661" s="1" t="s">
        <v>9753</v>
      </c>
      <c r="K661" s="2" t="s">
        <v>1810</v>
      </c>
      <c r="L661" s="9" t="s">
        <v>8575</v>
      </c>
      <c r="P661" s="7" t="s">
        <v>1241</v>
      </c>
      <c r="AU661" s="15"/>
      <c r="AV661" s="1" t="s">
        <v>1502</v>
      </c>
      <c r="BG661" s="7" t="s">
        <v>1503</v>
      </c>
      <c r="BH661" s="1" t="s">
        <v>1872</v>
      </c>
      <c r="BI661" s="2" t="s">
        <v>4050</v>
      </c>
      <c r="BJ661" s="1" t="s">
        <v>1875</v>
      </c>
      <c r="BK661" s="2" t="s">
        <v>4051</v>
      </c>
      <c r="BL661" s="1" t="s">
        <v>1877</v>
      </c>
      <c r="BM661" s="2" t="s">
        <v>4052</v>
      </c>
    </row>
    <row r="662" spans="1:69" ht="126" x14ac:dyDescent="0.45">
      <c r="A662" s="5">
        <v>661</v>
      </c>
      <c r="B662" s="8" t="s">
        <v>444</v>
      </c>
      <c r="C662" s="6" t="s">
        <v>6850</v>
      </c>
      <c r="D662" s="7" t="s">
        <v>9752</v>
      </c>
      <c r="E662" s="1" t="s">
        <v>1811</v>
      </c>
      <c r="F662" s="1" t="s">
        <v>1720</v>
      </c>
      <c r="G662" s="1"/>
      <c r="J662" s="1" t="s">
        <v>9753</v>
      </c>
      <c r="K662" s="2" t="s">
        <v>8576</v>
      </c>
      <c r="L662" s="9" t="s">
        <v>8577</v>
      </c>
      <c r="P662" s="7" t="s">
        <v>1241</v>
      </c>
      <c r="AU662" s="15"/>
      <c r="AV662" s="1" t="s">
        <v>1502</v>
      </c>
      <c r="BG662" s="7" t="s">
        <v>1503</v>
      </c>
      <c r="BH662" s="1" t="s">
        <v>1872</v>
      </c>
      <c r="BI662" s="2" t="s">
        <v>4053</v>
      </c>
      <c r="BJ662" s="1" t="s">
        <v>1875</v>
      </c>
      <c r="BK662" s="2" t="s">
        <v>4054</v>
      </c>
      <c r="BL662" s="1" t="s">
        <v>1877</v>
      </c>
      <c r="BM662" s="2" t="s">
        <v>4055</v>
      </c>
    </row>
    <row r="663" spans="1:69" ht="180" x14ac:dyDescent="0.45">
      <c r="A663" s="5">
        <v>662</v>
      </c>
      <c r="B663" s="8" t="s">
        <v>445</v>
      </c>
      <c r="C663" s="6" t="s">
        <v>6850</v>
      </c>
      <c r="D663" s="7" t="s">
        <v>9752</v>
      </c>
      <c r="E663" s="1" t="s">
        <v>1812</v>
      </c>
      <c r="F663" s="1" t="s">
        <v>1813</v>
      </c>
      <c r="G663" s="1"/>
      <c r="J663" s="1" t="s">
        <v>9753</v>
      </c>
      <c r="K663" s="2" t="s">
        <v>8578</v>
      </c>
      <c r="L663" s="9" t="s">
        <v>12249</v>
      </c>
      <c r="P663" s="7" t="s">
        <v>1241</v>
      </c>
      <c r="Q663" s="13"/>
      <c r="AU663" s="15"/>
      <c r="AV663" s="1" t="s">
        <v>1502</v>
      </c>
      <c r="BG663" s="7" t="s">
        <v>1503</v>
      </c>
      <c r="BH663" s="1" t="s">
        <v>1947</v>
      </c>
      <c r="BI663" s="2" t="s">
        <v>4056</v>
      </c>
      <c r="BJ663" s="1" t="s">
        <v>2044</v>
      </c>
      <c r="BK663" s="2" t="s">
        <v>4057</v>
      </c>
      <c r="BL663" s="1" t="s">
        <v>1877</v>
      </c>
      <c r="BM663" s="2" t="s">
        <v>4058</v>
      </c>
    </row>
    <row r="664" spans="1:69" ht="126" x14ac:dyDescent="0.45">
      <c r="A664" s="5">
        <v>663</v>
      </c>
      <c r="B664" s="8" t="s">
        <v>446</v>
      </c>
      <c r="C664" s="6" t="s">
        <v>6850</v>
      </c>
      <c r="D664" s="7" t="s">
        <v>9752</v>
      </c>
      <c r="E664" s="1" t="s">
        <v>1814</v>
      </c>
      <c r="F664" s="1" t="s">
        <v>1541</v>
      </c>
      <c r="G664" s="1"/>
      <c r="J664" s="1" t="s">
        <v>9753</v>
      </c>
      <c r="K664" s="2"/>
      <c r="L664" s="9" t="s">
        <v>8579</v>
      </c>
      <c r="P664" s="7" t="s">
        <v>1241</v>
      </c>
      <c r="AV664" s="1" t="s">
        <v>1502</v>
      </c>
      <c r="BG664" s="7" t="s">
        <v>1503</v>
      </c>
      <c r="BH664" s="1" t="s">
        <v>4059</v>
      </c>
      <c r="BI664" s="1" t="s">
        <v>8580</v>
      </c>
      <c r="BJ664" s="1" t="s">
        <v>1504</v>
      </c>
      <c r="BK664" s="2" t="s">
        <v>4060</v>
      </c>
      <c r="BL664" s="1" t="s">
        <v>2321</v>
      </c>
      <c r="BM664" s="1" t="s">
        <v>4061</v>
      </c>
      <c r="BN664" s="1" t="s">
        <v>2044</v>
      </c>
      <c r="BO664" s="2" t="s">
        <v>4062</v>
      </c>
      <c r="BP664" s="1" t="s">
        <v>1883</v>
      </c>
      <c r="BQ664" s="2" t="s">
        <v>4063</v>
      </c>
    </row>
    <row r="665" spans="1:69" ht="144" x14ac:dyDescent="0.45">
      <c r="A665" s="5">
        <v>664</v>
      </c>
      <c r="B665" s="8" t="s">
        <v>3969</v>
      </c>
      <c r="C665" s="6" t="s">
        <v>6850</v>
      </c>
      <c r="D665" s="7" t="s">
        <v>9752</v>
      </c>
      <c r="E665" s="1" t="s">
        <v>8976</v>
      </c>
      <c r="F665" s="1"/>
      <c r="G665" s="1"/>
      <c r="J665" s="1" t="s">
        <v>9753</v>
      </c>
      <c r="K665" s="2" t="s">
        <v>8581</v>
      </c>
      <c r="L665" s="2" t="s">
        <v>12250</v>
      </c>
      <c r="M665" s="1" t="s">
        <v>12170</v>
      </c>
      <c r="P665" s="7" t="s">
        <v>1241</v>
      </c>
      <c r="Q665" s="13" t="str">
        <f>INDEX($L:$L, MATCH("habit", $B:$B, 0))</f>
        <v>&lt;span class="w"&gt;&lt;b&gt;【176.habit：習慣, 癖】&lt;/b&gt;&lt;/span&gt;
&lt;span class="ml"&gt;ラテン語habere（持つ）の過去分詞habitusに由来する。
&lt;span class="spacer"&gt;&lt;/span&gt;「持たれているもの」から自分の内部にずっと持っている「癖」や、日常的に続けている「習慣」という意味になる。&lt;/span&gt;</v>
      </c>
      <c r="R665" s="13" t="str">
        <f>INDEX($L:$L, MATCH("inhabit", $B:$B, 0))</f>
        <v>&lt;span class="w"&gt;&lt;b&gt;【1418.inhabit：〜に住んでいる, 生息している】&lt;/b&gt;&lt;/span&gt;
&lt;span class="ml"&gt;ラテン語に由来する語で、以下の2つの要素から成る。
&lt;span class="spacer"&gt;&lt;/span&gt;in（中に）
habere（持つ）の反復形habitare（持ち続ける, 住む）
&lt;span class="spacer"&gt;&lt;/span&gt;この語の核は「ある空間を自分のものとして持ち続ける」。一時的に滞在するのではなく、一定の期間その場所を自分の居場所として持ち続けるということから、人が「〜に住む」や動物が「生息する」という意味になる。
&lt;span class="spacer"&gt;&lt;/span&gt;単に生きている、生活していることを表すlive inよりも、場所との結びつきが強い。
&lt;div class="sample_image inhabit"&gt;&lt;/div&gt;&lt;/span&gt;</v>
      </c>
      <c r="S665" s="13" t="str">
        <f>INDEX($L:$L, MATCH("exhibit", $B:$B, 0))</f>
        <v>&lt;span class="w"&gt;&lt;b&gt;【806.exhibit：〜を示す, 〜を見せる, 〜を展示する】&lt;/b&gt;&lt;/span&gt;
&lt;span class="ml"&gt;ラテン語に由来する語で、以下の2つの要素から成る。
&lt;span class="spacer"&gt;&lt;/span&gt;ex（外に）
habere（持つ）
&lt;span class="spacer"&gt;&lt;/span&gt;このまま日本語にすると「何かを持って外へ」となる。何かを持ち出して見えるようにすることから、何かを「示す, 見せる, 展示する」という意味になる。&lt;/span&gt;</v>
      </c>
      <c r="T665" s="13" t="str">
        <f>INDEX($L:$L, MATCH("prohibit", $B:$B, 0))</f>
        <v>&lt;span class="w"&gt;&lt;b&gt;【832.prohibit：〜を禁止する】&lt;/b&gt;&lt;/span&gt;
&lt;span class="ml"&gt;ラテン語に由来する語で、以下の2つの要素から成る。
&lt;span class="spacer"&gt;&lt;/span&gt;pro（前方に）
habere（持つ）
&lt;span class="spacer"&gt;&lt;/span&gt;この語の核は「前方に出て対象を持つ」。前方で対象をつかんで近づけないように引きとめることから、何かを遠ざけて防ぐイメージになる。そこから何かを「禁止する」という意味になる。
&lt;div class="sample_image prohibit"&gt;&lt;/div&gt;&lt;/span&gt;</v>
      </c>
      <c r="AU665" s="15"/>
      <c r="AV665" s="1" t="s">
        <v>1502</v>
      </c>
      <c r="BG665" s="7" t="s">
        <v>1503</v>
      </c>
      <c r="BH665" s="1" t="s">
        <v>1947</v>
      </c>
      <c r="BI665" s="2" t="s">
        <v>8582</v>
      </c>
      <c r="BJ665" s="1" t="s">
        <v>4064</v>
      </c>
      <c r="BK665" s="2" t="s">
        <v>4065</v>
      </c>
      <c r="BL665" s="1" t="s">
        <v>1883</v>
      </c>
      <c r="BM665" s="2" t="s">
        <v>8583</v>
      </c>
    </row>
    <row r="666" spans="1:69" ht="162" x14ac:dyDescent="0.45">
      <c r="A666" s="5">
        <v>665</v>
      </c>
      <c r="B666" s="8" t="s">
        <v>3970</v>
      </c>
      <c r="C666" s="6" t="s">
        <v>6850</v>
      </c>
      <c r="D666" s="7" t="s">
        <v>9752</v>
      </c>
      <c r="E666" s="1" t="s">
        <v>8977</v>
      </c>
      <c r="F666" s="1"/>
      <c r="G666" s="1"/>
      <c r="J666" s="1" t="s">
        <v>9753</v>
      </c>
      <c r="K666" s="2" t="s">
        <v>8584</v>
      </c>
      <c r="L666" s="2" t="s">
        <v>12251</v>
      </c>
      <c r="M666" s="1" t="s">
        <v>12167</v>
      </c>
      <c r="P666" s="7" t="s">
        <v>1241</v>
      </c>
      <c r="Q666" s="13" t="str">
        <f>INDEX($L:$L, MATCH("stress", $B:$B, 0))</f>
        <v>&lt;span class="w"&gt;&lt;b&gt;【154.stress：ストレス, 圧力, 強調】&lt;/b&gt;&lt;/span&gt;
&lt;span class="ml"&gt;ラテン語stringere（引き締める）に由来する。
&lt;span class="spacer"&gt;&lt;/span&gt;何かを引き締めるというところから、物理的また精神的にかける力＝「圧力, ストレス」という意味になる。また重要なことを発言するときに言葉を強く発音することがあるが、このような「強調」も意味する。&lt;/span&gt;</v>
      </c>
      <c r="R666" s="13" t="str">
        <f>INDEX($L:$L, MATCH("distress", $B:$B, 0))</f>
        <v>&lt;span class="w"&gt;&lt;b&gt;【1048.distress：苦悩, 苦痛】&lt;/b&gt;&lt;/span&gt;
&lt;span class="ml"&gt;ラテン語に由来する語で、以下の2つの要素から成る。
&lt;span class="spacer"&gt;&lt;/span&gt;dis（離れて）
stringere（引き締める, 強く引く）
&lt;span class="spacer"&gt;&lt;/span&gt;もともとは何かを引き離すことから、対象を引き離して拘束するということを表した。この物理的な身体の締め付けから、比喩的に心理的・社会的に追い詰められた状態へと発展して「苦痛, 苦悩, 困窮」という意味になった。&lt;/span&gt;</v>
      </c>
      <c r="S666" s="13" t="str">
        <f>INDEX($L:$L, MATCH("strict", $B:$B, 0))</f>
        <v>&lt;span class="w"&gt;&lt;b&gt;【489.strict：厳しい, 厳格な】&lt;/b&gt;&lt;/span&gt;
&lt;span class="ml"&gt;ラテン語stringere（強く引き締める）の過去分詞strictus（引き締められた）に由来する。
&lt;span class="spacer"&gt;&lt;/span&gt;この語の核は「強く引き締める」。何かを強く引き締めるように、きつく制限されて「厳しい, 厳格な」という意味になる。&lt;/span&gt;</v>
      </c>
      <c r="T666" s="13" t="str">
        <f>INDEX($L:$L, MATCH("restrict", $B:$B, 0))</f>
        <v>&lt;span class="w"&gt;&lt;b&gt;【711.restrict：〜を制限する】&lt;/b&gt;&lt;/span&gt;
&lt;span class="ml"&gt;ラテン語に由来する語で、以下の2つの要素から成る。
&lt;span class="spacer"&gt;&lt;/span&gt;re（後ろへ）
stringere（引っ張る）
&lt;span class="spacer"&gt;&lt;/span&gt;このまま日本語にすると「後ろへ引っ張る」となる。前に出ないようにする、抑制するということから「制限する」という意味になる。&lt;/span&gt;</v>
      </c>
      <c r="U666" s="13" t="str">
        <f>INDEX($L:$L, MATCH("strain", $B:$B, 0))</f>
        <v>&lt;span class="w"&gt;&lt;b&gt;【1326.strain：〜に負担をかける, 〜を緊張させる】&lt;/b&gt;&lt;/span&gt;
&lt;span class="ml"&gt;ラテン語stringere（きつく引く, 圧縮する）に由来する。
&lt;span class="spacer"&gt;&lt;/span&gt;これは「ひもを限界までギューっと引っ張る」イメージ。きつく引っぱるという物理的な動作から発展して、物だけではなく、精神・能力・金銭状況・人間関係など、さまざまな対象を「緊張させる」、また引っ張りすぎて「負担をかける」という意味になった。&lt;/span&gt;</v>
      </c>
      <c r="AU666" s="15"/>
      <c r="AV666" s="1" t="s">
        <v>1502</v>
      </c>
      <c r="BG666" s="7" t="s">
        <v>1503</v>
      </c>
      <c r="BH666" s="1" t="s">
        <v>1947</v>
      </c>
      <c r="BI666" s="2" t="s">
        <v>4066</v>
      </c>
      <c r="BJ666" s="1" t="s">
        <v>1980</v>
      </c>
      <c r="BK666" s="2" t="s">
        <v>4067</v>
      </c>
      <c r="BL666" s="1" t="s">
        <v>2519</v>
      </c>
      <c r="BM666" s="2" t="s">
        <v>4068</v>
      </c>
      <c r="BN666" s="1" t="s">
        <v>1883</v>
      </c>
      <c r="BO666" s="2" t="s">
        <v>4069</v>
      </c>
    </row>
    <row r="667" spans="1:69" ht="126" x14ac:dyDescent="0.45">
      <c r="A667" s="5">
        <v>666</v>
      </c>
      <c r="B667" s="8" t="s">
        <v>3971</v>
      </c>
      <c r="C667" s="6" t="s">
        <v>6850</v>
      </c>
      <c r="D667" s="7" t="s">
        <v>9752</v>
      </c>
      <c r="E667" s="1" t="s">
        <v>46</v>
      </c>
      <c r="F667" s="1" t="s">
        <v>8978</v>
      </c>
      <c r="G667" s="1" t="s">
        <v>1580</v>
      </c>
      <c r="J667" s="1" t="s">
        <v>9753</v>
      </c>
      <c r="K667" s="2" t="s">
        <v>8607</v>
      </c>
      <c r="L667" s="2" t="s">
        <v>8608</v>
      </c>
      <c r="M667" s="1" t="s">
        <v>12176</v>
      </c>
      <c r="P667" s="7" t="s">
        <v>1241</v>
      </c>
      <c r="Q667" s="13" t="str">
        <f>INDEX($L:$L, MATCH("observe", $B:$B, 0))</f>
        <v>&lt;span class="w"&gt;&lt;b&gt;【218.observe：～に気づく, ～を観察する, ～を遵守する】&lt;/b&gt;&lt;/span&gt;
&lt;span class="ml"&gt;ラテン語に由来する語で、以下の2つの要素から成る。
&lt;span class="spacer"&gt;&lt;/span&gt;ob（～に対して）
servare（守る）
&lt;span class="spacer"&gt;&lt;/span&gt;このまま日本語にすると「～に対して守る」となる。守るために警戒し、注意深く見るイメージから「観察する」、そしてその結果「気づく」という意味になる。またルールを注意して守るというイメージから「遵守する, 守る」という意味になる。
&lt;div class="sample_image observe"&gt;&lt;/div&gt;&lt;/span&gt;</v>
      </c>
      <c r="R667" s="13" t="str">
        <f>INDEX($L:$L, MATCH("preserve", $B:$B, 0))</f>
        <v>&lt;span class="w"&gt;&lt;b&gt;【327.preserve：～を保存する, ～を保持する, ～を保護する】&lt;/b&gt;&lt;/span&gt;
&lt;span class="ml"&gt;ラテン語に由来する語で、以下の2つの要素から成る。
&lt;span class="spacer"&gt;&lt;/span&gt;prae（前もって）
servare（守る, 安全に保つ）
&lt;span class="spacer"&gt;&lt;/span&gt;このまま日本語にすると「前もって安全に保つ」となる。変化や劣化が起こる前に安全に保つということから「保存する, 保持する, 保護する」という意味になる。
&lt;div class="sample_image preserve"&gt;&lt;/div&gt;&lt;/span&gt;</v>
      </c>
      <c r="S667" s="13" t="str">
        <f>INDEX($L:$L, MATCH("reserve", $B:$B, 0))</f>
        <v>&lt;span class="w"&gt;&lt;b&gt;【617.reserve：〜を予約する, 〜を取っておく】&lt;/b&gt;&lt;/span&gt;
&lt;span class="ml"&gt;ラテン語に由来する語で、以下の2つの要素から成る。
&lt;span class="spacer"&gt;&lt;/span&gt;re（後ろへ）
servare（保つ, 守る）
&lt;span class="spacer"&gt;&lt;/span&gt;このまま日本語にすると「後ろへ保つ」となる。何かを後ろに置いて保っておくイメージから「取っておく, 予約する」という意味になる。
&lt;div class="sample_image reserve"&gt;&lt;/div&gt;&lt;/span&gt;</v>
      </c>
      <c r="AU667" s="15"/>
      <c r="AV667" s="1" t="s">
        <v>1502</v>
      </c>
      <c r="BG667" s="7" t="s">
        <v>1503</v>
      </c>
      <c r="BH667" s="1" t="s">
        <v>1947</v>
      </c>
      <c r="BI667" s="2" t="s">
        <v>8609</v>
      </c>
      <c r="BJ667" s="1" t="s">
        <v>2044</v>
      </c>
      <c r="BK667" s="2" t="s">
        <v>4070</v>
      </c>
      <c r="BL667" s="1" t="s">
        <v>4071</v>
      </c>
      <c r="BM667" s="2" t="s">
        <v>4072</v>
      </c>
    </row>
    <row r="668" spans="1:69" ht="126" x14ac:dyDescent="0.45">
      <c r="A668" s="5">
        <v>667</v>
      </c>
      <c r="B668" s="8" t="s">
        <v>447</v>
      </c>
      <c r="C668" s="6" t="s">
        <v>6850</v>
      </c>
      <c r="D668" s="7" t="s">
        <v>9752</v>
      </c>
      <c r="E668" s="6" t="s">
        <v>447</v>
      </c>
      <c r="F668" s="1"/>
      <c r="G668" s="1"/>
      <c r="J668" s="1" t="s">
        <v>9753</v>
      </c>
      <c r="K668" s="2" t="s">
        <v>8610</v>
      </c>
      <c r="L668" s="9" t="s">
        <v>8611</v>
      </c>
      <c r="P668" s="7" t="s">
        <v>1241</v>
      </c>
      <c r="AV668" s="1" t="s">
        <v>38</v>
      </c>
      <c r="BG668" s="7" t="s">
        <v>1503</v>
      </c>
      <c r="BH668" s="1" t="s">
        <v>1872</v>
      </c>
      <c r="BI668" s="1" t="s">
        <v>4073</v>
      </c>
      <c r="BJ668" s="1" t="s">
        <v>1875</v>
      </c>
      <c r="BK668" s="2" t="s">
        <v>4074</v>
      </c>
      <c r="BL668" s="1" t="s">
        <v>1877</v>
      </c>
      <c r="BM668" s="2" t="s">
        <v>4075</v>
      </c>
    </row>
    <row r="669" spans="1:69" ht="162" x14ac:dyDescent="0.45">
      <c r="A669" s="5">
        <v>668</v>
      </c>
      <c r="B669" s="8" t="s">
        <v>448</v>
      </c>
      <c r="C669" s="6" t="s">
        <v>6850</v>
      </c>
      <c r="D669" s="7" t="s">
        <v>9752</v>
      </c>
      <c r="E669" s="1" t="s">
        <v>1338</v>
      </c>
      <c r="F669" s="1" t="s">
        <v>1815</v>
      </c>
      <c r="G669" s="1" t="s">
        <v>1695</v>
      </c>
      <c r="J669" s="1" t="s">
        <v>9753</v>
      </c>
      <c r="K669" s="2"/>
      <c r="L669" s="9" t="s">
        <v>8612</v>
      </c>
      <c r="P669" s="7" t="s">
        <v>1241</v>
      </c>
      <c r="Q669" s="13" t="str">
        <f>INDEX($L:$L, MATCH("prey", $B:$B, 0))</f>
        <v>&lt;span class="w"&gt;&lt;b&gt;【1169.prey：獲物, 犠牲者】&lt;/b&gt;&lt;/span&gt;
&lt;span class="ml"&gt;ラテン語に由来する語で、以下の2つの要素から成る。
&lt;span class="spacer"&gt;&lt;/span&gt;prae（前に）
heda（捕まえる）
&lt;span class="spacer"&gt;&lt;/span&gt;このまま日本語にすると「前にあるものを捕まえる」となる。もともとは、人間が奪い取る物理的な財産を表したが、そこから動物が捕らえる「獲物」という意味になった。
&lt;span class="spacer"&gt;&lt;/span&gt;また詐欺などの犯罪、あるいは恐怖や絶望といった目に見えない感情や状況に捕らわれることを指して、それらの「犠牲者」という意味にもなった。&lt;/span&gt;</v>
      </c>
      <c r="AU669" s="15"/>
      <c r="AV669" s="1" t="s">
        <v>1502</v>
      </c>
      <c r="BG669" s="7" t="s">
        <v>1503</v>
      </c>
      <c r="BH669" s="1" t="s">
        <v>1976</v>
      </c>
      <c r="BI669" s="2" t="s">
        <v>8613</v>
      </c>
      <c r="BJ669" s="1" t="s">
        <v>1947</v>
      </c>
      <c r="BK669" s="2" t="s">
        <v>8614</v>
      </c>
      <c r="BL669" s="1" t="s">
        <v>1877</v>
      </c>
      <c r="BM669" s="2" t="s">
        <v>4076</v>
      </c>
    </row>
    <row r="670" spans="1:69" ht="54" x14ac:dyDescent="0.45">
      <c r="A670" s="5">
        <v>669</v>
      </c>
      <c r="B670" s="8" t="s">
        <v>449</v>
      </c>
      <c r="C670" s="6" t="s">
        <v>6850</v>
      </c>
      <c r="D670" s="7" t="s">
        <v>9752</v>
      </c>
      <c r="E670" s="1" t="s">
        <v>449</v>
      </c>
      <c r="F670" s="1"/>
      <c r="G670" s="1"/>
      <c r="J670" s="1" t="s">
        <v>9753</v>
      </c>
      <c r="K670" s="2" t="s">
        <v>8615</v>
      </c>
      <c r="L670" s="9" t="s">
        <v>8616</v>
      </c>
      <c r="P670" s="7" t="s">
        <v>1241</v>
      </c>
      <c r="AV670" s="1" t="s">
        <v>1502</v>
      </c>
      <c r="BG670" s="7" t="s">
        <v>1503</v>
      </c>
      <c r="BH670" s="1" t="s">
        <v>1872</v>
      </c>
      <c r="BI670" s="1" t="s">
        <v>4077</v>
      </c>
      <c r="BJ670" s="1" t="s">
        <v>1875</v>
      </c>
      <c r="BK670" s="1" t="s">
        <v>4078</v>
      </c>
    </row>
    <row r="671" spans="1:69" ht="144" x14ac:dyDescent="0.45">
      <c r="A671" s="5">
        <v>670</v>
      </c>
      <c r="B671" s="8" t="s">
        <v>450</v>
      </c>
      <c r="C671" s="6" t="s">
        <v>6850</v>
      </c>
      <c r="D671" s="7" t="s">
        <v>9752</v>
      </c>
      <c r="E671" s="6" t="s">
        <v>450</v>
      </c>
      <c r="F671" s="1"/>
      <c r="G671" s="1"/>
      <c r="J671" s="1" t="s">
        <v>9753</v>
      </c>
      <c r="K671" s="2" t="s">
        <v>8617</v>
      </c>
      <c r="L671" s="9" t="s">
        <v>8618</v>
      </c>
      <c r="P671" s="7" t="s">
        <v>1241</v>
      </c>
      <c r="AU671" s="15"/>
      <c r="AV671" s="1" t="s">
        <v>1502</v>
      </c>
      <c r="BG671" s="7" t="s">
        <v>1503</v>
      </c>
      <c r="BH671" s="1" t="s">
        <v>3250</v>
      </c>
      <c r="BI671" s="2" t="s">
        <v>4079</v>
      </c>
      <c r="BJ671" s="1" t="s">
        <v>1875</v>
      </c>
      <c r="BK671" s="2" t="s">
        <v>4080</v>
      </c>
      <c r="BL671" s="1" t="s">
        <v>1877</v>
      </c>
      <c r="BM671" s="2" t="s">
        <v>4081</v>
      </c>
    </row>
    <row r="672" spans="1:69" ht="126" x14ac:dyDescent="0.45">
      <c r="A672" s="5">
        <v>671</v>
      </c>
      <c r="B672" s="8" t="s">
        <v>4082</v>
      </c>
      <c r="C672" s="6" t="s">
        <v>6850</v>
      </c>
      <c r="D672" s="7" t="s">
        <v>9752</v>
      </c>
      <c r="E672" s="1" t="s">
        <v>4082</v>
      </c>
      <c r="F672" s="1"/>
      <c r="G672" s="1"/>
      <c r="J672" s="1" t="s">
        <v>9753</v>
      </c>
      <c r="K672" s="2" t="s">
        <v>8619</v>
      </c>
      <c r="L672" s="2" t="s">
        <v>8620</v>
      </c>
      <c r="P672" s="7" t="s">
        <v>1241</v>
      </c>
      <c r="Q672" s="13" t="str">
        <f>INDEX($L:$L, MATCH("false", $B:$B, 0))</f>
        <v>&lt;span class="w"&gt;&lt;b&gt;【292.false：間違った, 偽の】&lt;/b&gt;&lt;/span&gt;
&lt;span class="ml"&gt;ラテン語fallere（欺く, 騙す）の過去分詞falsus（欺くような, 偽の）に由来する。
&lt;span class="spacer"&gt;&lt;/span&gt;騙すということは、当然「本当ではない、本物ではない」となる。ここから「間違った, 偽の」という意味になる。&lt;/span&gt;</v>
      </c>
      <c r="AU672" s="15"/>
      <c r="AV672" s="1" t="s">
        <v>1502</v>
      </c>
      <c r="BG672" s="7" t="s">
        <v>1503</v>
      </c>
      <c r="BH672" s="1" t="s">
        <v>1947</v>
      </c>
      <c r="BI672" s="2" t="s">
        <v>4083</v>
      </c>
      <c r="BJ672" s="1" t="s">
        <v>2026</v>
      </c>
      <c r="BK672" s="1" t="s">
        <v>4084</v>
      </c>
      <c r="BL672" s="1" t="s">
        <v>1959</v>
      </c>
      <c r="BM672" s="1" t="s">
        <v>4085</v>
      </c>
      <c r="BN672" s="1" t="s">
        <v>1875</v>
      </c>
      <c r="BO672" s="2" t="s">
        <v>4086</v>
      </c>
      <c r="BP672" s="1" t="s">
        <v>1877</v>
      </c>
      <c r="BQ672" s="2" t="s">
        <v>4087</v>
      </c>
    </row>
    <row r="673" spans="1:69" ht="234" x14ac:dyDescent="0.45">
      <c r="A673" s="5">
        <v>672</v>
      </c>
      <c r="B673" s="8" t="s">
        <v>451</v>
      </c>
      <c r="C673" s="6" t="s">
        <v>6850</v>
      </c>
      <c r="D673" s="7" t="s">
        <v>9752</v>
      </c>
      <c r="E673" s="1" t="s">
        <v>1505</v>
      </c>
      <c r="F673" s="1" t="s">
        <v>1347</v>
      </c>
      <c r="G673" s="1"/>
      <c r="J673" s="1" t="s">
        <v>9753</v>
      </c>
      <c r="K673" s="2" t="s">
        <v>8621</v>
      </c>
      <c r="L673" s="4" t="s">
        <v>8622</v>
      </c>
      <c r="M673" s="1" t="s">
        <v>12164</v>
      </c>
      <c r="P673" s="7" t="s">
        <v>1241</v>
      </c>
      <c r="Q673" s="14" t="str">
        <f>INDEX($L:$L, MATCH("account", $B:$B, 0))</f>
        <v>&lt;span class="w"&gt;&lt;b&gt;【147.account：説明, 勘定, 口座】&lt;/b&gt;&lt;/span&gt;
&lt;span class="ml"&gt;ラテン語のcom（共に）＋putare（計算する）を経た古フランス語に由来し、以下の2つの要素から成る。
&lt;span class="spacer"&gt;&lt;/span&gt;a（～へ）
cont（計算）
&lt;span class="spacer"&gt;&lt;/span&gt;このまま日本語にすると「〜への計算」となる。これは特にお金の計算やそれに関する意味へと発展していく。
&lt;span class="spacer"&gt;&lt;/span&gt;お金のやり取りの計算やそれを記したものから「勘定, 口座」という意味になる。また、預かっているお金がどうなっているかを詳細に説明することから、一般的な行動の「説明」という意味になる。&lt;/span&gt;</v>
      </c>
      <c r="R673" s="14" t="str">
        <f>INDEX($L:$L, MATCH("dispute", $B:$B, 0))</f>
        <v>&lt;span class="w"&gt;&lt;b&gt;【1018.dispute：〜に異議を唱える, 議論する】&lt;/b&gt;&lt;/span&gt;
&lt;span class="ml"&gt;ラテン語に由来する語で、以下の2つの要素から成る。
&lt;span class="spacer"&gt;&lt;/span&gt;dis（分けて）
putare（考える, 計算する）
&lt;span class="spacer"&gt;&lt;/span&gt;このまま日本語にすると「分けて考える」となる。複数の立場やさまざまな意見をもとに物事を考えることから「議論する」という意味になった。さらに、議論の中では当然相手と反対の意見が出てきて激しく対立することがあるため、相手に対して「異議を唱える」という意味にもなった。
&lt;div class="sample_image dispute"&gt;&lt;/div&gt;&lt;/span&gt;</v>
      </c>
      <c r="S673" s="13" t="str">
        <f>INDEX($L:$L, MATCH("compute", $B:$B, 0))</f>
        <v>&lt;span class="w"&gt;&lt;b&gt;【1332.compute：計算する】&lt;/b&gt;&lt;/span&gt;
&lt;span class="ml"&gt;ラテン語に由来する語で、以下の2つの要素から成る。
&lt;span class="spacer"&gt;&lt;/span&gt;com（共に）
putare（剪定する, 計算する）
&lt;span class="spacer"&gt;&lt;/span&gt;pute部分は、もともとは不要な枝を剪定して、木をすっきりと綺麗にする行為を表した。そこから意味が抽象化して、頭の中の不要な要素を切り捨てて整理する＝考えることや、数をきれいに整理する＝計算することへとつながった。
&lt;span class="spacer"&gt;&lt;/span&gt;computeは、複数の数字や要素を一緒に整理して考えることから「計算する」やコンピュータなどで「処理する」という意味になった。&lt;/span&gt;</v>
      </c>
      <c r="T673" s="13" t="str">
        <f>INDEX($L:$L, MATCH("reputation", $B:$B, 0))</f>
        <v>&lt;span class="w"&gt;&lt;b&gt;【678.reputation：評判, 名声】&lt;/b&gt;&lt;/span&gt;
&lt;span class="ml"&gt;ラテン語に由来する語で、以下の3つの要素から成る。
&lt;span class="spacer"&gt;&lt;/span&gt;re（再び, 繰り返し）
putare（判断する）
io（名詞化）
&lt;span class="spacer"&gt;&lt;/span&gt;このまま日本語にすると「繰り返し判断すること」となる。人々が何度も判断する、世間から何度も評価されるといったニュアンスから「評判, 名声」という意味になった。
&lt;div class="sample_image reputation"&gt;&lt;/div&gt;&lt;/span&gt;</v>
      </c>
      <c r="AU673" s="15"/>
      <c r="AV673" s="1" t="s">
        <v>1502</v>
      </c>
      <c r="BG673" s="7" t="s">
        <v>1503</v>
      </c>
      <c r="BH673" s="1" t="s">
        <v>1947</v>
      </c>
      <c r="BI673" s="2" t="s">
        <v>4088</v>
      </c>
      <c r="BJ673" s="1" t="s">
        <v>1967</v>
      </c>
      <c r="BK673" s="2" t="s">
        <v>4089</v>
      </c>
      <c r="BL673" s="1" t="s">
        <v>1996</v>
      </c>
      <c r="BM673" s="2" t="s">
        <v>4090</v>
      </c>
      <c r="BN673" s="1" t="s">
        <v>1877</v>
      </c>
      <c r="BO673" s="2" t="s">
        <v>4091</v>
      </c>
    </row>
    <row r="674" spans="1:69" ht="162" x14ac:dyDescent="0.45">
      <c r="A674" s="5">
        <v>673</v>
      </c>
      <c r="B674" s="8" t="s">
        <v>452</v>
      </c>
      <c r="C674" s="6" t="s">
        <v>6850</v>
      </c>
      <c r="D674" s="7" t="s">
        <v>9752</v>
      </c>
      <c r="E674" s="1" t="s">
        <v>452</v>
      </c>
      <c r="F674" s="1"/>
      <c r="G674" s="1"/>
      <c r="J674" s="1" t="s">
        <v>9753</v>
      </c>
      <c r="K674" s="2" t="s">
        <v>8623</v>
      </c>
      <c r="L674" s="3" t="s">
        <v>8665</v>
      </c>
      <c r="P674" s="7" t="s">
        <v>1241</v>
      </c>
      <c r="AV674" s="1" t="s">
        <v>1502</v>
      </c>
      <c r="BG674" s="7" t="s">
        <v>1503</v>
      </c>
      <c r="BH674" s="1" t="s">
        <v>1996</v>
      </c>
      <c r="BI674" s="1" t="s">
        <v>4092</v>
      </c>
      <c r="BJ674" s="1" t="s">
        <v>1877</v>
      </c>
      <c r="BK674" s="2" t="s">
        <v>8624</v>
      </c>
    </row>
    <row r="675" spans="1:69" ht="126" x14ac:dyDescent="0.45">
      <c r="A675" s="5">
        <v>674</v>
      </c>
      <c r="B675" s="8" t="s">
        <v>3972</v>
      </c>
      <c r="C675" s="6" t="s">
        <v>6850</v>
      </c>
      <c r="D675" s="7" t="s">
        <v>9752</v>
      </c>
      <c r="E675" s="1" t="s">
        <v>1308</v>
      </c>
      <c r="F675" s="1" t="s">
        <v>8979</v>
      </c>
      <c r="G675" s="1" t="s">
        <v>1755</v>
      </c>
      <c r="J675" s="1" t="s">
        <v>9753</v>
      </c>
      <c r="K675" s="2" t="s">
        <v>8625</v>
      </c>
      <c r="L675" s="2" t="s">
        <v>8626</v>
      </c>
      <c r="P675" s="7" t="s">
        <v>1241</v>
      </c>
      <c r="Q675" s="13" t="str">
        <f>INDEX($L:$L, MATCH("operate", $B:$B, 0))</f>
        <v>&lt;span class="w"&gt;&lt;b&gt;【331.operate：～を操作する, ～を手術する】&lt;/b&gt;&lt;/span&gt;
&lt;span class="ml"&gt;ラテン語opus（仕事, 成果）から派生した動詞operari（働く, 作用する, 活動する）に由来する。
&lt;span class="spacer"&gt;&lt;/span&gt;この語の核は「何かの作業によって成果をもたらす」ということ。ここから外科の「手術する」や、機械などを「操作する」という意味になる。&lt;/span&gt;</v>
      </c>
      <c r="R675" s="13" t="str">
        <f>INDEX($L:$L, MATCH("official", $B:$B, 0))</f>
        <v>&lt;span class="w"&gt;&lt;b&gt;【187.official：公用の, 公式の, 役所の】&lt;/b&gt;&lt;/span&gt;
&lt;span class="ml"&gt;ラテン語に由来する語で、以下の3つの要素から成る。
&lt;span class="spacer"&gt;&lt;/span&gt;ops（力, 資源）
facere（作る, 行う）
alis（形容詞化）
&lt;span class="spacer"&gt;&lt;/span&gt;これは「力や資源を使って社会のために行うこと」というイメージ。そこから「社会の中で果たすべき役割・義務」という意味になり、さらに「公的な職務に関わる」という意味を経て「公式の, 公用の, 役所の」という意味になった。
&lt;span class="spacer"&gt;&lt;/span&gt;ops（力, 資源）の使い道が社会的なものだったことから、ops＋facereに由来する語には「社会」や「公的性」との結びつきが見られる。たとえばoffice（職場, 公職, 役所）やofficer（役人, 組織の役員）は、現在では一般的な意味で使われることが多いが、公的な職務に関する意味もある。&lt;/span&gt;</v>
      </c>
      <c r="AU675" s="15"/>
      <c r="AV675" s="1" t="s">
        <v>1502</v>
      </c>
      <c r="BG675" s="7" t="s">
        <v>1503</v>
      </c>
      <c r="BH675" s="1" t="s">
        <v>1947</v>
      </c>
      <c r="BI675" s="2" t="s">
        <v>4093</v>
      </c>
      <c r="BJ675" s="1" t="s">
        <v>2036</v>
      </c>
      <c r="BK675" s="2" t="s">
        <v>4094</v>
      </c>
      <c r="BL675" s="1" t="s">
        <v>1996</v>
      </c>
      <c r="BM675" s="1" t="s">
        <v>4095</v>
      </c>
      <c r="BN675" s="1" t="s">
        <v>1877</v>
      </c>
      <c r="BO675" s="2" t="s">
        <v>4096</v>
      </c>
    </row>
    <row r="676" spans="1:69" ht="126" x14ac:dyDescent="0.45">
      <c r="A676" s="5">
        <v>675</v>
      </c>
      <c r="B676" s="8" t="s">
        <v>453</v>
      </c>
      <c r="C676" s="6" t="s">
        <v>6850</v>
      </c>
      <c r="D676" s="7" t="s">
        <v>9752</v>
      </c>
      <c r="E676" s="1" t="s">
        <v>1928</v>
      </c>
      <c r="F676" s="1" t="s">
        <v>1698</v>
      </c>
      <c r="G676" s="1"/>
      <c r="J676" s="1" t="s">
        <v>9753</v>
      </c>
      <c r="K676" s="2"/>
      <c r="L676" s="3" t="s">
        <v>8666</v>
      </c>
      <c r="P676" s="7" t="s">
        <v>1241</v>
      </c>
      <c r="AU676" s="15"/>
      <c r="AV676" s="1" t="s">
        <v>1502</v>
      </c>
      <c r="BG676" s="7" t="s">
        <v>1503</v>
      </c>
      <c r="BH676" s="1" t="s">
        <v>1947</v>
      </c>
      <c r="BI676" s="2" t="s">
        <v>4097</v>
      </c>
      <c r="BJ676" s="1" t="s">
        <v>1959</v>
      </c>
      <c r="BK676" s="1" t="s">
        <v>4098</v>
      </c>
      <c r="BL676" s="1" t="s">
        <v>2114</v>
      </c>
      <c r="BM676" s="1" t="s">
        <v>4099</v>
      </c>
      <c r="BN676" s="1" t="s">
        <v>1875</v>
      </c>
      <c r="BO676" s="2" t="s">
        <v>4100</v>
      </c>
      <c r="BP676" s="1" t="s">
        <v>1877</v>
      </c>
      <c r="BQ676" s="2" t="s">
        <v>4101</v>
      </c>
    </row>
    <row r="677" spans="1:69" ht="234" x14ac:dyDescent="0.45">
      <c r="A677" s="5">
        <v>676</v>
      </c>
      <c r="B677" s="8" t="s">
        <v>454</v>
      </c>
      <c r="C677" s="6" t="s">
        <v>6850</v>
      </c>
      <c r="D677" s="7" t="s">
        <v>9752</v>
      </c>
      <c r="E677" s="1" t="s">
        <v>1667</v>
      </c>
      <c r="F677" s="1" t="s">
        <v>766</v>
      </c>
      <c r="G677" s="1" t="s">
        <v>1929</v>
      </c>
      <c r="J677" s="1" t="s">
        <v>9753</v>
      </c>
      <c r="K677" s="2"/>
      <c r="L677" s="3" t="s">
        <v>8718</v>
      </c>
      <c r="M677" s="1" t="s">
        <v>12212</v>
      </c>
      <c r="P677" s="7" t="s">
        <v>1241</v>
      </c>
      <c r="Q677" s="14" t="str">
        <f>INDEX($L:$L, MATCH("logic", $B:$B, 0))</f>
        <v>&lt;span class="w"&gt;&lt;b&gt;【652.logic：論理, 論理学】&lt;/b&gt;&lt;/span&gt;
&lt;span class="ml"&gt;ギリシャ語に由来する語で、以下の2つの要素から成る。
&lt;span class="spacer"&gt;&lt;/span&gt;logos（理性, 思考, 言葉, ロゴス）
ikos（形容詞化）
&lt;span class="spacer"&gt;&lt;/span&gt;古代ギリシャにおけるロゴスとは、混沌としているように見える世界の背後にある秩序や法則。人々は理性によってその秩序を理解し、言葉によってその法則を表現・説明した。ここから秩序・法則・理性・言葉という概念が「ロゴス」という言葉で結びつく。
&lt;span class="spacer"&gt;&lt;/span&gt;一貫した秩序（ロゴス）に従って正しく考え、矛盾なく言葉で表現するための方法がロジック＝「論理」という意味になる。&lt;/span&gt;</v>
      </c>
      <c r="R677" s="13" t="str">
        <f>INDEX($L:$L, MATCH("apologize", $B:$B, 0))</f>
        <v>&lt;span class="w"&gt;&lt;b&gt;【813.apologize：謝る（to人, for対象）, 弁明する】&lt;/b&gt;&lt;/span&gt;
&lt;span class="ml"&gt;近代英語にさかのぼり、以下の2つの要素になる。
&lt;span class="spacer"&gt;&lt;/span&gt;apology（謝罪, 弁明）
ize（動詞化）
&lt;span class="spacer"&gt;&lt;/span&gt;apologyはギリシャ語に由来する語で、以下の2つの要素から成る。
&lt;span class="spacer"&gt;&lt;/span&gt;apo（〜に対して）
logos（言葉）
&lt;span class="spacer"&gt;&lt;/span&gt;これは、自分への非難や告発に対して尽くす言葉、つまり自己の「弁明」を表した。そこから意味が変化し、自分の非を認めて後悔を示す「謝罪」という意味になった。&lt;/span&gt;</v>
      </c>
      <c r="AU677" s="15"/>
      <c r="AV677" s="1" t="s">
        <v>1502</v>
      </c>
      <c r="BG677" s="7" t="s">
        <v>1503</v>
      </c>
      <c r="BH677" s="1" t="s">
        <v>2458</v>
      </c>
      <c r="BI677" s="2" t="s">
        <v>4102</v>
      </c>
      <c r="BJ677" s="1" t="s">
        <v>1947</v>
      </c>
      <c r="BK677" s="2" t="s">
        <v>4103</v>
      </c>
      <c r="BL677" s="1" t="s">
        <v>1959</v>
      </c>
      <c r="BM677" s="1" t="s">
        <v>4104</v>
      </c>
      <c r="BN677" s="1" t="s">
        <v>1875</v>
      </c>
      <c r="BO677" s="2" t="s">
        <v>4105</v>
      </c>
    </row>
    <row r="678" spans="1:69" ht="144" x14ac:dyDescent="0.45">
      <c r="A678" s="5">
        <v>677</v>
      </c>
      <c r="B678" s="8" t="s">
        <v>3973</v>
      </c>
      <c r="C678" s="6" t="s">
        <v>6850</v>
      </c>
      <c r="D678" s="7" t="s">
        <v>9752</v>
      </c>
      <c r="E678" s="1" t="s">
        <v>1467</v>
      </c>
      <c r="F678" s="1" t="s">
        <v>4106</v>
      </c>
      <c r="G678" s="1"/>
      <c r="J678" s="1" t="s">
        <v>9753</v>
      </c>
      <c r="K678" s="2"/>
      <c r="L678" s="3" t="s">
        <v>8719</v>
      </c>
      <c r="M678" s="1" t="s">
        <v>12172</v>
      </c>
      <c r="P678" s="7" t="s">
        <v>1241</v>
      </c>
      <c r="Q678" s="13" t="str">
        <f>INDEX($L:$L, MATCH("pose", $B:$B, 0))</f>
        <v>&lt;span class="w"&gt;&lt;b&gt;【804.pose：（危険）を引き起こす, （問題など）を提起する, ポーズをとる, 装う】&lt;/b&gt;&lt;/span&gt;
&lt;span class="ml"&gt;ラテン語に由来する語で、以下の2つの要素から成る。
&lt;span class="spacer"&gt;&lt;/span&gt;pausere（止まる, 休む, 休ませる）
ponere（置く）
&lt;span class="spacer"&gt;&lt;/span&gt;この語の核は「何かを置く」。問題や危険を置くことから「問題を提起する, 危険を引き起こす」という意味になる。またある態度や性格に身を置くことから、態度や性格を「装う」、またモデルなどが「ポーズをとる」という意味になる。
&lt;span class="spacer"&gt;&lt;/span&gt;poseの目的語にくるものを「置く」ことから文に合った訳を考えればよい。
&lt;div class="sample_image pose"&gt;&lt;/div&gt;&lt;/span&gt;</v>
      </c>
      <c r="R678" s="13" t="str">
        <f>INDEX($L:$L, MATCH("expose", $B:$B, 0))</f>
        <v>&lt;span class="w"&gt;&lt;b&gt;【433.expose：～をさらす, 〜を暴露する】&lt;/b&gt;&lt;/span&gt;
&lt;span class="ml"&gt;ラテン語に由来する語で、以下の2つの要素から成る。
&lt;span class="spacer"&gt;&lt;/span&gt;ex（外に）
ponere（置く）
&lt;span class="spacer"&gt;&lt;/span&gt;このまま日本語にすると「外に置く」となる。これは、内側にあるものを外側に置くイメージ。そこから何かを「さらす, 暴露する」という意味になる。
&lt;div class="sample_image expose"&gt;&lt;/div&gt;&lt;/span&gt;</v>
      </c>
      <c r="S678" s="13" t="str">
        <f>INDEX($L:$L, MATCH("impose", $B:$B, 0))</f>
        <v>&lt;span class="w"&gt;&lt;b&gt;【826.impose：〜を課す, 〜を押し付ける】&lt;/b&gt;&lt;/span&gt;
&lt;span class="ml"&gt;古フランス語に由来する語で、以下の2つの要素から成る。
&lt;span class="spacer"&gt;&lt;/span&gt;in（中に）
poser（置く）
&lt;span class="spacer"&gt;&lt;/span&gt;このまま日本語にすると「中に置く」となる。相手の領域の中に押し込んで置くイメージから、対象に何かを「押し付ける, 課す」という意味になる。
&lt;div class="sample_image impose"&gt;&lt;/div&gt;&lt;/span&gt;</v>
      </c>
      <c r="T678" s="13" t="str">
        <f>INDEX($L:$L, MATCH("propose", $B:$B, 0))</f>
        <v>&lt;span class="w"&gt;&lt;b&gt;【436.propose：〜を提案する】&lt;/b&gt;&lt;/span&gt;
&lt;span class="ml"&gt;ラテン語に由来する語で、以下の2つの要素から成る。
&lt;span class="spacer"&gt;&lt;/span&gt;pro（前へ）
ponere（置く）
&lt;span class="spacer"&gt;&lt;/span&gt;このまま日本語にすると「前に置く」となる。意見や考えを相手の前に置くイメージから「提案する」という意味になる。&lt;/span&gt;</v>
      </c>
      <c r="U678" s="13" t="str">
        <f>INDEX($L:$L, MATCH("oppose", $B:$B, 0))</f>
        <v>&lt;span class="w"&gt;&lt;b&gt;【513.oppose：〜に反対する, 〜を対抗させる】&lt;/b&gt;&lt;/span&gt;
&lt;span class="ml"&gt;ラテン語に由来する語で、以下の2つの要素から成る。
&lt;span class="spacer"&gt;&lt;/span&gt;ob（〜に対して）
ponere（置く）
&lt;span class="spacer"&gt;&lt;/span&gt;このまま日本語にすると「～に対して置く」となる。相手に対して自分を置く、つまり相手と自分が向かい合うように置くイメージから「反対する, 対抗させる」という意味になる。
&lt;div class="sample_image oppose"&gt;&lt;/div&gt;&lt;/span&gt;</v>
      </c>
      <c r="V678" s="13" t="str">
        <f>INDEX($L:$L, MATCH("dispose", $B:$B, 0))</f>
        <v>&lt;span class="w"&gt;&lt;b&gt;【1435.dispose：（of ~）〜を処分する, （dispose ~ to do）〜する気にさせる】&lt;/b&gt;&lt;/span&gt;
&lt;span class="ml"&gt;ラテン語に由来する語で、以下の2つの要素から成る。
&lt;span class="spacer"&gt;&lt;/span&gt;dis（離れて）
ponere（置く）
&lt;span class="spacer"&gt;&lt;/span&gt;このまま日本語にすると「離して置く」となるが、この語の核は「ごちゃごちゃしたものをそれぞれ離して整理し、あるべき位置へ置く」イメージ。
&lt;span class="spacer"&gt;&lt;/span&gt;不要なもの・問題などを整理して、それがあるべき場所へ置くことから「処分する」という意味になる。
&lt;span class="spacer"&gt;&lt;/span&gt;また相手の気持ちを整理して進むべき方向へ置くことから「何かをする気にさせる」となる。
&lt;span class="spacer"&gt;&lt;/span&gt;dispose 人 to do
人 be disposed to do
&lt;div class="sample_image dispose"&gt;&lt;/div&gt;&lt;/span&gt;</v>
      </c>
      <c r="W678" s="13" t="str">
        <f>INDEX($L:$L, MATCH("compose", $B:$B, 0))</f>
        <v>&lt;span class="w"&gt;&lt;b&gt;【833.compose：～を構成する, ～を創作する】&lt;/b&gt;&lt;/span&gt;
&lt;span class="ml"&gt;ラテン語に由来する語で、以下の2つの要素から成る。
&lt;span class="spacer"&gt;&lt;/span&gt;com（共に）
ponere（置く）
&lt;span class="spacer"&gt;&lt;/span&gt;このまま日本語にすると「共に置く」となる。2つ以上のものを一緒に置いて全体を形作ることから、構成要素となって全体を作り上げる＝「構成する, 創作する」という意味になる。
&lt;div class="sample_image compose"&gt;&lt;/div&gt;&lt;/span&gt;</v>
      </c>
      <c r="X678" s="13" t="str">
        <f>INDEX($L:$L, MATCH("suppose", $B:$B, 0))</f>
        <v>&lt;span class="w"&gt;&lt;b&gt;【121.suppose：～と仮定する, と思う】&lt;/b&gt;&lt;/span&gt;
&lt;span class="ml"&gt;ラテン語に由来する語で、以下の2つの要素から成る。
&lt;span class="spacer"&gt;&lt;/span&gt;sub（下に）
ponere（置く）
&lt;span class="spacer"&gt;&lt;/span&gt;このまま日本語にすると「下に置く」となる。思考において、何かを既にあるものとして土台に置くイメージから、何かを前提として置く＝「仮定する」という意味になる。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&lt;div class="sample_image suppose"&gt;&lt;/div&gt;
&lt;span class="spacer"&gt;&lt;/span&gt;supposeを「前提に置く」というイメージで覚えておけば、be supposed to do A（Aすることになっている）は、要は「Aするということが前提として置かれている」だけだと理解できる。&lt;/span&gt;</v>
      </c>
      <c r="Y678" s="13" t="str">
        <f>INDEX($L:$L, MATCH("positive", $B:$B, 0))</f>
        <v>&lt;span class="w"&gt;&lt;b&gt;【179.positive：肯定的な, 確信して, （検査で）陽性の】&lt;/b&gt;&lt;/span&gt;
&lt;span class="ml"&gt;ラテン語に由来する語で、以下の2つの要素から成る。
&lt;span class="spacer"&gt;&lt;/span&gt;ponere（置く）の過去分詞positus（置かれる）
ivus（形容詞化）
&lt;span class="spacer"&gt;&lt;/span&gt;もともとは法律用語。法や権威あるものによって置かれる、つまり法や権威によって定められて否定のしようがないという意味で使われた。ここから「肯定的な, 確信して, 陽性の」という意味になる。&lt;/span&gt;</v>
      </c>
      <c r="Z678" s="13" t="str">
        <f>INDEX($L:$L, MATCH("deposit", $B:$B, 0))</f>
        <v>&lt;span class="w"&gt;&lt;b&gt;【1315.deposit：〜を置く, 〜を預ける】&lt;/b&gt;&lt;/span&gt;
&lt;span class="ml"&gt;ラテン語に由来する語で、以下の2つの要素から成る。
&lt;span class="spacer"&gt;&lt;/span&gt;de（離れて, 下に）
ponere（置く）
&lt;span class="spacer"&gt;&lt;/span&gt;このまま日本語にすると「離れて置く, 下に置く」となる。物理的に何かを「置く」という意味もあるが、金銭や貴重品を離れた場所に「預ける」という意味にもなる。
&lt;span class="spacer"&gt;&lt;/span&gt;depositのposit部分は、positionと同じなので、そこから「置く」というイメージ持っておくとよい。
&lt;div class="sample_image deposit"&gt;&lt;/div&gt;&lt;/span&gt;</v>
      </c>
      <c r="AA678" s="13" t="str">
        <f>INDEX($L:$L, MATCH("compound", $B:$B, 0))</f>
        <v>&lt;span class="w"&gt;&lt;b&gt;【1129.compound：〜を悪化させる, 〜を合成する, 〜を混合する】&lt;/b&gt;&lt;/span&gt;
&lt;span class="ml"&gt;ラテン語に由来する語で、以下の2つの要素から成る。
&lt;span class="spacer"&gt;&lt;/span&gt;com（共に）
ponere（置く）
&lt;span class="spacer"&gt;&lt;/span&gt;このまま日本語にすると「共に置く」となる。複数のものを一緒にすることから、何かを「合成する, 混合する, 調合する」といった意味になる。さらに、問題や困難などがどんどん一緒に置かれて積もっていくことから、状況や問題などを「悪化させる」という意味にもなる。
&lt;div class="sample_image compound"&gt;&lt;/div&gt;&lt;/span&gt;</v>
      </c>
      <c r="AB678" s="13" t="str">
        <f>INDEX($L:$L, MATCH("postpone", $B:$B, 0))</f>
        <v>&lt;span class="w"&gt;&lt;b&gt;【1134.postpone：〜を延期する】&lt;/b&gt;&lt;/span&gt;
&lt;span class="ml"&gt;ラテン語に由来する語で、以下の2つの要素から成る。
&lt;span class="spacer"&gt;&lt;/span&gt;post（後に）
ponere（置く）
&lt;span class="spacer"&gt;&lt;/span&gt;このまま日本語にすると「後に置く」となる。予定や物事を時間的に後に置くことから「延期する」という意味になる。&lt;/span&gt;
&lt;div class="animation postpone"&gt;&lt;/div&gt;</v>
      </c>
      <c r="AC678" s="13" t="str">
        <f>INDEX($L:$L, MATCH("opponent", $B:$B, 0))</f>
        <v>&lt;span class="w"&gt;&lt;b&gt;【762.opponent：（試合や論争などの）相手, 反対者】&lt;/b&gt;&lt;/span&gt;
&lt;span class="ml"&gt;ラテン語に由来する語で、以下の3つの要素から成る。
&lt;span class="spacer"&gt;&lt;/span&gt;ob（前に, 対して）
ponere（置く）
ens（現在分詞を作る：〜しているもの）
&lt;span class="spacer"&gt;&lt;/span&gt;この語の核は「何かに対立する位置に置いてあるもの」。ここから「対戦相手, 反対者」という意味になる。
&lt;div class="sample_image opponent"&gt;&lt;/div&gt;&lt;/span&gt;</v>
      </c>
      <c r="AD678" s="13" t="str">
        <f>INDEX($L:$L, MATCH("posture", $B:$B, 0))</f>
        <v>&lt;span class="w"&gt;&lt;b&gt;【1451.posture：姿勢, 心構え】&lt;/b&gt;&lt;/span&gt;
&lt;span class="ml"&gt;ラテン語に由来する語で、以下の2つの要素から成る。
&lt;span class="spacer"&gt;&lt;/span&gt;ponere（置く）の過去分詞positus
ura（名詞化）
&lt;span class="spacer"&gt;&lt;/span&gt;このまま日本語にすると「置かれた状態」となる。これは何かの位置や配置を表したが、特に身体の各パーツの位置を指すようになり、そこから身体のポジション＝「姿勢」という意味になった。
&lt;span class="spacer"&gt;&lt;/span&gt;さらにそこから比喩的に、状況に対する心理的な姿勢＝「心構え」という意味にもなった。&lt;/span&gt;</v>
      </c>
      <c r="AE678" s="13" t="str">
        <f>INDEX($L:$L, MATCH("puzzle", $B:$B, 0))</f>
        <v>&lt;span class="w"&gt;&lt;b&gt;【624.puzzle：〜を当惑させる, 〜を困惑させる】&lt;/b&gt;&lt;/span&gt;
&lt;span class="ml"&gt;近代英語pose（難しい問題や質問で当惑させる）にさかのぼる。
&lt;span class="spacer"&gt;&lt;/span&gt;この語はパズルのように「頭に引っかかって前に進めない状態にする」というイメージ。ここから「当惑させる, 困惑させる」という意味になる。
&lt;span class="spacer"&gt;&lt;/span&gt;もともとはposeという形だったが、反復・継続を表すpuzzleという形になった。これにより困惑や当惑が反復・継続している状態、つまり頭の中がぐるぐる回るような状態を表した。&lt;/span&gt;</v>
      </c>
      <c r="AU678" s="15"/>
      <c r="AV678" s="1" t="s">
        <v>1502</v>
      </c>
      <c r="BG678" s="7" t="s">
        <v>1503</v>
      </c>
      <c r="BH678" s="1" t="s">
        <v>1947</v>
      </c>
      <c r="BI678" s="2" t="s">
        <v>4107</v>
      </c>
      <c r="BJ678" s="1" t="s">
        <v>1877</v>
      </c>
      <c r="BK678" s="2" t="s">
        <v>4108</v>
      </c>
    </row>
    <row r="679" spans="1:69" ht="162" x14ac:dyDescent="0.45">
      <c r="A679" s="5">
        <v>678</v>
      </c>
      <c r="B679" s="8" t="s">
        <v>3974</v>
      </c>
      <c r="C679" s="6" t="s">
        <v>6850</v>
      </c>
      <c r="D679" s="7" t="s">
        <v>9752</v>
      </c>
      <c r="E679" s="1" t="s">
        <v>1251</v>
      </c>
      <c r="F679" s="1" t="s">
        <v>8980</v>
      </c>
      <c r="G679" s="1" t="s">
        <v>1580</v>
      </c>
      <c r="J679" s="1" t="s">
        <v>9753</v>
      </c>
      <c r="K679" s="2"/>
      <c r="L679" s="3" t="s">
        <v>8720</v>
      </c>
      <c r="M679" s="1" t="s">
        <v>12164</v>
      </c>
      <c r="P679" s="7" t="s">
        <v>1241</v>
      </c>
      <c r="Q679" s="13" t="str">
        <f>INDEX($L:$L, MATCH("account", $B:$B, 0))</f>
        <v>&lt;span class="w"&gt;&lt;b&gt;【147.account：説明, 勘定, 口座】&lt;/b&gt;&lt;/span&gt;
&lt;span class="ml"&gt;ラテン語のcom（共に）＋putare（計算する）を経た古フランス語に由来し、以下の2つの要素から成る。
&lt;span class="spacer"&gt;&lt;/span&gt;a（～へ）
cont（計算）
&lt;span class="spacer"&gt;&lt;/span&gt;このまま日本語にすると「〜への計算」となる。これは特にお金の計算やそれに関する意味へと発展していく。
&lt;span class="spacer"&gt;&lt;/span&gt;お金のやり取りの計算やそれを記したものから「勘定, 口座」という意味になる。また、預かっているお金がどうなっているかを詳細に説明することから、一般的な行動の「説明」という意味になる。&lt;/span&gt;</v>
      </c>
      <c r="R679" s="13" t="str">
        <f>INDEX($L:$L, MATCH("discount", $B:$B, 0))</f>
        <v>&lt;span class="w"&gt;&lt;b&gt;【672.discount：割引, 値引き】&lt;/b&gt;&lt;/span&gt;
&lt;span class="ml"&gt;中世ラテン語に由来する語で、以下の2つの要素から成る。
&lt;span class="spacer"&gt;&lt;/span&gt;dis（分離, 否定）
computare（数える, 計算する）
&lt;span class="spacer"&gt;&lt;/span&gt;この語の核は「計算からの分離」。つまり、ある部分を含めずに計算することから「割引き, 値引き」という意味になる。&lt;/span&gt;</v>
      </c>
      <c r="S679" s="13" t="str">
        <f>INDEX($L:$L, MATCH("dispute", $B:$B, 0))</f>
        <v>&lt;span class="w"&gt;&lt;b&gt;【1018.dispute：〜に異議を唱える, 議論する】&lt;/b&gt;&lt;/span&gt;
&lt;span class="ml"&gt;ラテン語に由来する語で、以下の2つの要素から成る。
&lt;span class="spacer"&gt;&lt;/span&gt;dis（分けて）
putare（考える, 計算する）
&lt;span class="spacer"&gt;&lt;/span&gt;このまま日本語にすると「分けて考える」となる。複数の立場やさまざまな意見をもとに物事を考えることから「議論する」という意味になった。さらに、議論の中では当然相手と反対の意見が出てきて激しく対立することがあるため、相手に対して「異議を唱える」という意味にもなった。
&lt;div class="sample_image dispute"&gt;&lt;/div&gt;&lt;/span&gt;</v>
      </c>
      <c r="T679" s="13" t="str">
        <f>INDEX($L:$L, MATCH("compute", $B:$B, 0))</f>
        <v>&lt;span class="w"&gt;&lt;b&gt;【1332.compute：計算する】&lt;/b&gt;&lt;/span&gt;
&lt;span class="ml"&gt;ラテン語に由来する語で、以下の2つの要素から成る。
&lt;span class="spacer"&gt;&lt;/span&gt;com（共に）
putare（剪定する, 計算する）
&lt;span class="spacer"&gt;&lt;/span&gt;pute部分は、もともとは不要な枝を剪定して、木をすっきりと綺麗にする行為を表した。そこから意味が抽象化して、頭の中の不要な要素を切り捨てて整理する＝考えることや、数をきれいに整理する＝計算することへとつながった。
&lt;span class="spacer"&gt;&lt;/span&gt;computeは、複数の数字や要素を一緒に整理して考えることから「計算する」やコンピュータなどで「処理する」という意味になった。&lt;/span&gt;</v>
      </c>
      <c r="AU679" s="15"/>
      <c r="AV679" s="1" t="s">
        <v>1502</v>
      </c>
      <c r="BG679" s="7" t="s">
        <v>1503</v>
      </c>
      <c r="BH679" s="1" t="s">
        <v>1947</v>
      </c>
      <c r="BI679" s="2" t="s">
        <v>4109</v>
      </c>
      <c r="BJ679" s="1" t="s">
        <v>1959</v>
      </c>
      <c r="BK679" s="1" t="s">
        <v>4110</v>
      </c>
      <c r="BL679" s="1" t="s">
        <v>1875</v>
      </c>
      <c r="BM679" s="2" t="s">
        <v>4111</v>
      </c>
    </row>
    <row r="680" spans="1:69" ht="108" x14ac:dyDescent="0.45">
      <c r="A680" s="5">
        <v>679</v>
      </c>
      <c r="B680" s="8" t="s">
        <v>455</v>
      </c>
      <c r="C680" s="6" t="s">
        <v>6851</v>
      </c>
      <c r="D680" s="7" t="s">
        <v>9752</v>
      </c>
      <c r="E680" s="1" t="s">
        <v>1816</v>
      </c>
      <c r="F680" s="1" t="s">
        <v>49</v>
      </c>
      <c r="G680" s="1"/>
      <c r="J680" s="1" t="s">
        <v>9753</v>
      </c>
      <c r="K680" s="2" t="s">
        <v>8627</v>
      </c>
      <c r="L680" s="9" t="s">
        <v>8628</v>
      </c>
      <c r="P680" s="7" t="s">
        <v>1241</v>
      </c>
      <c r="Q680" s="13" t="str">
        <f>INDEX($L:$L, MATCH("proverb", $B:$B, 0))</f>
        <v>&lt;span class="w"&gt;&lt;b&gt;【1364.proverb：ことわざ】&lt;/b&gt;&lt;/span&gt;
&lt;span class="ml"&gt;ラテン語に由来する語で、以下の2つの要素から成る。
&lt;span class="spacer"&gt;&lt;/span&gt;pro（前に）
verbum（言葉）
&lt;span class="spacer"&gt;&lt;/span&gt;このまま日本語にすると「前に出された言葉」となる。これは、特定の誰かがひそかに語る言葉ではなく、世間一般の人々の前に出された言葉を指した。つまり多くの人が口にして共有する、社会の教訓や普遍的な真理を伝える短いフレーズ＝「ことわざ」を指した。&lt;/span&gt;</v>
      </c>
      <c r="AU680" s="15"/>
      <c r="AV680" s="1" t="s">
        <v>1502</v>
      </c>
      <c r="BG680" s="7" t="s">
        <v>1503</v>
      </c>
      <c r="BH680" s="1" t="s">
        <v>1947</v>
      </c>
      <c r="BI680" s="2" t="s">
        <v>4112</v>
      </c>
      <c r="BJ680" s="1" t="s">
        <v>2036</v>
      </c>
      <c r="BK680" s="2" t="s">
        <v>4113</v>
      </c>
      <c r="BL680" s="1" t="s">
        <v>1959</v>
      </c>
      <c r="BM680" s="1" t="s">
        <v>455</v>
      </c>
      <c r="BN680" s="1" t="s">
        <v>1875</v>
      </c>
      <c r="BO680" s="2" t="s">
        <v>4114</v>
      </c>
      <c r="BP680" s="1" t="s">
        <v>1877</v>
      </c>
      <c r="BQ680" s="2" t="s">
        <v>4115</v>
      </c>
    </row>
    <row r="681" spans="1:69" ht="108" x14ac:dyDescent="0.45">
      <c r="A681" s="5">
        <v>680</v>
      </c>
      <c r="B681" s="8" t="s">
        <v>456</v>
      </c>
      <c r="C681" s="6" t="s">
        <v>6851</v>
      </c>
      <c r="D681" s="7" t="s">
        <v>9752</v>
      </c>
      <c r="E681" s="1" t="s">
        <v>27</v>
      </c>
      <c r="F681" s="1" t="s">
        <v>1720</v>
      </c>
      <c r="G681" s="1" t="s">
        <v>4116</v>
      </c>
      <c r="J681" s="1" t="s">
        <v>9753</v>
      </c>
      <c r="K681" s="2" t="s">
        <v>8629</v>
      </c>
      <c r="L681" s="9" t="s">
        <v>12252</v>
      </c>
      <c r="P681" s="7" t="s">
        <v>1241</v>
      </c>
      <c r="Q681" s="13" t="str">
        <f>INDEX($L:$L, MATCH("interior", $B:$B, 0))</f>
        <v>&lt;span class="w"&gt;&lt;b&gt;【1284.interior：室内の, 内部の】&lt;/b&gt;&lt;/span&gt;
&lt;span class="ml"&gt;ラテン語に由来する語で、以下の2つの要素から成る。
&lt;span class="spacer"&gt;&lt;/span&gt;inter（内側の, 内部の）
ior（比較級を作る）
&lt;span class="spacer"&gt;&lt;/span&gt;外部があるという前提で、より内側を表して「内部の」や「室内の」という意味になった。&lt;/span&gt;</v>
      </c>
      <c r="R681" s="13" t="str">
        <f>INDEX($L:$L, MATCH("intimate", $B:$B, 0))</f>
        <v>&lt;span class="w"&gt;&lt;b&gt;【1096.intimate：親密な, 密接な】&lt;/b&gt;&lt;/span&gt;
&lt;span class="ml"&gt;ラテン語に由来する語で、以下の2つの要素から成る。
&lt;span class="spacer"&gt;&lt;/span&gt;in（中に）
imus（最上級を作る）
&lt;span class="spacer"&gt;&lt;/span&gt;このまま日本語にすると「最も内側の」となる。心の最も内側を共有できるほど距離が近いイメージから「親密な, 密接な」という意味なる。
&lt;span class="spacer"&gt;&lt;/span&gt;imate部分は、ultimate（究極の）でも使われている。ultimateは、ラテン語ulter（超える）に最上級imusが付いて、最も超えていることから「究極の」という意味になる。&lt;/span&gt;</v>
      </c>
      <c r="AU681" s="15"/>
      <c r="AV681" s="1" t="s">
        <v>1502</v>
      </c>
      <c r="BG681" s="7" t="s">
        <v>1503</v>
      </c>
      <c r="BH681" s="1" t="s">
        <v>1976</v>
      </c>
      <c r="BI681" s="2" t="s">
        <v>4117</v>
      </c>
      <c r="BJ681" s="1" t="s">
        <v>1947</v>
      </c>
      <c r="BK681" s="2" t="s">
        <v>4118</v>
      </c>
      <c r="BL681" s="1" t="s">
        <v>1967</v>
      </c>
      <c r="BM681" s="2" t="s">
        <v>4119</v>
      </c>
      <c r="BN681" s="1" t="s">
        <v>1875</v>
      </c>
      <c r="BO681" s="2" t="s">
        <v>4120</v>
      </c>
      <c r="BP681" s="1" t="s">
        <v>1877</v>
      </c>
      <c r="BQ681" s="2" t="s">
        <v>4121</v>
      </c>
    </row>
    <row r="682" spans="1:69" ht="126" x14ac:dyDescent="0.45">
      <c r="A682" s="5">
        <v>681</v>
      </c>
      <c r="B682" s="8" t="s">
        <v>457</v>
      </c>
      <c r="C682" s="6" t="s">
        <v>6851</v>
      </c>
      <c r="D682" s="7" t="s">
        <v>9752</v>
      </c>
      <c r="E682" s="6" t="s">
        <v>457</v>
      </c>
      <c r="F682" s="1"/>
      <c r="G682" s="1"/>
      <c r="J682" s="1" t="s">
        <v>9753</v>
      </c>
      <c r="K682" s="2"/>
      <c r="L682" s="3" t="s">
        <v>8667</v>
      </c>
      <c r="P682" s="7" t="s">
        <v>1241</v>
      </c>
      <c r="AU682" s="15"/>
      <c r="AV682" s="1" t="s">
        <v>1502</v>
      </c>
      <c r="BG682" s="7" t="s">
        <v>1503</v>
      </c>
      <c r="BH682" s="1" t="s">
        <v>1947</v>
      </c>
      <c r="BI682" s="2" t="s">
        <v>4122</v>
      </c>
      <c r="BJ682" s="1" t="s">
        <v>1959</v>
      </c>
      <c r="BK682" s="2" t="s">
        <v>4123</v>
      </c>
      <c r="BL682" s="1" t="s">
        <v>1875</v>
      </c>
      <c r="BM682" s="2" t="s">
        <v>4124</v>
      </c>
      <c r="BN682" s="1" t="s">
        <v>1877</v>
      </c>
      <c r="BO682" s="2" t="s">
        <v>4125</v>
      </c>
      <c r="BP682" s="1" t="s">
        <v>3496</v>
      </c>
      <c r="BQ682" s="1" t="s">
        <v>4126</v>
      </c>
    </row>
    <row r="683" spans="1:69" ht="108" x14ac:dyDescent="0.45">
      <c r="A683" s="5">
        <v>682</v>
      </c>
      <c r="B683" s="8" t="s">
        <v>3975</v>
      </c>
      <c r="C683" s="6" t="s">
        <v>6851</v>
      </c>
      <c r="D683" s="7" t="s">
        <v>9752</v>
      </c>
      <c r="E683" s="1" t="s">
        <v>1251</v>
      </c>
      <c r="F683" s="1" t="s">
        <v>4127</v>
      </c>
      <c r="G683" s="1"/>
      <c r="J683" s="1" t="s">
        <v>9753</v>
      </c>
      <c r="K683" s="2" t="s">
        <v>8630</v>
      </c>
      <c r="L683" s="2" t="s">
        <v>8631</v>
      </c>
      <c r="M683" s="1" t="s">
        <v>12166</v>
      </c>
      <c r="P683" s="7" t="s">
        <v>1241</v>
      </c>
      <c r="Q683" s="13" t="str">
        <f>INDEX($L:$L, MATCH("motion", $B:$B, 0))</f>
        <v>&lt;span class="w"&gt;&lt;b&gt;【565.motion：動き, 運動】&lt;/b&gt;&lt;/span&gt;
&lt;span class="ml"&gt;ラテン語に由来する語で、以下の2つの要素から成る。
&lt;span class="spacer"&gt;&lt;/span&gt;movere（動かす）
io（名詞化）
&lt;span class="spacer"&gt;&lt;/span&gt;このまま日本語にすると「動かすこと」となり、そのまま「動き, 運動」という意味になる。&lt;/span&gt;</v>
      </c>
      <c r="R683" s="13" t="str">
        <f>INDEX($L:$L, MATCH("emotion", $B:$B, 0))</f>
        <v>&lt;span class="w"&gt;&lt;b&gt;【153.emotion：感情, 情動】&lt;/b&gt;&lt;/span&gt;
&lt;span class="ml"&gt;ラテン語に由来する語で、以下の2つの要素から成る。
&lt;span class="spacer"&gt;&lt;/span&gt;ex（外に）
movere（動かす：moveの語源）
&lt;span class="spacer"&gt;&lt;/span&gt;このまま日本語にすると「外に動かす」となる。外に動く＝揺れ動くというイメージから心が揺れ動く＝「感情, 情動」となる。&lt;/span&gt;</v>
      </c>
      <c r="S683" s="13" t="str">
        <f>INDEX($L:$L, MATCH("promote", $B:$B, 0))</f>
        <v>&lt;span class="w"&gt;&lt;b&gt;【213.promote：～を促進する, （受け身で）昇進する】&lt;/b&gt;&lt;/span&gt;
&lt;span class="ml"&gt;ラテン語に由来する語で、以下の2つの要素から成る。
&lt;span class="spacer"&gt;&lt;/span&gt;pro（前へ）
movere（動かす：moveの語源）
&lt;span class="spacer"&gt;&lt;/span&gt;このまま日本語にすると「前へ動かす」となる。ここから「促進する, 昇進させる」という意味になる。
&lt;span class="spacer"&gt;&lt;/span&gt;&lt;span class="obsolete"&gt;promoteは古フランス語経由で英語に入ったため、英語では動詞となっている。
remoteはラテン語から直接英語に入ったため、英語でも形容詞となっている。&lt;/span&gt;&lt;/span&gt;</v>
      </c>
      <c r="T683" s="13" t="str">
        <f>INDEX($L:$L, MATCH("remove", $B:$B, 0))</f>
        <v>&lt;span class="w"&gt;&lt;b&gt;【234.remove：～を取り除く, ～を解雇する】&lt;/b&gt;&lt;/span&gt;
&lt;span class="ml"&gt;ラテン語に由来する語で、以下の2つの要素から成る。
&lt;span class="spacer"&gt;&lt;/span&gt;re（後ろへ）
movere（動かす：moveの語源）
&lt;span class="spacer"&gt;&lt;/span&gt;このまま日本語にすると「後ろへ動かす」となる。いまある場所から後ろに引っ込めて視界から外すイメージから「取り除く, 解雇する」という意味になる。&lt;/span&gt;</v>
      </c>
      <c r="U683" s="13" t="str">
        <f>INDEX($L:$L, MATCH("mobile", $B:$B, 0))</f>
        <v>&lt;span class="w"&gt;&lt;b&gt;【195.mobile：可動式の, 動かせる】&lt;/b&gt;&lt;/span&gt;
&lt;span class="ml"&gt;ラテン語に由来する語で、以下の2つの要素から成る。
&lt;span class="spacer"&gt;&lt;/span&gt;movere（動かす：moveの語源）
bilis（〜できる）
&lt;span class="spacer"&gt;&lt;/span&gt;ラテン語から意味の変化はほとんどない。&lt;/span&gt;</v>
      </c>
      <c r="V683" s="13" t="str">
        <f>INDEX($L:$L, MATCH("motor", $B:$B, 0))</f>
        <v>&lt;span class="w"&gt;&lt;b&gt;【748.motor：モーター, 原動力】&lt;/b&gt;&lt;/span&gt;
&lt;span class="ml"&gt;ラテン語に由来する語で、以下の2つの要素から成る。
&lt;span class="spacer"&gt;&lt;/span&gt;movere（動かす）
or（〜するもの）
&lt;span class="spacer"&gt;&lt;/span&gt;このまま日本語にすると「動かすもの」つまり「原動力, モーター」という意味になる。&lt;/span&gt;</v>
      </c>
      <c r="W683" s="13" t="str">
        <f>INDEX($L:$L, MATCH("motive", $B:$B, 0))</f>
        <v>&lt;span class="w"&gt;&lt;b&gt;【1274.motive：動機】&lt;/b&gt;&lt;/span&gt;
&lt;span class="ml"&gt;ラテン語に由来する語で、以下の2つの要素から成る。
&lt;span class="spacer"&gt;&lt;/span&gt;movere（動かす）
ivus（形容詞化）
&lt;span class="spacer"&gt;&lt;/span&gt;何かを動かす、駆り立てるという形容詞が名詞となり、人を行動へと動かすもの＝「動機」という意味になった。&lt;/span&gt;</v>
      </c>
      <c r="AU683" s="15"/>
      <c r="AV683" s="1" t="s">
        <v>1502</v>
      </c>
      <c r="BG683" s="7" t="s">
        <v>1503</v>
      </c>
      <c r="BH683" s="1" t="s">
        <v>1947</v>
      </c>
      <c r="BI683" s="2" t="s">
        <v>4128</v>
      </c>
      <c r="BJ683" s="1" t="s">
        <v>1875</v>
      </c>
      <c r="BK683" s="2" t="s">
        <v>4129</v>
      </c>
      <c r="BL683" s="1" t="s">
        <v>1877</v>
      </c>
      <c r="BM683" s="2" t="s">
        <v>4130</v>
      </c>
    </row>
    <row r="684" spans="1:69" ht="144" x14ac:dyDescent="0.45">
      <c r="A684" s="5">
        <v>683</v>
      </c>
      <c r="B684" s="8" t="s">
        <v>3976</v>
      </c>
      <c r="C684" s="6" t="s">
        <v>6851</v>
      </c>
      <c r="D684" s="7" t="s">
        <v>9752</v>
      </c>
      <c r="E684" s="1" t="s">
        <v>1470</v>
      </c>
      <c r="F684" s="1" t="s">
        <v>4131</v>
      </c>
      <c r="G684" s="1" t="s">
        <v>49</v>
      </c>
      <c r="J684" s="1" t="s">
        <v>9753</v>
      </c>
      <c r="K684" s="2" t="s">
        <v>8632</v>
      </c>
      <c r="L684" s="2" t="s">
        <v>8633</v>
      </c>
      <c r="M684" s="1" t="s">
        <v>12197</v>
      </c>
      <c r="P684" s="7" t="s">
        <v>1241</v>
      </c>
      <c r="Q684" s="13" t="str">
        <f>INDEX($L:$L, MATCH("anticipate", $B:$B, 0))</f>
        <v>&lt;span class="w"&gt;&lt;b&gt;【923.anticipate：〜を予期する, 期待する】&lt;/b&gt;&lt;/span&gt;
&lt;span class="ml"&gt;ラテン語に由来する語で、以下の2つの要素から成る。
&lt;span class="spacer"&gt;&lt;/span&gt;anti（前に）
capere（取る）
&lt;span class="spacer"&gt;&lt;/span&gt;このまま日本語にすると「前もって取る」となる。何かが起こる前に先取りするイメージから、将来起こることを「予期する」という意味になる。
&lt;div class="sample_image anticipate"&gt;&lt;/div&gt;&lt;/span&gt;</v>
      </c>
      <c r="R684" s="13" t="str">
        <f>INDEX($L:$L, MATCH("participate", $B:$B, 0))</f>
        <v>&lt;span class="w"&gt;&lt;b&gt;【332.participate：参加する】&lt;/b&gt;&lt;/span&gt;
&lt;span class="ml"&gt;ラテン語に由来する語で、以下の2つの要素から成る。
&lt;span class="spacer"&gt;&lt;/span&gt;pars（部分, パート）
capere（取る）
&lt;span class="spacer"&gt;&lt;/span&gt;このまま日本語にすると「部分を取る」となる。全体の中である役割や取り分を取ることから「参加する」という意味になる。
&lt;span class="spacer"&gt;&lt;/span&gt;英語take part in（〜に参加する）も同じ。&lt;/span&gt;</v>
      </c>
      <c r="S684" s="13" t="str">
        <f>INDEX($L:$L, MATCH("principle", $B:$B, 0))</f>
        <v>&lt;span class="w"&gt;&lt;b&gt;【343.principle：原理, 原則, 主義, 信条】&lt;/b&gt;&lt;/span&gt;
&lt;span class="ml"&gt;ラテン語に由来する語で、以下の2つの要素から成る。
&lt;span class="spacer"&gt;&lt;/span&gt;primus（第一の）
capere（取る）
&lt;span class="spacer"&gt;&lt;/span&gt;このまま日本語にすると「第一を取る」となる。1番目のポジションを取ることから、何かが成り立つための土台＝「原理, 原則」や、行動の土台となる「主義, 信条」という意味になる。&lt;/span&gt;</v>
      </c>
      <c r="T684" s="13" t="str">
        <f>INDEX($L:$L, MATCH("capacity", $B:$B, 0))</f>
        <v>&lt;span class="w"&gt;&lt;b&gt;【348.capacity：容量, 収容能力】&lt;/b&gt;&lt;/span&gt;
&lt;span class="ml"&gt;ラテン語capere（取る）から派生した名詞capacitas（容量, 多くを収容できる能力）に由来する。
&lt;span class="spacer"&gt;&lt;/span&gt;取ることから、多くを保持できること＝「収容能力, 容量」という意味になる。&lt;/span&gt;</v>
      </c>
      <c r="U684" s="13" t="str">
        <f>INDEX($L:$L, MATCH("capable", $B:$B, 0))</f>
        <v>&lt;span class="w"&gt;&lt;b&gt;【381.capable：能力がある】&lt;/b&gt;&lt;/span&gt;
&lt;span class="ml"&gt;ラテン語に由来する語で、以下の2つの要素から成る。
&lt;span class="spacer"&gt;&lt;/span&gt;capere（つかむ, 取る）
bilis（～できる）
&lt;span class="spacer"&gt;&lt;/span&gt;このまま日本語にすると「つかむことができる」となる。もともとは、物や内容を受け入れることができるという意味で、そこから「受け入れる器がある」というニュアンスが生まれた（→capacity）。さらに受け入れたことを理解して扱えるという意味へと広がり、現在の「能力がある」という意味になった。&lt;/span&gt;</v>
      </c>
      <c r="V684" s="13" t="str">
        <f>INDEX($L:$L, MATCH("capture", $B:$B, 0))</f>
        <v>&lt;span class="w"&gt;&lt;b&gt;【610.capture：〜をとらえる】&lt;/b&gt;&lt;/span&gt;
&lt;span class="ml"&gt;ラテン語capere（取る, つかむ）に由来する。
&lt;span class="spacer"&gt;&lt;/span&gt;この語の核は「対象をつかんで自分のもとに置く」。単に取るだけでなく、逃げられない状態にすることを含む。そこから、人や物を「捕える」という意味になり、さらに比喩的に、注意・感情・映像などをとらえるという意味にも広がった。&lt;/span&gt;</v>
      </c>
      <c r="W684" s="13" t="str">
        <f>INDEX($L:$L, MATCH("prime", $B:$B, 0))</f>
        <v>&lt;span class="w"&gt;&lt;b&gt;【579.prime：主要な, 最も重要な】&lt;/b&gt;&lt;/span&gt;
&lt;span class="ml"&gt;ラテン語primus（第一の, 主要な）に由来する。これは「前」を表すpri部分の最上級で「最も前」と考えればよい。
&lt;span class="spacer"&gt;&lt;/span&gt;「最も前」ということから、程度や重要性において第一、つまり「主要な, 最も重要な」という意味になる。&lt;/span&gt;</v>
      </c>
      <c r="X684" s="13" t="str">
        <f>INDEX($L:$L, MATCH("primitive", $B:$B, 0))</f>
        <v>&lt;span class="w"&gt;&lt;b&gt;【786.primitive：原始的な】&lt;/b&gt;&lt;/span&gt;
&lt;span class="ml"&gt;ラテン語に由来する語で、以下の2つの要素から成る。
&lt;span class="spacer"&gt;&lt;/span&gt;primus（第一の, 最初の）
ivus（形容詞化）
&lt;span class="spacer"&gt;&lt;/span&gt;この語の核は「初期の時代」。人類や社会の発展において、初期の時代に属するということから「原始的な」という意味になった。&lt;/span&gt;</v>
      </c>
      <c r="Y684" s="13" t="str">
        <f>INDEX($L:$L, MATCH("primate", $B:$B, 0))</f>
        <v>&lt;span class="w"&gt;&lt;b&gt;【775.primate：霊長類, 霊長目の動物】&lt;/b&gt;&lt;/span&gt;
&lt;span class="ml"&gt;ラテン語primus（第一の）に由来する。
&lt;span class="spacer"&gt;&lt;/span&gt;この語の核は「第一のもの」。もともとは、キリスト教において、教区内で聖職者の最高位である「大司教」を意味した。
&lt;span class="spacer"&gt;&lt;/span&gt;さらにそこから、近代において、あらゆる動物の中で哺乳類が最高位と見なされていたことから「霊長類, 霊長目の動物」という意味になり、こちらが一般的に使われるようになった。&lt;/span&gt;</v>
      </c>
      <c r="AU684" s="15"/>
      <c r="AV684" s="1" t="s">
        <v>1502</v>
      </c>
      <c r="BG684" s="7" t="s">
        <v>1503</v>
      </c>
      <c r="BH684" s="1" t="s">
        <v>1947</v>
      </c>
      <c r="BI684" s="2" t="s">
        <v>4132</v>
      </c>
      <c r="BJ684" s="1" t="s">
        <v>1959</v>
      </c>
      <c r="BK684" s="1" t="s">
        <v>4133</v>
      </c>
      <c r="BL684" s="1" t="s">
        <v>1875</v>
      </c>
      <c r="BM684" s="2" t="s">
        <v>4134</v>
      </c>
    </row>
    <row r="685" spans="1:69" ht="234" x14ac:dyDescent="0.45">
      <c r="A685" s="5">
        <v>684</v>
      </c>
      <c r="B685" s="8" t="s">
        <v>458</v>
      </c>
      <c r="C685" s="6" t="s">
        <v>6851</v>
      </c>
      <c r="D685" s="7" t="s">
        <v>9752</v>
      </c>
      <c r="E685" s="1" t="s">
        <v>1817</v>
      </c>
      <c r="F685" s="1" t="s">
        <v>1551</v>
      </c>
      <c r="G685" s="1" t="s">
        <v>1818</v>
      </c>
      <c r="H685" s="1" t="s">
        <v>1819</v>
      </c>
      <c r="J685" s="1" t="s">
        <v>9753</v>
      </c>
      <c r="K685" s="2" t="s">
        <v>8634</v>
      </c>
      <c r="L685" s="9" t="s">
        <v>8635</v>
      </c>
      <c r="P685" s="7" t="s">
        <v>1241</v>
      </c>
      <c r="Q685" s="13" t="str">
        <f>INDEX($L:$L, MATCH("philosophy", $B:$B, 0))</f>
        <v>&lt;span class="w"&gt;&lt;b&gt;【469.philosophy：哲学, 人生観】&lt;/b&gt;&lt;/span&gt;
&lt;span class="ml"&gt;ギリシャ語に由来する語で、以下の2つの要素から成る。
&lt;span class="spacer"&gt;&lt;/span&gt;philo（愛する）
sophia（知恵）
&lt;span class="spacer"&gt;&lt;/span&gt;このまま日本語にすると「知恵を愛する」となる。知恵を愛して求め続ける姿勢から、真理や本質について考えて探究する学問である「哲学」と言う意味になった。&lt;/span&gt;</v>
      </c>
      <c r="AU685" s="15"/>
      <c r="AV685" s="1" t="s">
        <v>1502</v>
      </c>
      <c r="BG685" s="7" t="s">
        <v>1503</v>
      </c>
      <c r="BH685" s="1" t="s">
        <v>2458</v>
      </c>
      <c r="BI685" s="2" t="s">
        <v>8636</v>
      </c>
      <c r="BJ685" s="1" t="s">
        <v>1947</v>
      </c>
      <c r="BK685" s="2" t="s">
        <v>4135</v>
      </c>
      <c r="BL685" s="1" t="s">
        <v>1967</v>
      </c>
      <c r="BM685" s="2" t="s">
        <v>4136</v>
      </c>
      <c r="BN685" s="1" t="s">
        <v>1875</v>
      </c>
      <c r="BO685" s="2" t="s">
        <v>4137</v>
      </c>
      <c r="BP685" s="1" t="s">
        <v>1877</v>
      </c>
      <c r="BQ685" s="2" t="s">
        <v>4138</v>
      </c>
    </row>
    <row r="686" spans="1:69" ht="144" x14ac:dyDescent="0.45">
      <c r="A686" s="5">
        <v>685</v>
      </c>
      <c r="B686" s="8" t="s">
        <v>4139</v>
      </c>
      <c r="C686" s="6" t="s">
        <v>6851</v>
      </c>
      <c r="D686" s="7" t="s">
        <v>9752</v>
      </c>
      <c r="E686" s="1" t="s">
        <v>4140</v>
      </c>
      <c r="F686" s="1" t="s">
        <v>4141</v>
      </c>
      <c r="G686" s="1" t="s">
        <v>1698</v>
      </c>
      <c r="J686" s="1" t="s">
        <v>9753</v>
      </c>
      <c r="K686" s="2" t="s">
        <v>8637</v>
      </c>
      <c r="L686" s="2" t="s">
        <v>8638</v>
      </c>
      <c r="M686" s="1" t="s">
        <v>12134</v>
      </c>
      <c r="P686" s="7" t="s">
        <v>1241</v>
      </c>
      <c r="Q686" s="13" t="str">
        <f>INDEX($L:$L, MATCH("value", $B:$B, 0))</f>
        <v>&lt;span class="w"&gt;&lt;b&gt;【55.value：価値, 評価, 値】&lt;/b&gt;&lt;/span&gt;
&lt;span class="ml"&gt;ラテン語valere（価値がある, 強い）に由来する。
&lt;span class="spacer"&gt;&lt;/span&gt;価値があるという動詞から名詞になり、「価値, 評価, 値」という意味になる。&lt;/span&gt;</v>
      </c>
      <c r="R686" s="13" t="str">
        <f>INDEX($L:$L, MATCH("available", $B:$B, 0))</f>
        <v>&lt;span class="w"&gt;&lt;b&gt;【93.available：利用できる, 手に入る】&lt;/b&gt;&lt;/span&gt;
&lt;span class="ml"&gt;ラテン語と古フランス語に由来する語で、以下の3つの要素から成る。
&lt;span class="spacer"&gt;&lt;/span&gt;a（〜へ）
valoir（価値がある：ラテン語valere）
&lt;span class="obsolete"&gt;able（できる）は英語段階で付いた&lt;/span&gt;
&lt;span class="spacer"&gt;&lt;/span&gt;aとvaloirから「何かに対して価値がある」つまり「何かに役立つ, 有用である（avail）」となる。役立つということは、必要なときに使える状態でなければならない（使えなければ役立たない）。ここから「手に入る」そして「利用できる」という意味になる。&lt;/span&gt;</v>
      </c>
      <c r="S686" s="13" t="str">
        <f>INDEX($L:$L, MATCH("evaluate", $B:$B, 0))</f>
        <v>&lt;span class="w"&gt;&lt;b&gt;【719.evaluate：〜を評価する, 〜を査定する】&lt;/b&gt;&lt;/span&gt;
&lt;span class="ml"&gt;古フランス語に由来し、以下の2つの要素から成る。
&lt;span class="spacer"&gt;&lt;/span&gt;é（外へ）
valuer（価値を置く）
&lt;span class="spacer"&gt;&lt;/span&gt;このまま日本語にすると「外へ価値を置く」となる。つまり何かの価値を見出すことを表して「評価する, 査定する」という意味になる。&lt;/span&gt;</v>
      </c>
      <c r="T686" s="13" t="str">
        <f>INDEX($L:$L, MATCH("valid", $B:$B, 0))</f>
        <v>&lt;span class="w"&gt;&lt;b&gt;【1080.valid：妥当な, 正当な, 有効な】&lt;/b&gt;&lt;/span&gt;
&lt;span class="ml"&gt;ラテン語に由来する語で、以下の2つの要素から成る。
&lt;span class="spacer"&gt;&lt;/span&gt;valere（強い, 力がある）
idus（形容詞化）
&lt;span class="spacer"&gt;&lt;/span&gt;この語の核は「強い状態にある」「力を持っている」。法律・ルール・条件などを満たして力を持っている状態から「有効な」という意味になる。また、意見や主張などが論理的に頑丈で崩れることのない強い状態にあることから「正当な, 妥当な」という意味になる。
&lt;div class="sample_image valid"&gt;&lt;/div&gt;&lt;/span&gt;</v>
      </c>
      <c r="U686" s="13" t="str">
        <f>INDEX($L:$L, MATCH("prevail", $B:$B, 0))</f>
        <v>&lt;span class="w"&gt;&lt;b&gt;【1340.prevail：普及している, 支配的である, 圧倒している, 打ち勝つ】&lt;/b&gt;&lt;/span&gt;
&lt;span class="ml"&gt;ラテン語に由来する語で、以下の2つの要素から成る。
&lt;span class="spacer"&gt;&lt;/span&gt;prae（前に）
valere（力を持つ, 強い）
&lt;span class="spacer"&gt;&lt;/span&gt;この語の核は「他者の前へ立って力を見せつける」イメージ。そこから、物理的に力で相手を「圧倒している, 打ち勝つ」という意味になる。
&lt;span class="spacer"&gt;&lt;/span&gt;また、強い力を持って社会全体を覆い尽くすイメージから、考え方や習慣、あるいは病気などが「支配的である, 普及している」という意味にもなる。
&lt;div class="sample_image prevail"&gt;&lt;/div&gt;&lt;/span&gt;</v>
      </c>
      <c r="AU686" s="15"/>
      <c r="AV686" s="1" t="s">
        <v>1502</v>
      </c>
      <c r="BG686" s="7" t="s">
        <v>1503</v>
      </c>
      <c r="BH686" s="1" t="s">
        <v>1947</v>
      </c>
      <c r="BI686" s="2" t="s">
        <v>4142</v>
      </c>
      <c r="BJ686" s="1" t="s">
        <v>1875</v>
      </c>
      <c r="BK686" s="2" t="s">
        <v>4143</v>
      </c>
    </row>
    <row r="687" spans="1:69" ht="144" x14ac:dyDescent="0.45">
      <c r="A687" s="5">
        <v>686</v>
      </c>
      <c r="B687" s="8" t="s">
        <v>3977</v>
      </c>
      <c r="C687" s="6" t="s">
        <v>6851</v>
      </c>
      <c r="D687" s="7" t="s">
        <v>9752</v>
      </c>
      <c r="E687" s="1" t="s">
        <v>5228</v>
      </c>
      <c r="F687" s="1" t="s">
        <v>1580</v>
      </c>
      <c r="G687" s="1" t="s">
        <v>49</v>
      </c>
      <c r="J687" s="1" t="s">
        <v>9753</v>
      </c>
      <c r="K687" s="2" t="s">
        <v>8639</v>
      </c>
      <c r="L687" s="2" t="s">
        <v>8640</v>
      </c>
      <c r="M687" s="1" t="s">
        <v>12131</v>
      </c>
      <c r="P687" s="7" t="s">
        <v>1241</v>
      </c>
      <c r="Q687" s="13" t="str">
        <f>INDEX($L:$L, MATCH("reason", $B:$B, 0))</f>
        <v>&lt;span class="w"&gt;&lt;b&gt;【47.reason：理由, 根拠, 理性】&lt;/b&gt;&lt;/span&gt;
&lt;span class="ml"&gt;ラテン語reri（考える, 数える）に由来する。
&lt;span class="spacer"&gt;&lt;/span&gt;「考える, 数える」といった思考は、人間と本能で生きる動物を区別する重要なポイント。ここから本能と対比される「理性」という意味になる。
&lt;span class="spacer"&gt;&lt;/span&gt;動物は本能に従って行動するが、理性に基づいた行為には「根拠, 理由」がある。&lt;/span&gt;</v>
      </c>
      <c r="R687" s="13" t="str">
        <f>INDEX($L:$L, MATCH("ratio", $B:$B, 0))</f>
        <v>&lt;span class="w"&gt;&lt;b&gt;【975.ratio：比率】&lt;/b&gt;&lt;/span&gt;
&lt;span class="ml"&gt;ラテン語に由来する語で、以下の2つの要素から成る。
&lt;span class="spacer"&gt;&lt;/span&gt;reri（計算する, 考える）
io（名詞化）
&lt;span class="spacer"&gt;&lt;/span&gt;この語の核は「論理的な思考」。そこから計算すること、考えることの2つを表したが、英語に入ってくるまでに計算系の語と思考系の語に分かれた。
&lt;span class="spacer"&gt;&lt;/span&gt;計算系の語はratioとなり、数学において、あるものと別のものの数量を比べる「比率」という意味で使われるようになった。
&lt;span class="spacer"&gt;&lt;/span&gt;一方、思考系の語はreasonとなり、理由や理性を意味するようになった。&lt;/span&gt;&lt;/span&gt;</v>
      </c>
      <c r="AU687" s="15"/>
      <c r="AV687" s="1" t="s">
        <v>1502</v>
      </c>
      <c r="BG687" s="7" t="s">
        <v>1503</v>
      </c>
      <c r="BH687" s="1" t="s">
        <v>1947</v>
      </c>
      <c r="BI687" s="2" t="s">
        <v>5082</v>
      </c>
      <c r="BJ687" s="1" t="s">
        <v>1959</v>
      </c>
      <c r="BK687" s="2" t="s">
        <v>4144</v>
      </c>
      <c r="BL687" s="1" t="s">
        <v>1875</v>
      </c>
      <c r="BM687" s="2" t="s">
        <v>4145</v>
      </c>
    </row>
    <row r="688" spans="1:69" ht="252" x14ac:dyDescent="0.45">
      <c r="A688" s="5">
        <v>687</v>
      </c>
      <c r="B688" s="8" t="s">
        <v>459</v>
      </c>
      <c r="C688" s="6" t="s">
        <v>6851</v>
      </c>
      <c r="D688" s="7" t="s">
        <v>9752</v>
      </c>
      <c r="E688" s="1" t="s">
        <v>1251</v>
      </c>
      <c r="F688" s="1" t="s">
        <v>1930</v>
      </c>
      <c r="G688" s="1" t="s">
        <v>1931</v>
      </c>
      <c r="J688" s="1" t="s">
        <v>9753</v>
      </c>
      <c r="K688" s="2" t="s">
        <v>8641</v>
      </c>
      <c r="L688" s="2" t="s">
        <v>12108</v>
      </c>
      <c r="P688" s="7" t="s">
        <v>1241</v>
      </c>
      <c r="Q688" s="13" t="str">
        <f>INDEX($L:$L, MATCH("relieve", $B:$B, 0))</f>
        <v>&lt;span class="w"&gt;&lt;b&gt;【815.relieve：〜を和らげる, 〜を解放する, （受け身で）安心する】&lt;/b&gt;&lt;/span&gt;
&lt;span class="ml"&gt;ラテン語に由来する語で、以下の2つの要素から成る。
&lt;span class="spacer"&gt;&lt;/span&gt;re（強意）
levare（軽くする, 持ち上げる）
&lt;span class="spacer"&gt;&lt;/span&gt;このまま日本語にすると「しっかり持ち上げて軽くする」となる。これは、誰かの負担を持ち上げて軽減するイメージから「和らげる, 解放する」という意味になる。また心理的負担を減らされることから「（受け身be relievedで）安心する」という意味になる。
&lt;div class="sample_image relieve"&gt;&lt;/div&gt;&lt;/span&gt;</v>
      </c>
      <c r="R688" s="13" t="str">
        <f>INDEX($L:$L, MATCH("irrelevant", $B:$B, 0))</f>
        <v>&lt;span class="w"&gt;&lt;b&gt;【1194.irrelevant：無関係の】&lt;/b&gt;&lt;/span&gt;
&lt;span class="ml"&gt;近代英語にさかのぼり、以下の2つの要素から成る。
&lt;span class="spacer"&gt;&lt;/span&gt;in（否定）
relevant（関連のある）
&lt;span class="spacer"&gt;&lt;/span&gt;このまま日本語にすれば関連がない＝「無関係の」という意味になる。relevantの語源は関連語を参照。&lt;/span&gt;</v>
      </c>
      <c r="AU688" s="15"/>
      <c r="AV688" s="1" t="s">
        <v>1502</v>
      </c>
      <c r="BG688" s="7" t="s">
        <v>1503</v>
      </c>
      <c r="BH688" s="1" t="s">
        <v>1947</v>
      </c>
      <c r="BI688" s="2" t="s">
        <v>4146</v>
      </c>
      <c r="BJ688" s="1" t="s">
        <v>1967</v>
      </c>
      <c r="BK688" s="1" t="s">
        <v>4147</v>
      </c>
      <c r="BL688" s="1" t="s">
        <v>1996</v>
      </c>
      <c r="BM688" s="1" t="s">
        <v>4148</v>
      </c>
      <c r="BN688" s="1" t="s">
        <v>1877</v>
      </c>
      <c r="BO688" s="2" t="s">
        <v>4149</v>
      </c>
    </row>
    <row r="689" spans="1:69" ht="144" x14ac:dyDescent="0.45">
      <c r="A689" s="5">
        <v>688</v>
      </c>
      <c r="B689" s="8" t="s">
        <v>4150</v>
      </c>
      <c r="C689" s="6" t="s">
        <v>6851</v>
      </c>
      <c r="D689" s="7" t="s">
        <v>9752</v>
      </c>
      <c r="E689" s="1" t="s">
        <v>1721</v>
      </c>
      <c r="F689" s="1" t="s">
        <v>4151</v>
      </c>
      <c r="G689" s="1"/>
      <c r="J689" s="1" t="s">
        <v>9753</v>
      </c>
      <c r="K689" s="2" t="s">
        <v>8642</v>
      </c>
      <c r="L689" s="3" t="s">
        <v>12098</v>
      </c>
      <c r="M689" s="1" t="s">
        <v>12149</v>
      </c>
      <c r="P689" s="7" t="s">
        <v>1241</v>
      </c>
      <c r="Q689" s="13" t="str">
        <f>INDEX($L:$L, MATCH("solve", $B:$B, 0))</f>
        <v>&lt;span class="w"&gt;&lt;b&gt;【107.solve：～を解く, ～を解決する】&lt;/b&gt;&lt;/span&gt;
&lt;span class="ml"&gt;ラテン語solvere（ゆるめる, ほどく, 解放する）に由来する。
&lt;span class="spacer"&gt;&lt;/span&gt;「ゆるめる, ほどく」から複雑にからまった問題をほどく＝「（問題を）解く, 解決する」という意味になる。
&lt;div class="sample_image solve"&gt;&lt;/div&gt;&lt;/span&gt;</v>
      </c>
      <c r="R689" s="13" t="str">
        <f>INDEX($L:$L, MATCH("resolve", $B:$B, 0))</f>
        <v>&lt;span class="w"&gt;&lt;b&gt;【828.resolve：〜を解決する, 〜を決意する, 〜を議決する】&lt;/b&gt;&lt;/span&gt;
&lt;span class="ml"&gt;ラテン語に由来する語で、以下の2つの要素から成る。
&lt;span class="spacer"&gt;&lt;/span&gt;re（強意）
solvere（緩める, ほどく）
&lt;span class="spacer"&gt;&lt;/span&gt;この語の核は「複雑に絡まったものを緩めて完全にほどく」。さまざまな考えや感情が渦巻く状態からスッキリした状態にして「決意する, 決議する」という意味になる。また、複雑になった物事を解きほぐすことから「解決する」という意味になる。&lt;/span&gt;</v>
      </c>
      <c r="AU689" s="15"/>
      <c r="AV689" s="1" t="s">
        <v>1502</v>
      </c>
      <c r="BG689" s="7" t="s">
        <v>1503</v>
      </c>
      <c r="BH689" s="1" t="s">
        <v>1947</v>
      </c>
      <c r="BI689" s="2" t="s">
        <v>4152</v>
      </c>
      <c r="BJ689" s="1" t="s">
        <v>1875</v>
      </c>
      <c r="BK689" s="2" t="s">
        <v>4153</v>
      </c>
    </row>
    <row r="690" spans="1:69" ht="162" x14ac:dyDescent="0.45">
      <c r="A690" s="5">
        <v>689</v>
      </c>
      <c r="B690" s="8" t="s">
        <v>460</v>
      </c>
      <c r="C690" s="6" t="s">
        <v>6851</v>
      </c>
      <c r="D690" s="7" t="s">
        <v>9752</v>
      </c>
      <c r="E690" s="6" t="s">
        <v>460</v>
      </c>
      <c r="F690" s="1"/>
      <c r="G690" s="1"/>
      <c r="J690" s="1" t="s">
        <v>9753</v>
      </c>
      <c r="K690" s="2" t="s">
        <v>8643</v>
      </c>
      <c r="L690" s="3" t="s">
        <v>8721</v>
      </c>
      <c r="P690" s="7" t="s">
        <v>1241</v>
      </c>
      <c r="AU690" s="15"/>
      <c r="AV690" s="1" t="s">
        <v>1502</v>
      </c>
      <c r="BG690" s="7" t="s">
        <v>1503</v>
      </c>
      <c r="BH690" s="1" t="s">
        <v>1947</v>
      </c>
      <c r="BI690" s="2" t="s">
        <v>8644</v>
      </c>
      <c r="BJ690" s="1" t="s">
        <v>1959</v>
      </c>
      <c r="BK690" s="2" t="s">
        <v>460</v>
      </c>
      <c r="BL690" s="1" t="s">
        <v>1875</v>
      </c>
      <c r="BM690" s="2" t="s">
        <v>4154</v>
      </c>
      <c r="BN690" s="1" t="s">
        <v>1877</v>
      </c>
      <c r="BO690" s="2" t="s">
        <v>4155</v>
      </c>
    </row>
    <row r="691" spans="1:69" ht="126" x14ac:dyDescent="0.45">
      <c r="A691" s="5">
        <v>690</v>
      </c>
      <c r="B691" s="8" t="s">
        <v>1820</v>
      </c>
      <c r="C691" s="6" t="s">
        <v>6851</v>
      </c>
      <c r="D691" s="7" t="s">
        <v>9752</v>
      </c>
      <c r="E691" s="1" t="s">
        <v>1325</v>
      </c>
      <c r="F691" s="1" t="s">
        <v>1932</v>
      </c>
      <c r="G691" s="1" t="s">
        <v>1698</v>
      </c>
      <c r="J691" s="1" t="s">
        <v>9753</v>
      </c>
      <c r="K691" s="2" t="s">
        <v>8645</v>
      </c>
      <c r="L691" s="9" t="s">
        <v>8646</v>
      </c>
      <c r="P691" s="7" t="s">
        <v>1241</v>
      </c>
      <c r="AU691" s="15"/>
      <c r="AV691" s="1" t="s">
        <v>1502</v>
      </c>
      <c r="BG691" s="7" t="s">
        <v>1503</v>
      </c>
      <c r="BH691" s="1" t="s">
        <v>1947</v>
      </c>
      <c r="BI691" s="2" t="s">
        <v>4156</v>
      </c>
      <c r="BJ691" s="1" t="s">
        <v>1959</v>
      </c>
      <c r="BK691" s="2" t="s">
        <v>4157</v>
      </c>
      <c r="BL691" s="1" t="s">
        <v>1875</v>
      </c>
      <c r="BM691" s="2" t="s">
        <v>4158</v>
      </c>
      <c r="BN691" s="1" t="s">
        <v>3496</v>
      </c>
      <c r="BO691" s="2" t="s">
        <v>4159</v>
      </c>
    </row>
    <row r="692" spans="1:69" ht="324" x14ac:dyDescent="0.45">
      <c r="A692" s="5">
        <v>691</v>
      </c>
      <c r="B692" s="8" t="s">
        <v>461</v>
      </c>
      <c r="C692" s="6" t="s">
        <v>6851</v>
      </c>
      <c r="D692" s="7" t="s">
        <v>9752</v>
      </c>
      <c r="E692" s="1" t="s">
        <v>27</v>
      </c>
      <c r="F692" s="1" t="s">
        <v>925</v>
      </c>
      <c r="G692" s="1"/>
      <c r="J692" s="1" t="s">
        <v>9753</v>
      </c>
      <c r="K692" s="2" t="s">
        <v>8647</v>
      </c>
      <c r="L692" s="3" t="s">
        <v>8722</v>
      </c>
      <c r="M692" s="1" t="s">
        <v>12117</v>
      </c>
      <c r="P692" s="7" t="s">
        <v>1241</v>
      </c>
      <c r="Q692" s="14" t="str">
        <f>INDEX($L:$L, MATCH("tend", $B:$B, 0))</f>
        <v>&lt;span class="w"&gt;&lt;b&gt;【16.tend：傾向がある】&lt;/b&gt;&lt;/span&gt;
&lt;span class="ml"&gt;ラテン語tendere（伸ばす, 引っ張る）に由来する。
&lt;span class="spacer"&gt;&lt;/span&gt;心や注意をある対象に向かって「伸ばす」というイメージから、ある対象の方へ向かいやすい＝「傾向がある」という意味になる。
&lt;span class="spacer"&gt;&lt;/span&gt;tend to do Aは、（他のことではなく）Aする方へ心や注意が伸びる＝「Aしがち, Aする傾向がある」という意味になる。&lt;/span&gt;</v>
      </c>
      <c r="R692" s="14" t="str">
        <f>INDEX($L:$L, MATCH("attend", $B:$B, 0))</f>
        <v>&lt;span class="w"&gt;&lt;b&gt;【205.attend：～を世話をする, ～を対処する, ～を出席する】&lt;/b&gt;&lt;/span&gt;
&lt;span class="ml"&gt;ラテン語に由来する語で、以下の2つの要素から成る。
&lt;span class="spacer"&gt;&lt;/span&gt;ad（～へ）
tendere（伸ばす）
&lt;span class="spacer"&gt;&lt;/span&gt;このまま日本語にすると「何かへ伸ばす」となる。心や労力を相手へ伸ばすことから「世話をする」という意味になる。
&lt;span class="spacer"&gt;&lt;/span&gt;また、世話をするために付き添う＝一緒にどこかへ行くということから発展して、「出席する」という意味になる。
&lt;span class="spacer"&gt;&lt;/span&gt;そして労力を問題へ伸ばすことから「対処する」という意味になる。
&lt;div class="sample_image attend"&gt;&lt;/div&gt;&lt;/span&gt;</v>
      </c>
      <c r="S692" s="14" t="str">
        <f>INDEX($L:$L, MATCH("extend", $B:$B, 0))</f>
        <v>&lt;span class="w"&gt;&lt;b&gt;【339.extend：～を伸ばす, ～を延ばす】&lt;/b&gt;&lt;/span&gt;
&lt;span class="ml"&gt;ラテン語に由来する語で、以下の2つの要素から成る。
&lt;span class="spacer"&gt;&lt;/span&gt;ex（外に）
tendere（伸ばす）
&lt;span class="spacer"&gt;&lt;/span&gt;このまま日本語にすると「外に伸ばす」となる。ここから「伸ばす, 延ばす」という意味になる。&lt;/span&gt;</v>
      </c>
      <c r="T692" s="14" t="str">
        <f>INDEX($L:$L, MATCH("intend", $B:$B, 0))</f>
        <v>&lt;span class="w"&gt;&lt;b&gt;【432.intend：〜を意図する】&lt;/b&gt;&lt;/span&gt;
&lt;span class="ml"&gt;ラテン語に由来する語で、以下の2つの要素から成る。
&lt;span class="spacer"&gt;&lt;/span&gt;in（中に）
tendere（伸ばす）
&lt;span class="spacer"&gt;&lt;/span&gt;このまま日本語にすると「中に伸ばす」となる。これは、対象の中に心や注意を伸ばすイメージ。そこから、目的に心や注意を向ける＝「意図する」という意味になる。
&lt;div class="sample_image intend"&gt;&lt;/div&gt;&lt;/span&gt;</v>
      </c>
      <c r="U692" s="14" t="str">
        <f>INDEX($L:$L, MATCH("pretend", $B:$B, 0))</f>
        <v>&lt;span class="w"&gt;&lt;b&gt;【724.pretend：ふりをする】&lt;/b&gt;&lt;/span&gt;
&lt;span class="ml"&gt;ラテン語に由来する語で、以下の2つの要素から成る。
&lt;span class="spacer"&gt;&lt;/span&gt;prae（前に）
tendere（伸ばす）
&lt;span class="spacer"&gt;&lt;/span&gt;このまま日本語にすると「前に伸ばす」となる。この動きから、相手の前に何かを差し出す・提示するとなる。さらに自分の中にある真実や本心を隠すために、偽りの理由や態度を前に差し出す、つまり「〜のふりをする」という意味になった。
&lt;span class="spacer"&gt;&lt;/span&gt;pretend to do（〜するふりをする）
これはto do（〜する）を相手の前に出すけど、自分はそれを実際には行わないというイメージ。
&lt;div class="sample_image pretend"&gt;&lt;/div&gt;&lt;/span&gt;</v>
      </c>
      <c r="V692" s="14" t="str">
        <f>INDEX($L:$L, MATCH("tense", $B:$B, 0))</f>
        <v>&lt;span class="w"&gt;&lt;b&gt;【1187.tense：緊張した, 張り詰めた】&lt;/b&gt;&lt;/span&gt;
&lt;span class="ml"&gt;ラテン語tendere（伸ばす, 張る）に由来する。
&lt;span class="spacer"&gt;&lt;/span&gt;この語の核は「糸やロープが両端から引っ張られている状態」。この物理的な緊張から、心理的な緊張状態や状況の緊張状態にも広がって「張り詰めた, 緊張した」という意味になった。&lt;/span&gt;
&lt;div class="animation tense"&gt;&lt;/div&gt;</v>
      </c>
      <c r="AU692" s="15"/>
      <c r="AV692" s="1" t="s">
        <v>1502</v>
      </c>
      <c r="BG692" s="7" t="s">
        <v>1503</v>
      </c>
      <c r="BH692" s="1" t="s">
        <v>1947</v>
      </c>
      <c r="BI692" s="2" t="s">
        <v>8648</v>
      </c>
      <c r="BJ692" s="1" t="s">
        <v>1959</v>
      </c>
      <c r="BK692" s="2" t="s">
        <v>4160</v>
      </c>
      <c r="BL692" s="1" t="s">
        <v>1875</v>
      </c>
      <c r="BM692" s="2" t="s">
        <v>4161</v>
      </c>
      <c r="BO692" s="2"/>
    </row>
    <row r="693" spans="1:69" ht="108" x14ac:dyDescent="0.45">
      <c r="A693" s="5">
        <v>692</v>
      </c>
      <c r="B693" s="8" t="s">
        <v>462</v>
      </c>
      <c r="C693" s="6" t="s">
        <v>6851</v>
      </c>
      <c r="D693" s="7" t="s">
        <v>9752</v>
      </c>
      <c r="E693" s="1" t="s">
        <v>7</v>
      </c>
      <c r="F693" s="1" t="s">
        <v>1593</v>
      </c>
      <c r="G693" s="1" t="s">
        <v>1821</v>
      </c>
      <c r="J693" s="1" t="s">
        <v>9753</v>
      </c>
      <c r="K693" s="2" t="s">
        <v>8649</v>
      </c>
      <c r="L693" s="4" t="s">
        <v>8650</v>
      </c>
      <c r="P693" s="7" t="s">
        <v>1241</v>
      </c>
      <c r="Q693" s="13" t="str">
        <f>INDEX($L:$L, MATCH("mean", $B:$B, 0))</f>
        <v>&lt;span class="w"&gt;&lt;b&gt;【4.mean：～を意味する, ～を意図する】&lt;/b&gt;&lt;/span&gt;
&lt;span class="ml"&gt;古英語mænan（何かを意図する, 言葉で特定の意味を伝える）にさかのぼる語。
&lt;span class="spacer"&gt;&lt;/span&gt;meanはもともと意図するという意味。「意図する」から、言葉で何かを伝えようと意図する＝「意味する」となる。
&lt;span class="spacer"&gt;&lt;/span&gt;mean to doが「～するつもり」という意図を表すのは、もともと「意図する」という意味だったから。&lt;/span&gt;</v>
      </c>
      <c r="AV693" s="1" t="s">
        <v>1502</v>
      </c>
      <c r="BG693" s="7" t="s">
        <v>1503</v>
      </c>
      <c r="BH693" s="1" t="s">
        <v>1872</v>
      </c>
      <c r="BI693" s="1" t="s">
        <v>1873</v>
      </c>
      <c r="BJ693" s="1" t="s">
        <v>2044</v>
      </c>
      <c r="BK693" s="2" t="s">
        <v>4163</v>
      </c>
      <c r="BL693" s="1" t="s">
        <v>1883</v>
      </c>
      <c r="BM693" s="2" t="s">
        <v>4164</v>
      </c>
    </row>
    <row r="694" spans="1:69" ht="90" x14ac:dyDescent="0.45">
      <c r="A694" s="5">
        <v>693</v>
      </c>
      <c r="B694" s="8" t="s">
        <v>463</v>
      </c>
      <c r="C694" s="6" t="s">
        <v>6851</v>
      </c>
      <c r="D694" s="7" t="s">
        <v>9752</v>
      </c>
      <c r="E694" s="6" t="s">
        <v>463</v>
      </c>
      <c r="F694" s="1"/>
      <c r="G694" s="1"/>
      <c r="J694" s="1" t="s">
        <v>9753</v>
      </c>
      <c r="K694" s="2" t="s">
        <v>4165</v>
      </c>
      <c r="L694" s="9" t="s">
        <v>8651</v>
      </c>
      <c r="P694" s="7" t="s">
        <v>1241</v>
      </c>
      <c r="AU694" s="15"/>
      <c r="AV694" s="1" t="s">
        <v>1502</v>
      </c>
      <c r="BG694" s="7" t="s">
        <v>1503</v>
      </c>
      <c r="BH694" s="1" t="s">
        <v>1872</v>
      </c>
      <c r="BI694" s="2" t="s">
        <v>4166</v>
      </c>
      <c r="BJ694" s="1" t="s">
        <v>1875</v>
      </c>
      <c r="BK694" s="2" t="s">
        <v>4167</v>
      </c>
    </row>
    <row r="695" spans="1:69" ht="144" x14ac:dyDescent="0.45">
      <c r="A695" s="5">
        <v>694</v>
      </c>
      <c r="B695" s="8" t="s">
        <v>4168</v>
      </c>
      <c r="C695" s="6" t="s">
        <v>6851</v>
      </c>
      <c r="D695" s="7" t="s">
        <v>9752</v>
      </c>
      <c r="E695" s="1" t="s">
        <v>1261</v>
      </c>
      <c r="F695" s="1" t="s">
        <v>8981</v>
      </c>
      <c r="G695" s="1"/>
      <c r="J695" s="1" t="s">
        <v>9753</v>
      </c>
      <c r="K695" s="2" t="s">
        <v>8652</v>
      </c>
      <c r="L695" s="2" t="s">
        <v>8653</v>
      </c>
      <c r="M695" s="1" t="s">
        <v>12192</v>
      </c>
      <c r="P695" s="7" t="s">
        <v>1241</v>
      </c>
      <c r="Q695" s="13" t="str">
        <f>INDEX($L:$L, MATCH("distinguish", $B:$B, 0))</f>
        <v>&lt;span class="w"&gt;&lt;b&gt;【422.distinguish：〜を区別する】&lt;/b&gt;&lt;/span&gt;
&lt;span class="ml"&gt;ラテン語に由来する語で、以下の2つの要素から成る。
&lt;span class="spacer"&gt;&lt;/span&gt;dis（離れて）
stinguere（突く, 刺激する）
&lt;span class="spacer"&gt;&lt;/span&gt;このまま日本語にすると「突き刺して離す」となる。ここから何かを分ける＝「区別する」という意味になる。&lt;/span&gt;</v>
      </c>
      <c r="R695" s="13" t="str">
        <f>INDEX($L:$L, MATCH("distinct", $B:$B, 0))</f>
        <v>&lt;span class="w"&gt;&lt;b&gt;【582.distinct：明らかに異なる, 明瞭な】&lt;/b&gt;&lt;/span&gt;
&lt;span class="ml"&gt;ラテン語に由来する語で、以下の2つの要素から成る。
&lt;span class="spacer"&gt;&lt;/span&gt;［distinguishの語源］
dis（離れて）
stinguere（突く, 刺激する）
&lt;span class="spacer"&gt;&lt;/span&gt;このまま日本語にすると「突き刺して離す」となる。ここから何かを分ける＝「区別する」という意味になる。
&lt;span class="spacer"&gt;&lt;/span&gt;［disitinctの語源］
動詞distinguishには、中英語期にdistinctenという異なる形があり、この過去分詞からdisitinctという形容詞が生まれた。
&lt;span class="spacer"&gt;&lt;/span&gt;「区別する」の過去分詞「区別された」から、他から切り離されているので他のものとは「明らかに異なる」、違いが「明瞭な」という意味になった。
&lt;div class="sample_image distinct"&gt;&lt;/div&gt;&lt;/span&gt;</v>
      </c>
      <c r="S695" s="13" t="str">
        <f>INDEX($L:$L, MATCH("instinct", $B:$B, 0))</f>
        <v>&lt;span class="w"&gt;&lt;b&gt;【856.instinct：本能, 直感, 自然に起こる衝動】&lt;/b&gt;&lt;/span&gt;
&lt;span class="ml"&gt;ラテン語に由来する語で、以下の2つの要素から成る。
&lt;span class="spacer"&gt;&lt;/span&gt;in（中に）
stinguere（刺す, 駆り立てる）
&lt;span class="spacer"&gt;&lt;/span&gt;このまま日本語にすると「中に刺す」となる。刺激されて内部から突き動かされるように、自分の意識や思考とは関係なく動くことから「本能, 直感, 自然に起こる衝動」といった意味になる。&lt;span&gt;</v>
      </c>
      <c r="T695" s="13" t="str">
        <f>INDEX($L:$L, MATCH("stimulate", $B:$B, 0))</f>
        <v>&lt;span class="w"&gt;&lt;b&gt;【602.stimulate：〜を刺激する】&lt;/b&gt;&lt;/span&gt;
&lt;span class="ml"&gt;ラテン語stimulus（突き棒）に由来する。
&lt;span class="spacer"&gt;&lt;/span&gt;突き棒で突くことから「刺激する」という意味になる。
&lt;span class="spacer"&gt;&lt;/span&gt;stimulateのsti部分は、おそらくstick（棒）と関わっているため、stimulateとstickを関連させて覚える。&lt;/span&gt;</v>
      </c>
      <c r="U695" s="13" t="str">
        <f>INDEX($L:$L, MATCH("stick", $B:$B, 0))</f>
        <v>&lt;span class="w"&gt;&lt;b&gt;【304.stick：〜を動けなくする, 〜を突き刺す, くっつく】&lt;/b&gt;&lt;/span&gt;
&lt;span class="ml"&gt;古英語stician（突き刺す）にさかのぼる語。
&lt;span class="spacer"&gt;&lt;/span&gt;stick（スティック）は日本語でも「棒, 突き刺す棒」を指す。この名詞と関連させて「突き刺す」という動詞を覚えればよい。また突き刺すことによって固定することから「動けなくする, くっつく」という意味にもなる。&lt;/span&gt;</v>
      </c>
      <c r="AU695" s="15"/>
      <c r="AV695" s="1" t="s">
        <v>1502</v>
      </c>
      <c r="BG695" s="7" t="s">
        <v>1503</v>
      </c>
      <c r="BH695" s="1" t="s">
        <v>1947</v>
      </c>
      <c r="BI695" s="2" t="s">
        <v>8654</v>
      </c>
      <c r="BJ695" s="1" t="s">
        <v>1875</v>
      </c>
      <c r="BK695" s="2" t="s">
        <v>4169</v>
      </c>
      <c r="BL695" s="1" t="s">
        <v>1877</v>
      </c>
      <c r="BM695" s="2" t="s">
        <v>4170</v>
      </c>
    </row>
    <row r="696" spans="1:69" ht="162" x14ac:dyDescent="0.45">
      <c r="A696" s="5">
        <v>695</v>
      </c>
      <c r="B696" s="8" t="s">
        <v>464</v>
      </c>
      <c r="C696" s="6" t="s">
        <v>6851</v>
      </c>
      <c r="D696" s="7" t="s">
        <v>9752</v>
      </c>
      <c r="E696" s="6" t="s">
        <v>1933</v>
      </c>
      <c r="F696" s="1" t="s">
        <v>1934</v>
      </c>
      <c r="G696" s="1"/>
      <c r="J696" s="1" t="s">
        <v>9753</v>
      </c>
      <c r="K696" s="2" t="s">
        <v>8655</v>
      </c>
      <c r="L696" s="9" t="s">
        <v>8656</v>
      </c>
      <c r="P696" s="7" t="s">
        <v>1241</v>
      </c>
      <c r="AU696" s="15"/>
      <c r="AV696" s="1" t="s">
        <v>1502</v>
      </c>
      <c r="BG696" s="7" t="s">
        <v>1503</v>
      </c>
      <c r="BH696" s="1" t="s">
        <v>3999</v>
      </c>
      <c r="BI696" s="2" t="s">
        <v>9210</v>
      </c>
      <c r="BJ696" s="1" t="s">
        <v>2268</v>
      </c>
      <c r="BK696" s="1" t="s">
        <v>4171</v>
      </c>
      <c r="BL696" s="1" t="s">
        <v>1959</v>
      </c>
      <c r="BM696" s="2" t="s">
        <v>4172</v>
      </c>
      <c r="BN696" s="1" t="s">
        <v>1875</v>
      </c>
      <c r="BO696" s="1" t="s">
        <v>4173</v>
      </c>
      <c r="BP696" s="1" t="s">
        <v>1877</v>
      </c>
      <c r="BQ696" s="2" t="s">
        <v>4174</v>
      </c>
    </row>
    <row r="697" spans="1:69" ht="108" x14ac:dyDescent="0.45">
      <c r="A697" s="5">
        <v>696</v>
      </c>
      <c r="B697" s="8" t="s">
        <v>465</v>
      </c>
      <c r="C697" s="6" t="s">
        <v>6851</v>
      </c>
      <c r="D697" s="7" t="s">
        <v>9752</v>
      </c>
      <c r="E697" s="6" t="s">
        <v>465</v>
      </c>
      <c r="F697" s="1"/>
      <c r="G697" s="1"/>
      <c r="J697" s="1" t="s">
        <v>9753</v>
      </c>
      <c r="K697" s="2" t="s">
        <v>8657</v>
      </c>
      <c r="L697" s="9" t="s">
        <v>8658</v>
      </c>
      <c r="P697" s="7" t="s">
        <v>1241</v>
      </c>
      <c r="Q697" s="15"/>
      <c r="AV697" s="1" t="s">
        <v>1502</v>
      </c>
      <c r="BG697" s="7" t="s">
        <v>1503</v>
      </c>
      <c r="BH697" s="1" t="s">
        <v>1976</v>
      </c>
      <c r="BI697" s="1" t="s">
        <v>4175</v>
      </c>
      <c r="BJ697" s="1" t="s">
        <v>1872</v>
      </c>
      <c r="BK697" s="1" t="s">
        <v>4176</v>
      </c>
      <c r="BL697" s="1" t="s">
        <v>1875</v>
      </c>
      <c r="BM697" s="2" t="s">
        <v>4177</v>
      </c>
      <c r="BN697" s="1" t="s">
        <v>1877</v>
      </c>
      <c r="BO697" s="2" t="s">
        <v>4178</v>
      </c>
      <c r="BP697" s="1" t="s">
        <v>3496</v>
      </c>
      <c r="BQ697" s="2" t="s">
        <v>4179</v>
      </c>
    </row>
    <row r="698" spans="1:69" ht="144" x14ac:dyDescent="0.45">
      <c r="A698" s="5">
        <v>697</v>
      </c>
      <c r="B698" s="8" t="s">
        <v>466</v>
      </c>
      <c r="C698" s="6" t="s">
        <v>6851</v>
      </c>
      <c r="D698" s="7" t="s">
        <v>9752</v>
      </c>
      <c r="E698" s="6" t="s">
        <v>466</v>
      </c>
      <c r="F698" s="1"/>
      <c r="G698" s="1"/>
      <c r="J698" s="1" t="s">
        <v>9753</v>
      </c>
      <c r="K698" s="2"/>
      <c r="L698" s="9" t="s">
        <v>8659</v>
      </c>
      <c r="P698" s="7" t="s">
        <v>1241</v>
      </c>
      <c r="AU698" s="15"/>
      <c r="AV698" s="1" t="s">
        <v>1502</v>
      </c>
      <c r="BG698" s="7" t="s">
        <v>1503</v>
      </c>
      <c r="BH698" s="1" t="s">
        <v>1947</v>
      </c>
      <c r="BI698" s="2" t="s">
        <v>4180</v>
      </c>
      <c r="BJ698" s="1" t="s">
        <v>1959</v>
      </c>
      <c r="BK698" s="2" t="s">
        <v>4181</v>
      </c>
      <c r="BL698" s="1" t="s">
        <v>1875</v>
      </c>
      <c r="BM698" s="2" t="s">
        <v>4182</v>
      </c>
    </row>
    <row r="699" spans="1:69" ht="90" x14ac:dyDescent="0.45">
      <c r="A699" s="5">
        <v>698</v>
      </c>
      <c r="B699" s="8" t="s">
        <v>467</v>
      </c>
      <c r="C699" s="6" t="s">
        <v>6851</v>
      </c>
      <c r="D699" s="7" t="s">
        <v>9752</v>
      </c>
      <c r="E699" s="1" t="s">
        <v>467</v>
      </c>
      <c r="F699" s="1"/>
      <c r="G699" s="1"/>
      <c r="J699" s="1" t="s">
        <v>9753</v>
      </c>
      <c r="K699" s="2"/>
      <c r="L699" s="9" t="s">
        <v>8660</v>
      </c>
      <c r="P699" s="7" t="s">
        <v>1241</v>
      </c>
      <c r="AU699" s="15"/>
      <c r="AV699" s="1" t="s">
        <v>1502</v>
      </c>
      <c r="BG699" s="7" t="s">
        <v>1503</v>
      </c>
      <c r="BH699" s="1" t="s">
        <v>1947</v>
      </c>
      <c r="BI699" s="2" t="s">
        <v>4183</v>
      </c>
      <c r="BJ699" s="1" t="s">
        <v>1959</v>
      </c>
      <c r="BK699" s="2" t="s">
        <v>4184</v>
      </c>
      <c r="BL699" s="1" t="s">
        <v>1875</v>
      </c>
      <c r="BM699" s="2" t="s">
        <v>4185</v>
      </c>
    </row>
    <row r="700" spans="1:69" ht="409.6" x14ac:dyDescent="0.45">
      <c r="A700" s="5">
        <v>699</v>
      </c>
      <c r="B700" s="8" t="s">
        <v>468</v>
      </c>
      <c r="C700" s="6" t="s">
        <v>6851</v>
      </c>
      <c r="D700" s="7" t="s">
        <v>9752</v>
      </c>
      <c r="E700" s="1" t="s">
        <v>4288</v>
      </c>
      <c r="F700" s="1" t="s">
        <v>49</v>
      </c>
      <c r="G700" s="1"/>
      <c r="J700" s="1" t="s">
        <v>9753</v>
      </c>
      <c r="K700" s="2" t="s">
        <v>9038</v>
      </c>
      <c r="L700" s="3" t="s">
        <v>9924</v>
      </c>
      <c r="P700" s="7" t="s">
        <v>1241</v>
      </c>
      <c r="AU700" s="15"/>
      <c r="AV700" s="1" t="s">
        <v>1502</v>
      </c>
      <c r="BG700" s="7" t="s">
        <v>1503</v>
      </c>
      <c r="BH700" s="1" t="s">
        <v>2458</v>
      </c>
      <c r="BI700" s="2" t="s">
        <v>4321</v>
      </c>
      <c r="BJ700" s="1" t="s">
        <v>1947</v>
      </c>
      <c r="BK700" s="1" t="s">
        <v>4186</v>
      </c>
      <c r="BL700" s="1" t="s">
        <v>1967</v>
      </c>
      <c r="BM700" s="1" t="s">
        <v>4187</v>
      </c>
      <c r="BN700" s="1" t="s">
        <v>1875</v>
      </c>
      <c r="BO700" s="2" t="s">
        <v>4190</v>
      </c>
      <c r="BP700" s="1" t="s">
        <v>1877</v>
      </c>
      <c r="BQ700" s="2" t="s">
        <v>4188</v>
      </c>
    </row>
    <row r="701" spans="1:69" ht="72" x14ac:dyDescent="0.45">
      <c r="A701" s="5">
        <v>700</v>
      </c>
      <c r="B701" s="8" t="s">
        <v>469</v>
      </c>
      <c r="C701" s="6" t="s">
        <v>6853</v>
      </c>
      <c r="D701" s="7" t="s">
        <v>9752</v>
      </c>
      <c r="E701" s="6" t="s">
        <v>469</v>
      </c>
      <c r="F701" s="1"/>
      <c r="G701" s="1"/>
      <c r="J701" s="1" t="s">
        <v>9753</v>
      </c>
      <c r="L701" s="9" t="s">
        <v>12253</v>
      </c>
      <c r="P701" s="7" t="s">
        <v>1241</v>
      </c>
      <c r="AU701" s="15"/>
      <c r="AV701" s="1" t="s">
        <v>1502</v>
      </c>
      <c r="BG701" s="7" t="s">
        <v>1503</v>
      </c>
      <c r="BH701" s="1" t="s">
        <v>1872</v>
      </c>
      <c r="BI701" s="2" t="s">
        <v>4189</v>
      </c>
    </row>
    <row r="702" spans="1:69" ht="180" x14ac:dyDescent="0.45">
      <c r="A702" s="5">
        <v>701</v>
      </c>
      <c r="B702" s="8" t="s">
        <v>470</v>
      </c>
      <c r="C702" s="6" t="s">
        <v>1816</v>
      </c>
      <c r="D702" s="7" t="s">
        <v>9752</v>
      </c>
      <c r="E702" s="1" t="s">
        <v>4191</v>
      </c>
      <c r="F702" s="1" t="s">
        <v>4192</v>
      </c>
      <c r="G702" s="1"/>
      <c r="J702" s="1" t="s">
        <v>9753</v>
      </c>
      <c r="K702" s="2"/>
      <c r="L702" s="3" t="s">
        <v>8724</v>
      </c>
      <c r="M702" s="1" t="s">
        <v>12198</v>
      </c>
      <c r="P702" s="7" t="s">
        <v>1241</v>
      </c>
      <c r="Q702" s="13" t="str">
        <f>INDEX($L:$L, MATCH("session", $B:$B, 0))</f>
        <v>&lt;span class="w"&gt;&lt;b&gt;【758.session：集まり, 会期, 議会】&lt;/b&gt;&lt;/span&gt;
&lt;span class="ml"&gt;ラテン語に由来する語で、以下の2つの要素から成る。
&lt;span class="spacer"&gt;&lt;/span&gt;sedere（座る）
io（名詞化）
&lt;span class="spacer"&gt;&lt;/span&gt;このまま日本語にすると「座ること」となる。この語の核は「集まって座って何かをすること」。
&lt;span class="spacer"&gt;&lt;/span&gt;もともとは、古代ローマなどにおいて裁判官や議員などの公職者が、話し合いや審議のために所定の席に座ることを表した。そこから、何かの目的のための「集まり」や「議会」、またその期間である「会期」という意味になった。&lt;/span&gt;</v>
      </c>
      <c r="R702" s="13" t="str">
        <f>INDEX($L:$L, MATCH("assess", $B:$B, 0))</f>
        <v>&lt;span class="w"&gt;&lt;b&gt;【801.assess：〜を評価する, 〜を査定する】&lt;/b&gt;&lt;/span&gt;
&lt;span class="ml"&gt;ラテン語に由来する語で、以下の2つの要素から成る。
&lt;span class="spacer"&gt;&lt;/span&gt;ad（〜へ）
sedere（座る）
&lt;span class="spacer"&gt;&lt;/span&gt;このまま日本語にすると「何かのそばへ座る」となる。これは、古代ローマにおいて、特に裁判官のそばに補佐役が座ることを表していた。補佐役の職務のひとつは税額や罰金を定めることだったため、そこから金額を「査定する」という意味になった。また金銭的な査定から意味が広がって何かを「評価する」という意味になった。
&lt;div class="sample_image assess"&gt;&lt;/div&gt;&lt;/span&gt;</v>
      </c>
      <c r="S702" s="13" t="str">
        <f>INDEX($L:$L, MATCH("resident", $B:$B, 0))</f>
        <v>&lt;span class="w"&gt;&lt;b&gt;【353.resident：居住者, 住民】&lt;/b&gt;&lt;/span&gt;
&lt;span class="ml"&gt;ラテン語に由来する語で、以下の2つの要素から成る。
&lt;span class="spacer"&gt;&lt;/span&gt;re（再び）
sedere（座る）
&lt;span class="spacer"&gt;&lt;/span&gt;このまま日本語にすると「再び座る」となる。これは何度も同じ場所に座るということから、ある場所に留まっている＝定住している「居住者, 住民」という意味になる。
&lt;div class="sample_image resident"&gt;&lt;/div&gt;&lt;/span&gt;</v>
      </c>
      <c r="T702" s="13" t="str">
        <f>INDEX($L:$L, MATCH("settle", $B:$B, 0))</f>
        <v>&lt;span class="w"&gt;&lt;b&gt;【411.settle：〜を解決する, 定住する, 〜を落ち着かせる】&lt;/b&gt;&lt;/span&gt;
&lt;span class="ml"&gt;古英語setl（座席）から派生した動詞setlan（座席に座らせる, 固定位置に置く）にさかのぼる。
&lt;span class="spacer"&gt;&lt;/span&gt;この語は、何かをある場所に置いて動かないようにするイメージ。そこから、人の気持ちを「落ち着かせる」、ある場所に落ち着く＝「定住する」、物事を落ち着かせる＝「解決する」という意味になる。
&lt;div class="sample_image settle"&gt;&lt;/div&gt;&lt;/span&gt;</v>
      </c>
      <c r="U702" s="13" t="str">
        <f>INDEX($L:$L, MATCH("possible", $B:$B, 0))</f>
        <v>&lt;span class="w"&gt;&lt;b&gt;【81.possible：可能な, 可能性のある】&lt;/b&gt;&lt;/span&gt;
&lt;span class="ml"&gt;ラテン語に由来する語で、以下の3つの要素から成る。
&lt;span class="spacer"&gt;&lt;/span&gt;potis（力強い）
esse（存在する）
bills（〜できる：形容詞化）
&lt;span class="spacer"&gt;&lt;/span&gt;「何かをする力が存在する」から実際にできる、また現実に起こりうる、つまり「可能な, 可能性のある」という意味になる。
&lt;span class="spacer"&gt;&lt;/span&gt;否定のim（in）が付けば、impossible（不可能な）になる。&lt;/span&gt;</v>
      </c>
      <c r="V702" s="13" t="str">
        <f>INDEX($L:$L, MATCH("potential", $B:$B, 0))</f>
        <v>&lt;span class="w"&gt;&lt;b&gt;【192.potential：潜在的な, 可能性を秘めた】&lt;/b&gt;&lt;/span&gt;
&lt;span class="ml"&gt;ラテン語に由来する語で、以下の3つの要素から成る。
&lt;span class="spacer"&gt;&lt;/span&gt;potis（力のある）
ia（名詞化）
alis（形容詞化）
&lt;span class="spacer"&gt;&lt;/span&gt;力のある状態というのは、現実にはなっていないが、何かを現実にすることができるというイメージ。ここから「潜在的な, 可能性を秘めた」という意味になる。&lt;/span&gt;</v>
      </c>
      <c r="AU702" s="15"/>
      <c r="AV702" s="1" t="s">
        <v>1502</v>
      </c>
      <c r="BG702" s="7" t="s">
        <v>1503</v>
      </c>
      <c r="BH702" s="1" t="s">
        <v>1947</v>
      </c>
      <c r="BI702" s="2" t="s">
        <v>4193</v>
      </c>
      <c r="BJ702" s="1" t="s">
        <v>1959</v>
      </c>
      <c r="BK702" s="2" t="s">
        <v>4194</v>
      </c>
      <c r="BL702" s="1" t="s">
        <v>1875</v>
      </c>
      <c r="BM702" s="2" t="s">
        <v>4195</v>
      </c>
      <c r="BN702" s="1" t="s">
        <v>1877</v>
      </c>
      <c r="BO702" s="2" t="s">
        <v>4196</v>
      </c>
    </row>
    <row r="703" spans="1:69" ht="90" x14ac:dyDescent="0.45">
      <c r="A703" s="5">
        <v>702</v>
      </c>
      <c r="B703" s="8" t="s">
        <v>471</v>
      </c>
      <c r="C703" s="6" t="s">
        <v>1816</v>
      </c>
      <c r="D703" s="7" t="s">
        <v>9752</v>
      </c>
      <c r="E703" s="1" t="s">
        <v>8982</v>
      </c>
      <c r="F703" s="1" t="s">
        <v>8983</v>
      </c>
      <c r="G703" s="1"/>
      <c r="J703" s="1" t="s">
        <v>9753</v>
      </c>
      <c r="K703" s="2"/>
      <c r="L703" s="3" t="s">
        <v>8725</v>
      </c>
      <c r="P703" s="7" t="s">
        <v>1241</v>
      </c>
      <c r="Q703" s="13" t="str">
        <f>INDEX($L:$L, MATCH("domestic", $B:$B, 0))</f>
        <v>&lt;span class="w"&gt;&lt;b&gt;【396.domestic：家庭の, 国内の, （動物が）飼い慣らされた】&lt;/b&gt;&lt;/span&gt;
&lt;span class="ml"&gt;ラテン語に由来する語で、以下の2つの要素から成る。
&lt;span class="spacer"&gt;&lt;/span&gt;domus（家）
icus（形容詞化）
&lt;span class="spacer"&gt;&lt;/span&gt;家が形容詞となって「家の, 家庭の」という意味になる。また国をひとつの家と考えて「国内の」という意味にもなる。
&lt;span class="spacer"&gt;&lt;/span&gt;ここで重要なのは、家や国家の「内側」というイメージ。ここから動物に関して、外ではなく家や人の暮らしの中で飼われている＝「飼い慣らされた」という意味になる。&lt;/span&gt;</v>
      </c>
      <c r="AU703" s="15"/>
      <c r="AV703" s="1" t="s">
        <v>1502</v>
      </c>
      <c r="BG703" s="7" t="s">
        <v>1503</v>
      </c>
      <c r="BH703" s="1" t="s">
        <v>1947</v>
      </c>
      <c r="BI703" s="2" t="s">
        <v>8668</v>
      </c>
      <c r="BJ703" s="1" t="s">
        <v>1877</v>
      </c>
      <c r="BK703" s="2" t="s">
        <v>4197</v>
      </c>
    </row>
    <row r="704" spans="1:69" ht="90" x14ac:dyDescent="0.45">
      <c r="A704" s="5">
        <v>703</v>
      </c>
      <c r="B704" s="8" t="s">
        <v>472</v>
      </c>
      <c r="C704" s="6" t="s">
        <v>1816</v>
      </c>
      <c r="D704" s="7" t="s">
        <v>9752</v>
      </c>
      <c r="E704" s="1" t="s">
        <v>1822</v>
      </c>
      <c r="F704" s="1" t="s">
        <v>1823</v>
      </c>
      <c r="G704" s="1"/>
      <c r="J704" s="1" t="s">
        <v>9753</v>
      </c>
      <c r="K704" s="2" t="s">
        <v>8669</v>
      </c>
      <c r="L704" s="9" t="s">
        <v>8670</v>
      </c>
      <c r="P704" s="7" t="s">
        <v>1241</v>
      </c>
      <c r="Q704" s="13" t="str">
        <f>INDEX($L:$L, MATCH("warn", $B:$B, 0))</f>
        <v>&lt;span class="w"&gt;&lt;b&gt;【329.warn：警告する, 注意する】&lt;/b&gt;&lt;/span&gt;
&lt;span class="ml"&gt;古英語warnian（注意する, 用心する）にさかのぼる。
&lt;span class="spacer"&gt;&lt;/span&gt;古英語から意味の変化はほとんどなく「警告する, 注意する」という意味になる。
&lt;span class="spacer"&gt;&lt;/span&gt;警告で出てくるWARNINGと関連させて覚える。&lt;/span&gt;
&lt;div class="animation warn"&gt;&lt;/div&gt;</v>
      </c>
      <c r="AV704" s="1" t="s">
        <v>1502</v>
      </c>
      <c r="BG704" s="7" t="s">
        <v>1503</v>
      </c>
      <c r="BH704" s="1" t="s">
        <v>1976</v>
      </c>
      <c r="BI704" s="1" t="s">
        <v>4198</v>
      </c>
      <c r="BJ704" s="1" t="s">
        <v>1959</v>
      </c>
      <c r="BK704" s="2" t="s">
        <v>9211</v>
      </c>
      <c r="BL704" s="1" t="s">
        <v>1875</v>
      </c>
      <c r="BM704" s="2" t="s">
        <v>4199</v>
      </c>
      <c r="BN704" s="1" t="s">
        <v>1877</v>
      </c>
      <c r="BO704" s="2" t="s">
        <v>4200</v>
      </c>
    </row>
    <row r="705" spans="1:71" ht="90" x14ac:dyDescent="0.45">
      <c r="A705" s="5">
        <v>704</v>
      </c>
      <c r="B705" s="8" t="s">
        <v>473</v>
      </c>
      <c r="C705" s="6" t="s">
        <v>1816</v>
      </c>
      <c r="D705" s="7" t="s">
        <v>9752</v>
      </c>
      <c r="E705" s="6" t="s">
        <v>473</v>
      </c>
      <c r="F705" s="1"/>
      <c r="G705" s="1"/>
      <c r="J705" s="1" t="s">
        <v>9753</v>
      </c>
      <c r="K705" s="1" t="s">
        <v>1824</v>
      </c>
      <c r="L705" s="9" t="s">
        <v>8671</v>
      </c>
      <c r="P705" s="7" t="s">
        <v>1241</v>
      </c>
      <c r="Q705" s="13" t="str">
        <f>INDEX($L:$L, MATCH("mild", $B:$B, 0))</f>
        <v>&lt;span class="w"&gt;&lt;b&gt;【1291.mild：穏やかな, 程度が軽い】&lt;/b&gt;&lt;/span&gt;
&lt;span class="ml"&gt;古英語milde（人・権力・性質について、柔らかさや優しさを備えている）にさかのぼる。
&lt;span class="spacer"&gt;&lt;/span&gt;この語の核は「柔らかい」。古英語から根本的な意味は変化せず、人や天候、病気、味や香りなど幅広い事柄に関して「穏やかな, 程度が軽い」という意味になった。&lt;/span&gt;</v>
      </c>
      <c r="AV705" s="1" t="s">
        <v>1502</v>
      </c>
      <c r="BG705" s="7" t="s">
        <v>1503</v>
      </c>
      <c r="BH705" s="1" t="s">
        <v>1976</v>
      </c>
      <c r="BI705" s="1" t="s">
        <v>4201</v>
      </c>
      <c r="BJ705" s="1" t="s">
        <v>1872</v>
      </c>
      <c r="BK705" s="1" t="s">
        <v>4202</v>
      </c>
      <c r="BL705" s="1" t="s">
        <v>1875</v>
      </c>
      <c r="BM705" s="2" t="s">
        <v>4203</v>
      </c>
      <c r="BN705" s="1" t="s">
        <v>1877</v>
      </c>
      <c r="BO705" s="2" t="s">
        <v>4204</v>
      </c>
    </row>
    <row r="706" spans="1:71" ht="198" x14ac:dyDescent="0.45">
      <c r="A706" s="5">
        <v>705</v>
      </c>
      <c r="B706" s="8" t="s">
        <v>474</v>
      </c>
      <c r="C706" s="6" t="s">
        <v>1816</v>
      </c>
      <c r="D706" s="7" t="s">
        <v>9752</v>
      </c>
      <c r="E706" s="1" t="s">
        <v>1825</v>
      </c>
      <c r="F706" s="1" t="s">
        <v>8984</v>
      </c>
      <c r="G706" s="1"/>
      <c r="J706" s="1" t="s">
        <v>9753</v>
      </c>
      <c r="K706" s="2"/>
      <c r="L706" s="3" t="s">
        <v>8726</v>
      </c>
      <c r="P706" s="7" t="s">
        <v>1241</v>
      </c>
      <c r="Q706" s="13" t="str">
        <f>INDEX($L:$L, MATCH("barrier", $B:$B, 0))</f>
        <v>&lt;span class="w"&gt;&lt;b&gt;【562.barrier：障壁, 防壁】&lt;/b&gt;&lt;/span&gt;
&lt;span class="ml"&gt;古フランス語barra（棒）から派生したbarriere（障害物）に由来する。
&lt;span class="spacer"&gt;&lt;/span&gt;もともとは、敵や動物の侵入を防ぐために棒を並べて作った柵や門を指した。ここから比喩的に、何かをすることや物事がすすむことの邪魔になるもの、つまり「障壁, 防壁」という意味になった。&lt;/span&gt;</v>
      </c>
      <c r="AV706" s="1" t="s">
        <v>1502</v>
      </c>
      <c r="BG706" s="7" t="s">
        <v>1503</v>
      </c>
      <c r="BH706" s="1" t="s">
        <v>1976</v>
      </c>
      <c r="BI706" s="1" t="s">
        <v>4205</v>
      </c>
      <c r="BJ706" s="1" t="s">
        <v>2026</v>
      </c>
      <c r="BK706" s="1" t="s">
        <v>4206</v>
      </c>
      <c r="BL706" s="1" t="s">
        <v>1994</v>
      </c>
      <c r="BM706" s="2" t="s">
        <v>4207</v>
      </c>
      <c r="BN706" s="1" t="s">
        <v>1996</v>
      </c>
      <c r="BO706" s="2" t="s">
        <v>4208</v>
      </c>
      <c r="BP706" s="1" t="s">
        <v>1877</v>
      </c>
      <c r="BQ706" s="2" t="s">
        <v>4209</v>
      </c>
    </row>
    <row r="707" spans="1:71" ht="198" x14ac:dyDescent="0.45">
      <c r="A707" s="5">
        <v>706</v>
      </c>
      <c r="B707" s="8" t="s">
        <v>475</v>
      </c>
      <c r="C707" s="6" t="s">
        <v>1816</v>
      </c>
      <c r="D707" s="7" t="s">
        <v>9752</v>
      </c>
      <c r="E707" s="1" t="s">
        <v>1505</v>
      </c>
      <c r="F707" s="1" t="s">
        <v>1935</v>
      </c>
      <c r="G707" s="1" t="s">
        <v>1748</v>
      </c>
      <c r="J707" s="1" t="s">
        <v>9753</v>
      </c>
      <c r="K707" s="2" t="s">
        <v>8672</v>
      </c>
      <c r="L707" s="4" t="s">
        <v>8673</v>
      </c>
      <c r="M707" s="1" t="s">
        <v>12125</v>
      </c>
      <c r="P707" s="7" t="s">
        <v>1241</v>
      </c>
      <c r="Q707" s="14" t="str">
        <f>INDEX($L:$L, MATCH("courage", $B:$B, 0))</f>
        <v>&lt;span class="w"&gt;&lt;b&gt;【858.courage：勇気】&lt;/b&gt;&lt;/span&gt;
&lt;span class="ml"&gt;ラテン語cor（心・心臓）に由来する。&lt;span class="obsolete"&gt;age（名詞化）はフランス語段階で付いた。&lt;/span&gt;
&lt;span class="spacer"&gt;&lt;/span&gt;もともとは、人の内面の心や気持ちを表していたが、そこから困難や恐怖に直面したときにも揺らがずに行動できる心の強さを指すようになり、「勇気」という意味になった。&lt;/span&gt;</v>
      </c>
      <c r="R707" s="14" t="str">
        <f>INDEX($L:$L, MATCH("encourage", $B:$B, 0))</f>
        <v>&lt;span class="w"&gt;&lt;b&gt;【30.encourage：～を勧める, ～を励ます】&lt;/b&gt;&lt;/span&gt;
&lt;span class="ml"&gt;古フランス語に由来する語で、以下の2つの要素から成る。
&lt;span class="spacer"&gt;&lt;/span&gt;en（させる）
corage（勇気）
&lt;span class="obsolete"&gt;※corはラテン語の「心」&lt;/span&gt;
&lt;span class="spacer"&gt;&lt;/span&gt;この語の核は「勇気を出させる」ということ。勇気を出させる＝「励ます」、勇気づけてある行為の方へ進ませる＝「勧める」という意味になる。&lt;/span&gt;</v>
      </c>
      <c r="S707" s="13" t="str">
        <f>INDEX($L:$L, MATCH("accord", $B:$B, 0))</f>
        <v>&lt;span class="w"&gt;&lt;b&gt;【42.accord：一致, 合意, 協定】&lt;/b&gt;&lt;/span&gt;
&lt;span class="ml"&gt;ラテン語に由来する語で、以下の2つの要素から成る。
&lt;span class="spacer"&gt;&lt;/span&gt;ad（～へ）
cor（心）
&lt;span class="spacer"&gt;&lt;/span&gt;このまま日本語にすると「～へ心」となる。相手の心に自分の心を合わせるイメージから「合意, 一致」、そして合意の末に結ばれる「協定」という意味になる。
&lt;div class="sample_image accord"&gt;&lt;/div&gt;
&lt;span class="spacer"&gt;&lt;/span&gt;動詞accord（一致する）から派生したaccording to A（Aによれば, Aに従って）は以下のように考えればよい。
&lt;span class="spacer"&gt;&lt;/span&gt;①Aと一致するならB
＝AによるとB
&lt;span class="spacer"&gt;&lt;/span&gt;②Aに一致してB
＝Aに従ってB&lt;/span&gt;</v>
      </c>
      <c r="T707" s="13" t="str">
        <f>INDEX($L:$L, MATCH("core", $B:$B, 0))</f>
        <v>&lt;span class="w"&gt;&lt;b&gt;【849.core：核心, 芯】&lt;/b&gt;&lt;/span&gt;
&lt;span class="ml"&gt;ラテン語cor（心, 心臓）に由来する。
&lt;span class="spacer"&gt;&lt;/span&gt;心や心臓のように中心にあるものということから「核心, 芯」という意味になった。&lt;/span&gt;</v>
      </c>
      <c r="AV707" s="1" t="s">
        <v>1502</v>
      </c>
      <c r="BG707" s="7" t="s">
        <v>1503</v>
      </c>
      <c r="BH707" s="1" t="s">
        <v>1976</v>
      </c>
      <c r="BI707" s="1" t="s">
        <v>2024</v>
      </c>
      <c r="BJ707" s="1" t="s">
        <v>1947</v>
      </c>
      <c r="BK707" s="1" t="s">
        <v>2025</v>
      </c>
      <c r="BL707" s="1" t="s">
        <v>2026</v>
      </c>
      <c r="BM707" s="2" t="s">
        <v>2027</v>
      </c>
      <c r="BN707" s="1" t="s">
        <v>1959</v>
      </c>
      <c r="BO707" s="2" t="s">
        <v>4210</v>
      </c>
      <c r="BP707" s="1" t="s">
        <v>1875</v>
      </c>
      <c r="BQ707" s="2" t="s">
        <v>4211</v>
      </c>
      <c r="BR707" s="1" t="s">
        <v>1877</v>
      </c>
      <c r="BS707" s="2" t="s">
        <v>4212</v>
      </c>
    </row>
    <row r="708" spans="1:71" ht="126" x14ac:dyDescent="0.45">
      <c r="A708" s="5">
        <v>707</v>
      </c>
      <c r="B708" s="8" t="s">
        <v>476</v>
      </c>
      <c r="C708" s="6" t="s">
        <v>1816</v>
      </c>
      <c r="D708" s="7" t="s">
        <v>9752</v>
      </c>
      <c r="E708" s="1" t="s">
        <v>1327</v>
      </c>
      <c r="F708" s="1" t="s">
        <v>1826</v>
      </c>
      <c r="G708" s="1"/>
      <c r="J708" s="1" t="s">
        <v>9753</v>
      </c>
      <c r="K708" s="2" t="s">
        <v>8674</v>
      </c>
      <c r="L708" s="9" t="s">
        <v>8675</v>
      </c>
      <c r="P708" s="7" t="s">
        <v>1241</v>
      </c>
      <c r="AU708" s="15"/>
      <c r="AV708" s="1" t="s">
        <v>1502</v>
      </c>
      <c r="BG708" s="7" t="s">
        <v>1503</v>
      </c>
      <c r="BH708" s="1" t="s">
        <v>1947</v>
      </c>
      <c r="BI708" s="2" t="s">
        <v>4213</v>
      </c>
      <c r="BJ708" s="1" t="s">
        <v>1875</v>
      </c>
      <c r="BK708" s="2" t="s">
        <v>4214</v>
      </c>
      <c r="BL708" s="1" t="s">
        <v>1877</v>
      </c>
      <c r="BM708" s="2" t="s">
        <v>4215</v>
      </c>
    </row>
    <row r="709" spans="1:71" ht="162" x14ac:dyDescent="0.45">
      <c r="A709" s="5">
        <v>708</v>
      </c>
      <c r="B709" s="8" t="s">
        <v>477</v>
      </c>
      <c r="C709" s="6" t="s">
        <v>1816</v>
      </c>
      <c r="D709" s="7" t="s">
        <v>9752</v>
      </c>
      <c r="E709" s="1" t="s">
        <v>1327</v>
      </c>
      <c r="F709" s="1" t="s">
        <v>248</v>
      </c>
      <c r="G709" s="1"/>
      <c r="J709" s="1" t="s">
        <v>9753</v>
      </c>
      <c r="K709" s="1" t="s">
        <v>8676</v>
      </c>
      <c r="L709" s="2" t="s">
        <v>8677</v>
      </c>
      <c r="P709" s="7" t="s">
        <v>1241</v>
      </c>
      <c r="Q709" s="13" t="str">
        <f>INDEX($L:$L, MATCH("vote", $B:$B, 0))</f>
        <v>&lt;span class="w"&gt;&lt;b&gt;【357.vote：投票, 投票数】&lt;/b&gt;&lt;/span&gt;
&lt;span class="ml"&gt;ラテン語vovere（約束する, 奉献する）に由来する。
&lt;span class="spacer"&gt;&lt;/span&gt;このラテン語は、神に対して「約束する, 奉献する」という宗教的性質を持つものだった。時代を経るにつれて、宗教に限定されず、社会において自分の意思や立場を表す行為へと意味が広がる。そして立候補者に対して自分の票を正式に捧げること＝「投票, 投票数」という意味になる。&lt;/span&gt;</v>
      </c>
      <c r="AU709" s="15"/>
      <c r="AV709" s="1" t="s">
        <v>1502</v>
      </c>
      <c r="BG709" s="7" t="s">
        <v>1503</v>
      </c>
      <c r="BH709" s="1" t="s">
        <v>1947</v>
      </c>
      <c r="BI709" s="2" t="s">
        <v>4216</v>
      </c>
      <c r="BJ709" s="1" t="s">
        <v>1877</v>
      </c>
      <c r="BK709" s="2" t="s">
        <v>4217</v>
      </c>
    </row>
    <row r="710" spans="1:71" ht="72" x14ac:dyDescent="0.45">
      <c r="A710" s="5">
        <v>709</v>
      </c>
      <c r="B710" s="8" t="s">
        <v>478</v>
      </c>
      <c r="C710" s="6" t="s">
        <v>1816</v>
      </c>
      <c r="D710" s="7" t="s">
        <v>9752</v>
      </c>
      <c r="E710" s="6" t="s">
        <v>478</v>
      </c>
      <c r="F710" s="1"/>
      <c r="G710" s="1"/>
      <c r="J710" s="1" t="s">
        <v>9753</v>
      </c>
      <c r="K710" s="2"/>
      <c r="L710" s="2" t="s">
        <v>8678</v>
      </c>
      <c r="P710" s="7" t="s">
        <v>1241</v>
      </c>
      <c r="Q710" s="13" t="str">
        <f>INDEX($L:$L, MATCH("urgent", $B:$B, 0))</f>
        <v>&lt;span class="w"&gt;&lt;b&gt;【996.urgent：緊急の】&lt;/b&gt;&lt;/span&gt;
&lt;span class="ml"&gt;ラテン語urgere（強く押す, 促す）に由来する。
&lt;span class="spacer"&gt;&lt;/span&gt;この語の核は「強く背中を押して促す」。背中をグッと押されるように、時間的に余裕がなく差し迫っていることから「緊急の」という意味になる。&lt;/span&gt;</v>
      </c>
      <c r="AU710" s="15"/>
      <c r="AV710" s="1" t="s">
        <v>1502</v>
      </c>
      <c r="BG710" s="7" t="s">
        <v>1503</v>
      </c>
      <c r="BH710" s="1" t="s">
        <v>1947</v>
      </c>
      <c r="BI710" s="2" t="s">
        <v>4218</v>
      </c>
      <c r="BJ710" s="1" t="s">
        <v>1877</v>
      </c>
      <c r="BK710" s="2" t="s">
        <v>4219</v>
      </c>
    </row>
    <row r="711" spans="1:71" ht="90" x14ac:dyDescent="0.45">
      <c r="A711" s="5">
        <v>710</v>
      </c>
      <c r="B711" s="8" t="s">
        <v>479</v>
      </c>
      <c r="C711" s="6" t="s">
        <v>1816</v>
      </c>
      <c r="D711" s="7" t="s">
        <v>9752</v>
      </c>
      <c r="E711" s="6" t="s">
        <v>479</v>
      </c>
      <c r="F711" s="1"/>
      <c r="G711" s="1"/>
      <c r="J711" s="1" t="s">
        <v>9753</v>
      </c>
      <c r="K711" s="2" t="s">
        <v>4220</v>
      </c>
      <c r="L711" s="9" t="s">
        <v>8679</v>
      </c>
      <c r="P711" s="7" t="s">
        <v>1241</v>
      </c>
      <c r="AV711" s="1" t="s">
        <v>1502</v>
      </c>
      <c r="BG711" s="7" t="s">
        <v>1503</v>
      </c>
      <c r="BH711" s="1" t="s">
        <v>1872</v>
      </c>
      <c r="BI711" s="1" t="s">
        <v>4221</v>
      </c>
      <c r="BJ711" s="1" t="s">
        <v>1875</v>
      </c>
      <c r="BK711" s="2" t="s">
        <v>4222</v>
      </c>
    </row>
    <row r="712" spans="1:71" ht="108" x14ac:dyDescent="0.45">
      <c r="A712" s="5">
        <v>711</v>
      </c>
      <c r="B712" s="8" t="s">
        <v>480</v>
      </c>
      <c r="C712" s="6" t="s">
        <v>1816</v>
      </c>
      <c r="D712" s="7" t="s">
        <v>9752</v>
      </c>
      <c r="E712" s="1" t="s">
        <v>1251</v>
      </c>
      <c r="F712" s="1" t="s">
        <v>325</v>
      </c>
      <c r="G712" s="1"/>
      <c r="J712" s="1" t="s">
        <v>9753</v>
      </c>
      <c r="K712" s="2" t="s">
        <v>8680</v>
      </c>
      <c r="L712" s="2" t="s">
        <v>8681</v>
      </c>
      <c r="M712" s="1" t="s">
        <v>12167</v>
      </c>
      <c r="P712" s="7" t="s">
        <v>1241</v>
      </c>
      <c r="Q712" s="13" t="str">
        <f>INDEX($L:$L, MATCH("stress", $B:$B, 0))</f>
        <v>&lt;span class="w"&gt;&lt;b&gt;【154.stress：ストレス, 圧力, 強調】&lt;/b&gt;&lt;/span&gt;
&lt;span class="ml"&gt;ラテン語stringere（引き締める）に由来する。
&lt;span class="spacer"&gt;&lt;/span&gt;何かを引き締めるというところから、物理的また精神的にかける力＝「圧力, ストレス」という意味になる。また重要なことを発言するときに言葉を強く発音することがあるが、このような「強調」も意味する。&lt;/span&gt;</v>
      </c>
      <c r="R712" s="13" t="str">
        <f>INDEX($L:$L, MATCH("distress", $B:$B, 0))</f>
        <v>&lt;span class="w"&gt;&lt;b&gt;【1048.distress：苦悩, 苦痛】&lt;/b&gt;&lt;/span&gt;
&lt;span class="ml"&gt;ラテン語に由来する語で、以下の2つの要素から成る。
&lt;span class="spacer"&gt;&lt;/span&gt;dis（離れて）
stringere（引き締める, 強く引く）
&lt;span class="spacer"&gt;&lt;/span&gt;もともとは何かを引き離すことから、対象を引き離して拘束するということを表した。この物理的な身体の締め付けから、比喩的に心理的・社会的に追い詰められた状態へと発展して「苦痛, 苦悩, 困窮」という意味になった。&lt;/span&gt;</v>
      </c>
      <c r="S712" s="13" t="str">
        <f>INDEX($L:$L, MATCH("strict", $B:$B, 0))</f>
        <v>&lt;span class="w"&gt;&lt;b&gt;【489.strict：厳しい, 厳格な】&lt;/b&gt;&lt;/span&gt;
&lt;span class="ml"&gt;ラテン語stringere（強く引き締める）の過去分詞strictus（引き締められた）に由来する。
&lt;span class="spacer"&gt;&lt;/span&gt;この語の核は「強く引き締める」。何かを強く引き締めるように、きつく制限されて「厳しい, 厳格な」という意味になる。&lt;/span&gt;</v>
      </c>
      <c r="T712" s="13" t="str">
        <f>INDEX($L:$L, MATCH("district", $B:$B, 0))</f>
        <v>&lt;span class="w"&gt;&lt;b&gt;【665.district：地区, 行政区】&lt;/b&gt;&lt;/span&gt;
&lt;span class="ml"&gt;ラテン語に由来する語で、以下の2つの要素から成る。
&lt;span class="spacer"&gt;&lt;/span&gt;dis（離れて）
stringere（引き締める）
&lt;span class="spacer"&gt;&lt;/span&gt;このまま日本語にすると「引き離す」となる。もともとは、土地の支配者が、違反者を社会から引き離したり、個人の財産を法的に引き離したりすることができる管轄区域を表していた。こうした強制的な支配というニュアンスは、時代が進むにつれて薄まっていき、特定の目的をもった「地区, 行政区」という意味になった。&lt;/span&gt;</v>
      </c>
      <c r="U712" s="13" t="str">
        <f>INDEX($L:$L, MATCH("strain", $B:$B, 0))</f>
        <v>&lt;span class="w"&gt;&lt;b&gt;【1326.strain：〜に負担をかける, 〜を緊張させる】&lt;/b&gt;&lt;/span&gt;
&lt;span class="ml"&gt;ラテン語stringere（きつく引く, 圧縮する）に由来する。
&lt;span class="spacer"&gt;&lt;/span&gt;これは「ひもを限界までギューっと引っ張る」イメージ。きつく引っぱるという物理的な動作から発展して、物だけではなく、精神・能力・金銭状況・人間関係など、さまざまな対象を「緊張させる」、また引っ張りすぎて「負担をかける」という意味になった。&lt;/span&gt;</v>
      </c>
      <c r="AU712" s="15"/>
      <c r="AV712" s="1" t="s">
        <v>1502</v>
      </c>
      <c r="BG712" s="7" t="s">
        <v>1503</v>
      </c>
      <c r="BH712" s="1" t="s">
        <v>1947</v>
      </c>
      <c r="BI712" s="2" t="s">
        <v>4223</v>
      </c>
      <c r="BJ712" s="1" t="s">
        <v>1877</v>
      </c>
      <c r="BK712" s="2" t="s">
        <v>4224</v>
      </c>
    </row>
    <row r="713" spans="1:71" ht="72" x14ac:dyDescent="0.45">
      <c r="A713" s="5">
        <v>712</v>
      </c>
      <c r="B713" s="8" t="s">
        <v>481</v>
      </c>
      <c r="C713" s="6" t="s">
        <v>1816</v>
      </c>
      <c r="D713" s="7" t="s">
        <v>9752</v>
      </c>
      <c r="E713" s="1" t="s">
        <v>1827</v>
      </c>
      <c r="F713" s="1" t="s">
        <v>1818</v>
      </c>
      <c r="G713" s="1"/>
      <c r="J713" s="1" t="s">
        <v>9753</v>
      </c>
      <c r="K713" s="2" t="s">
        <v>8682</v>
      </c>
      <c r="L713" s="9" t="s">
        <v>8683</v>
      </c>
      <c r="P713" s="7" t="s">
        <v>1241</v>
      </c>
      <c r="AU713" s="15"/>
      <c r="AV713" s="1" t="s">
        <v>1502</v>
      </c>
      <c r="BG713" s="7" t="s">
        <v>1503</v>
      </c>
      <c r="BH713" s="1" t="s">
        <v>1947</v>
      </c>
      <c r="BI713" s="2" t="s">
        <v>4225</v>
      </c>
      <c r="BJ713" s="1" t="s">
        <v>1994</v>
      </c>
      <c r="BK713" s="1" t="s">
        <v>4226</v>
      </c>
      <c r="BL713" s="1" t="s">
        <v>1996</v>
      </c>
      <c r="BM713" s="2" t="s">
        <v>4227</v>
      </c>
      <c r="BN713" s="1" t="s">
        <v>1877</v>
      </c>
      <c r="BO713" s="2" t="s">
        <v>4228</v>
      </c>
    </row>
    <row r="714" spans="1:71" ht="144" x14ac:dyDescent="0.45">
      <c r="A714" s="5">
        <v>713</v>
      </c>
      <c r="B714" s="8" t="s">
        <v>482</v>
      </c>
      <c r="C714" s="6" t="s">
        <v>1816</v>
      </c>
      <c r="D714" s="7" t="s">
        <v>9752</v>
      </c>
      <c r="E714" s="1" t="s">
        <v>1346</v>
      </c>
      <c r="F714" s="1" t="s">
        <v>1467</v>
      </c>
      <c r="G714" s="1" t="s">
        <v>4229</v>
      </c>
      <c r="J714" s="1" t="s">
        <v>9753</v>
      </c>
      <c r="K714" s="2" t="s">
        <v>8684</v>
      </c>
      <c r="L714" s="2" t="s">
        <v>8685</v>
      </c>
      <c r="P714" s="7" t="s">
        <v>1241</v>
      </c>
      <c r="Q714" s="13" t="str">
        <f>INDEX($L:$L, MATCH("company", $B:$B, 0))</f>
        <v>&lt;span class="w"&gt;&lt;b&gt;【43.company：仲間, 会社】&lt;/b&gt;&lt;/span&gt;
&lt;span class="ml"&gt;ラテン語に由来する語で、以下の2つの要素から成る。
&lt;span class="spacer"&gt;&lt;/span&gt;com（共に）
panis（パン）
&lt;span class="spacer"&gt;&lt;/span&gt;このまま日本語にすると「共にパン（を食べる）」となる。日本語でも「同じ釜の飯を食う」という言葉があるが、食事を共にするということは「仲間」を表す。さらにこの意味から、商業的な仲間の集まりである「会社」にもなる。&lt;/span&gt;</v>
      </c>
      <c r="AU714" s="15"/>
      <c r="AV714" s="1" t="s">
        <v>1502</v>
      </c>
      <c r="BG714" s="7" t="s">
        <v>1503</v>
      </c>
      <c r="BH714" s="1" t="s">
        <v>1947</v>
      </c>
      <c r="BI714" s="2" t="s">
        <v>4230</v>
      </c>
      <c r="BJ714" s="1" t="s">
        <v>2036</v>
      </c>
      <c r="BK714" s="1" t="s">
        <v>4231</v>
      </c>
      <c r="BL714" s="1" t="s">
        <v>1959</v>
      </c>
      <c r="BM714" s="2" t="s">
        <v>4232</v>
      </c>
      <c r="BN714" s="1" t="s">
        <v>1875</v>
      </c>
      <c r="BO714" s="2" t="s">
        <v>4233</v>
      </c>
    </row>
    <row r="715" spans="1:71" ht="180" x14ac:dyDescent="0.45">
      <c r="A715" s="5">
        <v>714</v>
      </c>
      <c r="B715" s="8" t="s">
        <v>483</v>
      </c>
      <c r="C715" s="6" t="s">
        <v>1816</v>
      </c>
      <c r="D715" s="7" t="s">
        <v>9752</v>
      </c>
      <c r="E715" s="1" t="s">
        <v>1413</v>
      </c>
      <c r="F715" s="1" t="s">
        <v>1828</v>
      </c>
      <c r="G715" s="1"/>
      <c r="J715" s="1" t="s">
        <v>9753</v>
      </c>
      <c r="K715" s="2"/>
      <c r="L715" s="3" t="s">
        <v>8727</v>
      </c>
      <c r="P715" s="7" t="s">
        <v>1241</v>
      </c>
      <c r="AU715" s="15"/>
      <c r="AV715" s="1" t="s">
        <v>1502</v>
      </c>
      <c r="BG715" s="7" t="s">
        <v>1503</v>
      </c>
      <c r="BH715" s="1" t="s">
        <v>1947</v>
      </c>
      <c r="BI715" s="2" t="s">
        <v>4234</v>
      </c>
      <c r="BJ715" s="1" t="s">
        <v>1877</v>
      </c>
      <c r="BK715" s="2" t="s">
        <v>4235</v>
      </c>
    </row>
    <row r="716" spans="1:71" ht="126" x14ac:dyDescent="0.45">
      <c r="A716" s="5">
        <v>715</v>
      </c>
      <c r="B716" s="8" t="s">
        <v>484</v>
      </c>
      <c r="C716" s="6" t="s">
        <v>1816</v>
      </c>
      <c r="D716" s="7" t="s">
        <v>9752</v>
      </c>
      <c r="E716" s="1" t="s">
        <v>1829</v>
      </c>
      <c r="F716" s="1" t="s">
        <v>1830</v>
      </c>
      <c r="G716" s="1"/>
      <c r="J716" s="1" t="s">
        <v>9753</v>
      </c>
      <c r="K716" s="2"/>
      <c r="L716" s="9" t="s">
        <v>8686</v>
      </c>
      <c r="P716" s="7" t="s">
        <v>1241</v>
      </c>
      <c r="AU716" s="15"/>
      <c r="AV716" s="1" t="s">
        <v>1502</v>
      </c>
      <c r="BG716" s="7" t="s">
        <v>1503</v>
      </c>
      <c r="BH716" s="1" t="s">
        <v>1947</v>
      </c>
      <c r="BI716" s="2" t="s">
        <v>8687</v>
      </c>
      <c r="BJ716" s="1" t="s">
        <v>2036</v>
      </c>
      <c r="BK716" s="2" t="s">
        <v>4236</v>
      </c>
      <c r="BL716" s="1" t="s">
        <v>1959</v>
      </c>
      <c r="BM716" s="2" t="s">
        <v>4237</v>
      </c>
      <c r="BN716" s="1" t="s">
        <v>2114</v>
      </c>
      <c r="BO716" s="1" t="s">
        <v>4238</v>
      </c>
      <c r="BP716" s="1" t="s">
        <v>1875</v>
      </c>
      <c r="BQ716" s="2" t="s">
        <v>4239</v>
      </c>
    </row>
    <row r="717" spans="1:71" ht="180" x14ac:dyDescent="0.45">
      <c r="A717" s="5">
        <v>716</v>
      </c>
      <c r="B717" s="8" t="s">
        <v>485</v>
      </c>
      <c r="C717" s="6" t="s">
        <v>1816</v>
      </c>
      <c r="D717" s="7" t="s">
        <v>9752</v>
      </c>
      <c r="E717" s="1" t="s">
        <v>1447</v>
      </c>
      <c r="F717" s="1" t="s">
        <v>4240</v>
      </c>
      <c r="G717" s="1"/>
      <c r="J717" s="1" t="s">
        <v>9753</v>
      </c>
      <c r="K717" s="2" t="s">
        <v>8688</v>
      </c>
      <c r="L717" s="2" t="s">
        <v>8689</v>
      </c>
      <c r="P717" s="7" t="s">
        <v>1241</v>
      </c>
      <c r="AU717" s="15"/>
      <c r="AV717" s="1" t="s">
        <v>1502</v>
      </c>
      <c r="BG717" s="7" t="s">
        <v>1503</v>
      </c>
      <c r="BH717" s="1" t="s">
        <v>1947</v>
      </c>
      <c r="BI717" s="2" t="s">
        <v>4241</v>
      </c>
      <c r="BJ717" s="1" t="s">
        <v>2026</v>
      </c>
      <c r="BK717" s="2" t="s">
        <v>4242</v>
      </c>
      <c r="BL717" s="1" t="s">
        <v>1959</v>
      </c>
      <c r="BM717" s="2" t="s">
        <v>8690</v>
      </c>
      <c r="BN717" s="1" t="s">
        <v>1875</v>
      </c>
      <c r="BO717" s="2" t="s">
        <v>4243</v>
      </c>
    </row>
    <row r="718" spans="1:71" ht="126" x14ac:dyDescent="0.45">
      <c r="A718" s="5">
        <v>717</v>
      </c>
      <c r="B718" s="8" t="s">
        <v>486</v>
      </c>
      <c r="C718" s="6" t="s">
        <v>1816</v>
      </c>
      <c r="D718" s="7" t="s">
        <v>9752</v>
      </c>
      <c r="E718" s="1" t="s">
        <v>1346</v>
      </c>
      <c r="F718" s="1" t="s">
        <v>4244</v>
      </c>
      <c r="G718" s="1" t="s">
        <v>4245</v>
      </c>
      <c r="J718" s="1" t="s">
        <v>9753</v>
      </c>
      <c r="L718" s="2" t="s">
        <v>8691</v>
      </c>
      <c r="M718" s="1" t="s">
        <v>12136</v>
      </c>
      <c r="P718" s="7" t="s">
        <v>1241</v>
      </c>
      <c r="Q718" s="13" t="str">
        <f>INDEX($L:$L, MATCH("knowledge", $B:$B, 0))</f>
        <v>&lt;span class="w"&gt;&lt;b&gt;【58.knowledge：知識, 認識】&lt;/b&gt;&lt;/span&gt;
&lt;span class="ml"&gt;knowledgeは「knowの名詞」と覚えればよい。
&lt;span class="spacer"&gt;&lt;/span&gt;知っているという動詞から知っていること＝「知識, 認識」という名詞になる。&lt;/span&gt;</v>
      </c>
      <c r="R718" s="13" t="str">
        <f>INDEX($L:$L, MATCH("unknown", $B:$B, 0))</f>
        <v>&lt;span class="w"&gt;&lt;b&gt;【492.unknown：不明の, 知られていない】&lt;/b&gt;&lt;/span&gt;
&lt;span class="ml"&gt;中英語にさかのぼり、以下の2つの要素から成る。
&lt;span class="spacer"&gt;&lt;/span&gt;un（否定）
knowの過去分詞known
&lt;span class="spacer"&gt;&lt;/span&gt;このまま「知られていない」という意味になる。&lt;/span&gt;</v>
      </c>
      <c r="S718" s="13" t="str">
        <f>INDEX($L:$L, MATCH("notice", $B:$B, 0))</f>
        <v>&lt;span class="w"&gt;&lt;b&gt;【101.notice：（動）～に気づく, （名）通知】&lt;/b&gt;&lt;/span&gt;
&lt;span class="ml"&gt;印欧祖語*gno-（知る）から生まれたラテン語(g)nōscere（知るようになる, 認識する）
&lt;span class="spacer"&gt;&lt;/span&gt;「知るようになる」から知られるきっかけである「通知, 知らせ」という名詞になる。そして知らせによって何かを認識するので、「気づく」という動詞になる。&lt;/span&gt;</v>
      </c>
      <c r="T718" s="13" t="str">
        <f>INDEX($L:$L, MATCH("notion", $B:$B, 0))</f>
        <v>&lt;span class="w"&gt;&lt;b&gt;【453.notion：概念, 考え】&lt;/b&gt;&lt;/span&gt;
&lt;span class="ml"&gt;ラテン語に由来する語で、以下の2つの要素から成る。
&lt;span class="spacer"&gt;&lt;/span&gt;noscere（知る）
io（名詞化）
&lt;span class="spacer"&gt;&lt;/span&gt;この語の核は「知られているもの」。ここから頭の中にある「考え, 概念」という意味になる。&lt;/span&gt;</v>
      </c>
      <c r="U718" s="13" t="str">
        <f>INDEX($L:$L, MATCH("noble", $B:$B, 0))</f>
        <v>&lt;span class="w"&gt;&lt;b&gt;【1184.noble：高貴な, 高潔な, 気高い】&lt;/b&gt;&lt;/span&gt;
&lt;span class="ml"&gt;ラテン語に由来する語で、以下の2つの要素から成る。
&lt;span class="spacer"&gt;&lt;/span&gt;gnoscere（知る）
bilis（できる）
&lt;span class="spacer"&gt;&lt;/span&gt;この語の核は「皆によく知られている＝知名度が高い」。当時の社会で、世間によく知られているということは身分が高い家、つまり貴族ということになる。そこから「高貴な」という意味になった。
&lt;span class="spacer"&gt;&lt;/span&gt;また高貴な人々にふさわしいとされる道徳心や立派な振る舞いから「高潔な, 気高い」という意味にもなった。
&lt;div class="sample_image noble"&gt;&lt;/div&gt;&lt;/span&gt;</v>
      </c>
      <c r="V718" s="13" t="str">
        <f>INDEX($L:$L, MATCH("ignore", $B:$B, 0))</f>
        <v>&lt;span class="w"&gt;&lt;b&gt;【224.ignore：～を無視する】&lt;/b&gt;&lt;/span&gt;
&lt;span class="ml"&gt;ラテン語に由来する語で、以下の2つの要素から成る。
&lt;span class="spacer"&gt;&lt;/span&gt;in（否定）
gnarus（知っている）
&lt;span class="spacer"&gt;&lt;/span&gt;このまま日本語にすると「知らない」となる。気に留めることなく知らないふりをすることから、「無視する」という意味になった。
&lt;span class="spacer"&gt;&lt;/span&gt;形容詞ignorant（無知な）,や名詞ignorance（無知）もセットで覚えておく。&lt;/span&gt;</v>
      </c>
      <c r="W718" s="13" t="str">
        <f>INDEX($L:$L, MATCH("cognitive", $B:$B, 0))</f>
        <v>&lt;span class="w"&gt;&lt;b&gt;【279.cognitive：認知の】&lt;/b&gt;&lt;/span&gt;
&lt;span class="ml"&gt;ラテン語に由来する語で、以下の2つの要素から成る。
&lt;span class="spacer"&gt;&lt;/span&gt;com（共に）
gnoscere（知る）
&lt;span class="obsolete"&gt;ive（形容詞化）は英語段階で付いた&lt;/span&gt;
&lt;span class="spacer"&gt;&lt;/span&gt;このまま日本語にすると「共に知る」となる。互いに認知することから「認知の」という意味になる。&lt;/span&gt;</v>
      </c>
      <c r="X718" s="13" t="str">
        <f>INDEX($L:$L, MATCH("recognize", $B:$B, 0))</f>
        <v>&lt;span class="w"&gt;&lt;b&gt;【106.recognize：～を認識する, ～を識別する】&lt;/b&gt;&lt;/span&gt;
&lt;span class="ml"&gt;ラテン語に由来する語で、以下の3つの要素から成る。
&lt;span class="spacer"&gt;&lt;/span&gt;re（再び）
com（強意）
gnoscere（知る）
&lt;span class="spacer"&gt;&lt;/span&gt;このまま日本語にすると「再びしっかり知る」となる。目の前の情報Aを既にある知識と照らし合わせ、情報Aは知識の中の情報Bと同一であると再び知る。つまり、情報Aは情報Bであると「識別する, 認識する」という意味になる。
&lt;div class="sample_image recognize"&gt;&lt;/div&gt;&lt;/span&gt;</v>
      </c>
      <c r="Y718" s="13" t="str">
        <f>INDEX($L:$L, MATCH("diagnose", $B:$B, 0))</f>
        <v>&lt;span class="w"&gt;&lt;b&gt;【1419.diagnose：診断する】&lt;/b&gt;&lt;/span&gt;
&lt;span class="ml"&gt;ギリシャ語に由来する語で、以下の2つの要素から成る。
&lt;span class="spacer"&gt;&lt;/span&gt;dia（間に）
gignōskein（学ぶ, 知るようになる）
&lt;span class="spacer"&gt;&lt;/span&gt;もともとは、様々な物事の間にある差異を知り、それぞれを区別する、識別することを表した。そこから医学において、症状を見分けて病名を特定することを意味するようになり、「診断する」という意味になった。
&lt;div class="sample_image diagnose"&gt;&lt;/div&gt;
&lt;span class="spacer"&gt;&lt;/span&gt;さらに現代では、医学に限らず、機械や技術、ビジネス、教育など様々な分野において「問題分析をする」という意味でも使われる。&lt;/span&gt;</v>
      </c>
      <c r="Z718" s="13" t="str">
        <f>INDEX($L:$L, MATCH("acquaintance", $B:$B, 0))</f>
        <v>&lt;span class="w"&gt;&lt;b&gt;【1257.acquaintance：知人, 面識, 知識】&lt;/b&gt;&lt;/span&gt;
&lt;span class="ml"&gt;ラテン語に由来する語で、以下の4つの要素から成る。
&lt;span class="spacer"&gt;&lt;/span&gt;ad（〜へ）
com（完全に）
gnoscere（知る）
&lt;span class="obsolete"&gt;ance（名詞化）はフランス語段階で付いた&lt;/span&gt;
&lt;span class="spacer"&gt;&lt;/span&gt;この語の核は「何かをしっかり知っていること」。そこから、ある分野に通じているという意味での「知識」や、相手と初対面ではなくて顔を見て知っているという「面識」、そして面識がある人、すなわち「知人」などの意味になる。
&lt;span class="spacer"&gt;&lt;/span&gt;acquaintanceというスペルはもとのラテン語から大きく変わってしまったが、印欧祖語*gno-（知る）そしてラテン語gnoscere（知る）から生まれた語。&lt;/span&gt;</v>
      </c>
      <c r="AU718" s="15"/>
      <c r="AV718" s="1" t="s">
        <v>1502</v>
      </c>
      <c r="BG718" s="7" t="s">
        <v>1503</v>
      </c>
      <c r="BH718" s="1" t="s">
        <v>1872</v>
      </c>
      <c r="BI718" s="2" t="s">
        <v>4246</v>
      </c>
      <c r="BJ718" s="1" t="s">
        <v>1875</v>
      </c>
      <c r="BK718" s="2" t="s">
        <v>8692</v>
      </c>
      <c r="BL718" s="1" t="s">
        <v>1877</v>
      </c>
      <c r="BM718" s="2" t="s">
        <v>4247</v>
      </c>
    </row>
    <row r="719" spans="1:71" ht="198" x14ac:dyDescent="0.45">
      <c r="A719" s="5">
        <v>718</v>
      </c>
      <c r="B719" s="8" t="s">
        <v>487</v>
      </c>
      <c r="C719" s="6" t="s">
        <v>1816</v>
      </c>
      <c r="D719" s="7" t="s">
        <v>9752</v>
      </c>
      <c r="E719" s="1" t="s">
        <v>1459</v>
      </c>
      <c r="F719" s="1" t="s">
        <v>1831</v>
      </c>
      <c r="G719" s="1"/>
      <c r="J719" s="1" t="s">
        <v>9753</v>
      </c>
      <c r="K719" s="2" t="s">
        <v>8693</v>
      </c>
      <c r="L719" s="3" t="s">
        <v>8728</v>
      </c>
      <c r="P719" s="7" t="s">
        <v>1241</v>
      </c>
      <c r="AU719" s="15"/>
      <c r="AV719" s="1" t="s">
        <v>1502</v>
      </c>
      <c r="BG719" s="7" t="s">
        <v>1503</v>
      </c>
      <c r="BH719" s="1" t="s">
        <v>1947</v>
      </c>
      <c r="BI719" s="2" t="s">
        <v>4248</v>
      </c>
      <c r="BJ719" s="1" t="s">
        <v>1959</v>
      </c>
      <c r="BK719" s="1" t="s">
        <v>4249</v>
      </c>
      <c r="BL719" s="1" t="s">
        <v>1875</v>
      </c>
      <c r="BM719" s="2" t="s">
        <v>4250</v>
      </c>
    </row>
    <row r="720" spans="1:71" ht="108" x14ac:dyDescent="0.45">
      <c r="A720" s="5">
        <v>719</v>
      </c>
      <c r="B720" s="8" t="s">
        <v>488</v>
      </c>
      <c r="C720" s="6" t="s">
        <v>1816</v>
      </c>
      <c r="D720" s="7" t="s">
        <v>9752</v>
      </c>
      <c r="E720" s="1" t="s">
        <v>1454</v>
      </c>
      <c r="F720" s="1" t="s">
        <v>4251</v>
      </c>
      <c r="G720" s="1"/>
      <c r="J720" s="1" t="s">
        <v>9753</v>
      </c>
      <c r="K720" s="2" t="s">
        <v>8694</v>
      </c>
      <c r="L720" s="2" t="s">
        <v>8695</v>
      </c>
      <c r="M720" s="1" t="s">
        <v>12134</v>
      </c>
      <c r="P720" s="7" t="s">
        <v>1241</v>
      </c>
      <c r="Q720" s="13" t="str">
        <f>INDEX($L:$L, MATCH("value", $B:$B, 0))</f>
        <v>&lt;span class="w"&gt;&lt;b&gt;【55.value：価値, 評価, 値】&lt;/b&gt;&lt;/span&gt;
&lt;span class="ml"&gt;ラテン語valere（価値がある, 強い）に由来する。
&lt;span class="spacer"&gt;&lt;/span&gt;価値があるという動詞から名詞になり、「価値, 評価, 値」という意味になる。&lt;/span&gt;</v>
      </c>
      <c r="R720" s="13" t="str">
        <f>INDEX($L:$L, MATCH("available", $B:$B, 0))</f>
        <v>&lt;span class="w"&gt;&lt;b&gt;【93.available：利用できる, 手に入る】&lt;/b&gt;&lt;/span&gt;
&lt;span class="ml"&gt;ラテン語と古フランス語に由来する語で、以下の3つの要素から成る。
&lt;span class="spacer"&gt;&lt;/span&gt;a（〜へ）
valoir（価値がある：ラテン語valere）
&lt;span class="obsolete"&gt;able（できる）は英語段階で付いた&lt;/span&gt;
&lt;span class="spacer"&gt;&lt;/span&gt;aとvaloirから「何かに対して価値がある」つまり「何かに役立つ, 有用である（avail）」となる。役立つということは、必要なときに使える状態でなければならない（使えなければ役立たない）。ここから「手に入る」そして「利用できる」という意味になる。&lt;/span&gt;</v>
      </c>
      <c r="S720" s="13" t="str">
        <f>INDEX($L:$L, MATCH("equivalent", $B:$B, 0))</f>
        <v>&lt;span class="w"&gt;&lt;b&gt;【685.equivalent：同等の, 相当する】&lt;/b&gt;&lt;/span&gt;
&lt;span class="ml"&gt;ラテン語に由来する語で、以下の2つの要素から成る。
&lt;span class="spacer"&gt;&lt;/span&gt;aequus（等しい）
valere（価値がある）
&lt;span class="spacer"&gt;&lt;/span&gt;このまま日本語にすると「等しい価値がある」となる。ここから「同等の, 相当する」という意味になる。
&lt;span class="spacer"&gt;&lt;/span&gt;equal：AとBが完全に一致
equivalent：AとBは別物だが同等/span&gt;</v>
      </c>
      <c r="T720" s="13" t="str">
        <f>INDEX($L:$L, MATCH("valid", $B:$B, 0))</f>
        <v>&lt;span class="w"&gt;&lt;b&gt;【1080.valid：妥当な, 正当な, 有効な】&lt;/b&gt;&lt;/span&gt;
&lt;span class="ml"&gt;ラテン語に由来する語で、以下の2つの要素から成る。
&lt;span class="spacer"&gt;&lt;/span&gt;valere（強い, 力がある）
idus（形容詞化）
&lt;span class="spacer"&gt;&lt;/span&gt;この語の核は「強い状態にある」「力を持っている」。法律・ルール・条件などを満たして力を持っている状態から「有効な」という意味になる。また、意見や主張などが論理的に頑丈で崩れることのない強い状態にあることから「正当な, 妥当な」という意味になる。
&lt;div class="sample_image valid"&gt;&lt;/div&gt;&lt;/span&gt;</v>
      </c>
      <c r="U720" s="13" t="str">
        <f>INDEX($L:$L, MATCH("prevail", $B:$B, 0))</f>
        <v>&lt;span class="w"&gt;&lt;b&gt;【1340.prevail：普及している, 支配的である, 圧倒している, 打ち勝つ】&lt;/b&gt;&lt;/span&gt;
&lt;span class="ml"&gt;ラテン語に由来する語で、以下の2つの要素から成る。
&lt;span class="spacer"&gt;&lt;/span&gt;prae（前に）
valere（力を持つ, 強い）
&lt;span class="spacer"&gt;&lt;/span&gt;この語の核は「他者の前へ立って力を見せつける」イメージ。そこから、物理的に力で相手を「圧倒している, 打ち勝つ」という意味になる。
&lt;span class="spacer"&gt;&lt;/span&gt;また、強い力を持って社会全体を覆い尽くすイメージから、考え方や習慣、あるいは病気などが「支配的である, 普及している」という意味にもなる。
&lt;div class="sample_image prevail"&gt;&lt;/div&gt;&lt;/span&gt;</v>
      </c>
      <c r="AV720" s="1" t="s">
        <v>1502</v>
      </c>
      <c r="BG720" s="7" t="s">
        <v>1503</v>
      </c>
      <c r="BH720" s="1" t="s">
        <v>1947</v>
      </c>
      <c r="BI720" s="1" t="s">
        <v>4252</v>
      </c>
      <c r="BJ720" s="1" t="s">
        <v>1959</v>
      </c>
      <c r="BK720" s="2" t="s">
        <v>4253</v>
      </c>
      <c r="BL720" s="1" t="s">
        <v>1877</v>
      </c>
      <c r="BM720" s="2" t="s">
        <v>4254</v>
      </c>
    </row>
    <row r="721" spans="1:67" ht="198" x14ac:dyDescent="0.45">
      <c r="A721" s="5">
        <v>720</v>
      </c>
      <c r="B721" s="8" t="s">
        <v>489</v>
      </c>
      <c r="C721" s="6" t="s">
        <v>1816</v>
      </c>
      <c r="D721" s="7" t="s">
        <v>9752</v>
      </c>
      <c r="E721" s="1" t="s">
        <v>1327</v>
      </c>
      <c r="F721" s="1" t="s">
        <v>1832</v>
      </c>
      <c r="G721" s="1"/>
      <c r="J721" s="1" t="s">
        <v>9753</v>
      </c>
      <c r="K721" s="2" t="s">
        <v>8696</v>
      </c>
      <c r="L721" s="3" t="s">
        <v>8729</v>
      </c>
      <c r="P721" s="7" t="s">
        <v>1241</v>
      </c>
      <c r="Q721" s="13" t="str">
        <f>INDEX($L:$L, MATCH("clarify", $B:$B, 0))</f>
        <v>&lt;span class="w"&gt;&lt;b&gt;【1425.clarify：〜を明確にする】&lt;/b&gt;&lt;/span&gt;
&lt;span class="ml"&gt;ラテン語に由来する語で、以下の2つの要素から成る。
&lt;span class="spacer"&gt;&lt;/span&gt;clarus（明るい, はっきりした）
facere（作る, 行う）
&lt;span class="spacer"&gt;&lt;/span&gt;このまま日本語にすると「はっきりさせる」すなわち「明確にする」となる。ラテン語clarusは、英語clearの語源でもあるので、clear（明確な）＋fy（する）とイメージすればよい。&lt;/span&gt;</v>
      </c>
      <c r="AU721" s="15"/>
      <c r="AV721" s="1" t="s">
        <v>1502</v>
      </c>
      <c r="BG721" s="7" t="s">
        <v>1503</v>
      </c>
      <c r="BH721" s="1" t="s">
        <v>1947</v>
      </c>
      <c r="BI721" s="2" t="s">
        <v>4255</v>
      </c>
      <c r="BJ721" s="1" t="s">
        <v>1959</v>
      </c>
      <c r="BK721" s="2" t="s">
        <v>4256</v>
      </c>
      <c r="BL721" s="1" t="s">
        <v>1875</v>
      </c>
      <c r="BM721" s="2" t="s">
        <v>4257</v>
      </c>
    </row>
    <row r="722" spans="1:67" ht="324" x14ac:dyDescent="0.45">
      <c r="A722" s="5">
        <v>721</v>
      </c>
      <c r="B722" s="8" t="s">
        <v>490</v>
      </c>
      <c r="C722" s="6" t="s">
        <v>1816</v>
      </c>
      <c r="D722" s="7" t="s">
        <v>9752</v>
      </c>
      <c r="E722" s="1" t="s">
        <v>1833</v>
      </c>
      <c r="F722" s="1" t="s">
        <v>1834</v>
      </c>
      <c r="G722" s="1"/>
      <c r="J722" s="1" t="s">
        <v>9753</v>
      </c>
      <c r="K722" s="2" t="s">
        <v>8697</v>
      </c>
      <c r="L722" s="4" t="s">
        <v>8698</v>
      </c>
      <c r="M722" s="1" t="s">
        <v>12202</v>
      </c>
      <c r="P722" s="7" t="s">
        <v>1241</v>
      </c>
      <c r="Q722" s="14" t="str">
        <f>INDEX($L:$L, MATCH("assure", $B:$B, 0))</f>
        <v>&lt;span class="w"&gt;&lt;b&gt;【1301.assure：〜保証する, 〜に自信を持って言う】&lt;/b&gt;&lt;/span&gt;
&lt;span class="ml"&gt;ラテン語に由来する語で、以下の3つの要素から成る。
&lt;span class="spacer"&gt;&lt;/span&gt;ad（〜へ）
se（離れて）
cura（注意）
&lt;span class="spacer"&gt;&lt;/span&gt;このまま日本語にすると「対象を注意から離れた状態にする」となる。相手を心配がない状態にすることから、何かを「保証する, 自信を持って言う」という意味になる。
&lt;div class="sample_image assure"&gt;&lt;/div&gt;
&lt;span class="spacer"&gt;&lt;/span&gt;ラテン語se（離れて）＋cura（注意）からは、英語のsure（確信して）やsecure（安全な）も生まれている。
&lt;span class="spacer"&gt;&lt;/span&gt;どちらも核は、注意から離れている状態。注意（や心配）から解放されているということが、一切の不安のない確信（sure）や安全（secure）へとつながった。
&lt;span class="spacer"&gt;&lt;/span&gt;このイメージからassureは、相手へ確信や安心をもたらすように「保証する, 自信をもって言う」と考えればよい。&lt;/span&gt;</v>
      </c>
      <c r="R722" s="14" t="str">
        <f>INDEX($L:$L, MATCH("ensure", $B:$B, 0))</f>
        <v>&lt;span class="w"&gt;&lt;b&gt;【509.ensure：～を確実にする】&lt;/b&gt;&lt;/span&gt;
&lt;span class="ml"&gt;古フランス語に由来する語で、以下の2つの要素から成る。
&lt;span class="spacer"&gt;&lt;/span&gt;en（動詞化）
seur（確実な, 確かな：sureの語源）
&lt;span class="spacer"&gt;&lt;/span&gt;このまま日本語にすると「確実な状態にする」となる。つまり「何かが確実にそうなるようにする」というイメージで、ここから「〜を確実にする」という意味になる。&lt;/span&gt;</v>
      </c>
      <c r="S722" s="14" t="str">
        <f>INDEX($L:$L, MATCH("insurance", $B:$B, 0))</f>
        <v>&lt;span class="w"&gt;&lt;b&gt;【659.insurance：保険】&lt;/b&gt;&lt;/span&gt;
&lt;span class="ml"&gt;この語は2段階で考える。
sura部分は英語のsureと同じ。ラテン語に由来し、以下の2つの要素から成る。
&lt;span class="spacer"&gt;&lt;/span&gt;se（離れて）
cura（心配）
&lt;span class="spacer"&gt;&lt;/span&gt;sura部分は「心配から離れて安全・確実」というイメージ。
&lt;span class="spacer"&gt;&lt;/span&gt;このラテン語から古フランス語になって、以下の3つの要素からinsuranceが出来上がる。
&lt;span class="spacer"&gt;&lt;/span&gt;en（〜にする）
sur（安全な, 確実な）
ance（名詞化）
&lt;span class="spacer"&gt;&lt;/span&gt;このまま日本語にすると「（心配を取り除いて）確実で安全な状態にすること」となる。ここからリスクに対する不安を取り除き、安全な状態にする「保険」という意味になった。
&lt;div class="sample_image insurance"&gt;&lt;/div&gt;&lt;/span&gt;</v>
      </c>
      <c r="T722" s="14" t="str">
        <f>INDEX($L:$L, MATCH("cure", $B:$B, 0))</f>
        <v>&lt;span class="w"&gt;&lt;b&gt;【527.cure：〜を治す, 〜を取り除く, 病気が治る】&lt;/b&gt;&lt;/span&gt;
&lt;span class="ml"&gt;ラテン語curare（世話をする）に由来する。
&lt;span class="spacer"&gt;&lt;/span&gt;これは対象の状態に注意を払い、管理し、整えることを意味する。医療的な文脈では、病人の世話をして健康な状態へ導くことから、「病気を治す, 病を取り除く, 病気が治る」という意味になる。&lt;/span&gt;</v>
      </c>
      <c r="U722" s="14" t="str">
        <f>INDEX($L:$L, MATCH("accurate", $B:$B, 0))</f>
        <v>&lt;span class="w"&gt;&lt;b&gt;【382.accurate：正確な, 精密な】&lt;/b&gt;&lt;/span&gt;
&lt;span class="ml"&gt;ラテン語に由来する語で、以下の2つの要素から成る。
&lt;span class="spacer"&gt;&lt;/span&gt;ad（～へ）
cura（注意）から派生したcurare（注意を払う）
&lt;span class="spacer"&gt;&lt;/span&gt;このまま日本語にすると「対象へ注意を払う」となる。ここから何かを注意深く念入りに行うことから「正確な, 精密な」という意味になる。&lt;/span&gt;</v>
      </c>
      <c r="V722" s="13" t="str">
        <f>INDEX($L:$L, MATCH("curious", $B:$B, 0))</f>
        <v>&lt;span class="w"&gt;&lt;b&gt;【580.curious：好奇心の強い】&lt;/b&gt;&lt;/span&gt;
&lt;span class="ml"&gt;ラテン語に由来する語で、以下の2つの要素から成る。
cura（注意, 関心）
osus（形容詞化：〜に満ちた）
&lt;span class="spacer"&gt;&lt;/span&gt;このまま日本語にすると「注意や関心に満ちた」となる。ここから関心が溢れて、熱心に探りたがる、つまり「好奇心が強い」という意味になる。
&lt;div class="sample_image curious"&gt;&lt;/div&gt;&lt;/span&gt;</v>
      </c>
      <c r="AU722" s="15"/>
      <c r="AV722" s="1" t="s">
        <v>1502</v>
      </c>
      <c r="BG722" s="7" t="s">
        <v>1503</v>
      </c>
      <c r="BH722" s="1" t="s">
        <v>1947</v>
      </c>
      <c r="BI722" s="2" t="s">
        <v>4258</v>
      </c>
      <c r="BJ722" s="1" t="s">
        <v>1877</v>
      </c>
      <c r="BK722" s="2" t="s">
        <v>4259</v>
      </c>
    </row>
    <row r="723" spans="1:67" ht="162" x14ac:dyDescent="0.45">
      <c r="A723" s="5">
        <v>722</v>
      </c>
      <c r="B723" s="8" t="s">
        <v>491</v>
      </c>
      <c r="C723" s="6" t="s">
        <v>1816</v>
      </c>
      <c r="D723" s="7" t="s">
        <v>9752</v>
      </c>
      <c r="E723" s="1" t="s">
        <v>4260</v>
      </c>
      <c r="F723" s="1" t="s">
        <v>1519</v>
      </c>
      <c r="G723" s="1"/>
      <c r="J723" s="1" t="s">
        <v>9753</v>
      </c>
      <c r="K723" s="2" t="s">
        <v>8699</v>
      </c>
      <c r="L723" s="2" t="s">
        <v>8700</v>
      </c>
      <c r="P723" s="7" t="s">
        <v>1241</v>
      </c>
      <c r="AU723" s="15"/>
      <c r="AV723" s="1" t="s">
        <v>1502</v>
      </c>
      <c r="BG723" s="7" t="s">
        <v>1503</v>
      </c>
      <c r="BH723" s="1" t="s">
        <v>1947</v>
      </c>
      <c r="BI723" s="2" t="s">
        <v>4261</v>
      </c>
      <c r="BJ723" s="1" t="s">
        <v>1959</v>
      </c>
      <c r="BK723" s="2" t="s">
        <v>4262</v>
      </c>
      <c r="BL723" s="1" t="s">
        <v>1875</v>
      </c>
      <c r="BM723" s="2" t="s">
        <v>4263</v>
      </c>
      <c r="BN723" s="1" t="s">
        <v>1877</v>
      </c>
      <c r="BO723" s="2" t="s">
        <v>4264</v>
      </c>
    </row>
    <row r="724" spans="1:67" ht="162" x14ac:dyDescent="0.45">
      <c r="A724" s="5">
        <v>723</v>
      </c>
      <c r="B724" s="8" t="s">
        <v>492</v>
      </c>
      <c r="C724" s="6" t="s">
        <v>1816</v>
      </c>
      <c r="D724" s="7" t="s">
        <v>9752</v>
      </c>
      <c r="E724" s="1" t="s">
        <v>1395</v>
      </c>
      <c r="F724" s="1" t="s">
        <v>1412</v>
      </c>
      <c r="G724" s="1"/>
      <c r="J724" s="1" t="s">
        <v>9753</v>
      </c>
      <c r="K724" s="2" t="s">
        <v>8701</v>
      </c>
      <c r="L724" s="3" t="s">
        <v>8730</v>
      </c>
      <c r="M724" s="1" t="s">
        <v>12179</v>
      </c>
      <c r="P724" s="7" t="s">
        <v>1241</v>
      </c>
      <c r="Q724" s="13" t="str">
        <f>INDEX($L:$L, MATCH("tribe", $B:$B, 0))</f>
        <v>&lt;span class="w"&gt;&lt;b&gt;【473.tribe：部族, 仲間】&lt;/b&gt;&lt;/span&gt;
&lt;span class="ml"&gt;ラテン語tribus（古代ローマの3つの政治的・民族的区分）に由来する。
&lt;span class="spacer"&gt;&lt;/span&gt;ラテン語tribusは、初期のローマ社会を構成する、ラムネス・ティテス・ルケレスという3つの政治的・民族的区分を表した。
&lt;span class="spacer"&gt;&lt;/span&gt;&lt;span class="obsolete"&gt;ラテン語tribusのtriは「3」を意味する。これは英語のtriple（トリプル）やtriangle（トライアングル）にも見られる。&lt;/span&gt;
&lt;span class="spacer"&gt;&lt;/span&gt;中英語では、キリスト教における古代ヘブライ人の12部族を表すようになる。ここから首長がまとめる同族の集団である「部族」という意味になった。&lt;/span&gt;</v>
      </c>
      <c r="R724" s="13" t="str">
        <f>INDEX($L:$L, MATCH("contribute", $B:$B, 0))</f>
        <v>&lt;span class="w"&gt;&lt;b&gt;【228.contribute：寄付する, 貢献する, 一因となる】&lt;/b&gt;&lt;/span&gt;
&lt;span class="ml"&gt;ラテン語に由来する語で、以下の2つの要素から成る。
&lt;span class="spacer"&gt;&lt;/span&gt;com（共に）
tribuere（割り当てる, 与える）
&lt;span class="spacer"&gt;&lt;/span&gt;このまま日本語にすると「共に割り当てる, 与える」となる。他人と一緒に何かを与えるイメージから、みんなで「寄付する, 貢献する」という意味になる。また結果に貢献した場合は、結果の「一因となる」と表現できる。
&lt;div class="sample_image contribute"&gt;&lt;/div&gt;&lt;/span&gt;</v>
      </c>
      <c r="S724" s="13" t="str">
        <f>INDEX($L:$L, MATCH("distribute", $B:$B, 0))</f>
        <v>&lt;span class="w"&gt;&lt;b&gt;【807.distribute：〜を分配する】&lt;/b&gt;&lt;/span&gt;
&lt;span class="ml"&gt;ラテン語に由来する語で、以下の2つの要素から成る。
&lt;span class="spacer"&gt;&lt;/span&gt;dis（分けて）
tribus（部族）から派生したtribuere（割り当てる）
&lt;span class="spacer"&gt;&lt;/span&gt;このまま日本語にすると「分けて与える」つまり「分配する」という意味になる。
&lt;span class="spacer"&gt;&lt;/span&gt;tribute部分は、tribe（部族）に割り当てることが核。①は部族Aに、②は部族Bに…という形で与えるイメージ。
&lt;div class="sample_image distribute"&gt;&lt;/div&gt;&lt;/span&gt;</v>
      </c>
      <c r="AU724" s="15"/>
      <c r="AV724" s="1" t="s">
        <v>1502</v>
      </c>
      <c r="BG724" s="7" t="s">
        <v>1503</v>
      </c>
      <c r="BH724" s="1" t="s">
        <v>1947</v>
      </c>
      <c r="BI724" s="2" t="s">
        <v>4563</v>
      </c>
      <c r="BJ724" s="1" t="s">
        <v>1875</v>
      </c>
      <c r="BK724" s="2" t="s">
        <v>4265</v>
      </c>
    </row>
    <row r="725" spans="1:67" ht="270" x14ac:dyDescent="0.45">
      <c r="A725" s="5">
        <v>724</v>
      </c>
      <c r="B725" s="8" t="s">
        <v>493</v>
      </c>
      <c r="C725" s="6" t="s">
        <v>1816</v>
      </c>
      <c r="D725" s="7" t="s">
        <v>9752</v>
      </c>
      <c r="E725" s="1" t="s">
        <v>1338</v>
      </c>
      <c r="F725" s="1" t="s">
        <v>54</v>
      </c>
      <c r="G725" s="1"/>
      <c r="J725" s="1" t="s">
        <v>9753</v>
      </c>
      <c r="K725" s="2" t="s">
        <v>7140</v>
      </c>
      <c r="L725" s="3" t="s">
        <v>8731</v>
      </c>
      <c r="M725" s="1" t="s">
        <v>12117</v>
      </c>
      <c r="P725" s="7" t="s">
        <v>1241</v>
      </c>
      <c r="Q725" s="14" t="str">
        <f>INDEX($L:$L, MATCH("tend", $B:$B, 0))</f>
        <v>&lt;span class="w"&gt;&lt;b&gt;【16.tend：傾向がある】&lt;/b&gt;&lt;/span&gt;
&lt;span class="ml"&gt;ラテン語tendere（伸ばす, 引っ張る）に由来する。
&lt;span class="spacer"&gt;&lt;/span&gt;心や注意をある対象に向かって「伸ばす」というイメージから、ある対象の方へ向かいやすい＝「傾向がある」という意味になる。
&lt;span class="spacer"&gt;&lt;/span&gt;tend to do Aは、（他のことではなく）Aする方へ心や注意が伸びる＝「Aしがち, Aする傾向がある」という意味になる。&lt;/span&gt;</v>
      </c>
      <c r="R725" s="14" t="str">
        <f>INDEX($L:$L, MATCH("attend", $B:$B, 0))</f>
        <v>&lt;span class="w"&gt;&lt;b&gt;【205.attend：～を世話をする, ～を対処する, ～を出席する】&lt;/b&gt;&lt;/span&gt;
&lt;span class="ml"&gt;ラテン語に由来する語で、以下の2つの要素から成る。
&lt;span class="spacer"&gt;&lt;/span&gt;ad（～へ）
tendere（伸ばす）
&lt;span class="spacer"&gt;&lt;/span&gt;このまま日本語にすると「何かへ伸ばす」となる。心や労力を相手へ伸ばすことから「世話をする」という意味になる。
&lt;span class="spacer"&gt;&lt;/span&gt;また、世話をするために付き添う＝一緒にどこかへ行くということから発展して、「出席する」という意味になる。
&lt;span class="spacer"&gt;&lt;/span&gt;そして労力を問題へ伸ばすことから「対処する」という意味になる。
&lt;div class="sample_image attend"&gt;&lt;/div&gt;&lt;/span&gt;</v>
      </c>
      <c r="S725" s="14" t="str">
        <f>INDEX($L:$L, MATCH("extend", $B:$B, 0))</f>
        <v>&lt;span class="w"&gt;&lt;b&gt;【339.extend：～を伸ばす, ～を延ばす】&lt;/b&gt;&lt;/span&gt;
&lt;span class="ml"&gt;ラテン語に由来する語で、以下の2つの要素から成る。
&lt;span class="spacer"&gt;&lt;/span&gt;ex（外に）
tendere（伸ばす）
&lt;span class="spacer"&gt;&lt;/span&gt;このまま日本語にすると「外に伸ばす」となる。ここから「伸ばす, 延ばす」という意味になる。&lt;/span&gt;</v>
      </c>
      <c r="T725" s="14" t="str">
        <f>INDEX($L:$L, MATCH("intend", $B:$B, 0))</f>
        <v>&lt;span class="w"&gt;&lt;b&gt;【432.intend：〜を意図する】&lt;/b&gt;&lt;/span&gt;
&lt;span class="ml"&gt;ラテン語に由来する語で、以下の2つの要素から成る。
&lt;span class="spacer"&gt;&lt;/span&gt;in（中に）
tendere（伸ばす）
&lt;span class="spacer"&gt;&lt;/span&gt;このまま日本語にすると「中に伸ばす」となる。これは、対象の中に心や注意を伸ばすイメージ。そこから、目的に心や注意を向ける＝「意図する」という意味になる。
&lt;div class="sample_image intend"&gt;&lt;/div&gt;&lt;/span&gt;</v>
      </c>
      <c r="U725" s="14" t="str">
        <f>INDEX($L:$L, MATCH("tense", $B:$B, 0))</f>
        <v>&lt;span class="w"&gt;&lt;b&gt;【1187.tense：緊張した, 張り詰めた】&lt;/b&gt;&lt;/span&gt;
&lt;span class="ml"&gt;ラテン語tendere（伸ばす, 張る）に由来する。
&lt;span class="spacer"&gt;&lt;/span&gt;この語の核は「糸やロープが両端から引っ張られている状態」。この物理的な緊張から、心理的な緊張状態や状況の緊張状態にも広がって「張り詰めた, 緊張した」という意味になった。&lt;/span&gt;
&lt;div class="animation tense"&gt;&lt;/div&gt;</v>
      </c>
      <c r="V725" s="14" t="str">
        <f>INDEX($L:$L, MATCH("intense", $B:$B, 0))</f>
        <v>&lt;span class="w"&gt;&lt;b&gt;【691.intense：強烈な, 激しい】&lt;/b&gt;&lt;/span&gt;
&lt;span class="ml"&gt;ラテン語に由来する語で、以下の2つの要素から成る。
&lt;span class="spacer"&gt;&lt;/span&gt;in（方向）
tendere（伸ばす）
&lt;span class="spacer"&gt;&lt;/span&gt;このまま日本語にすると「ある方向へ伸ばす」となる。もともとは、物理的に弓や弦などが限界まで伸ばされた状態を表していた。
&lt;span class="spacer"&gt;&lt;/span&gt;ここから比喩的に程度を表す言葉へと変化し、限界まで張り詰めた状態から「強烈な, 激しい」という意味になった。
&lt;div class="sample_image intense"&gt;&lt;/div&gt;&lt;/span&gt;</v>
      </c>
      <c r="W725" s="15"/>
      <c r="AU725" s="15"/>
      <c r="AV725" s="1" t="s">
        <v>1502</v>
      </c>
      <c r="BG725" s="7" t="s">
        <v>1503</v>
      </c>
      <c r="BH725" s="1" t="s">
        <v>1947</v>
      </c>
      <c r="BI725" s="2" t="s">
        <v>4266</v>
      </c>
      <c r="BJ725" s="1" t="s">
        <v>1959</v>
      </c>
      <c r="BK725" s="2" t="s">
        <v>4267</v>
      </c>
      <c r="BL725" s="1" t="s">
        <v>1875</v>
      </c>
      <c r="BM725" s="2" t="s">
        <v>4268</v>
      </c>
      <c r="BN725" s="1" t="s">
        <v>1877</v>
      </c>
      <c r="BO725" s="2" t="s">
        <v>4269</v>
      </c>
    </row>
    <row r="726" spans="1:67" ht="108" x14ac:dyDescent="0.45">
      <c r="A726" s="5">
        <v>725</v>
      </c>
      <c r="B726" s="8" t="s">
        <v>494</v>
      </c>
      <c r="C726" s="6" t="s">
        <v>1816</v>
      </c>
      <c r="D726" s="7" t="s">
        <v>9752</v>
      </c>
      <c r="E726" s="6" t="s">
        <v>494</v>
      </c>
      <c r="F726" s="1"/>
      <c r="G726" s="1"/>
      <c r="J726" s="1" t="s">
        <v>9753</v>
      </c>
      <c r="K726" s="2" t="s">
        <v>8702</v>
      </c>
      <c r="L726" s="9" t="s">
        <v>8703</v>
      </c>
      <c r="P726" s="7" t="s">
        <v>1241</v>
      </c>
      <c r="AU726" s="15"/>
      <c r="AV726" s="1" t="s">
        <v>1502</v>
      </c>
      <c r="BG726" s="7" t="s">
        <v>1503</v>
      </c>
      <c r="BH726" s="1" t="s">
        <v>1872</v>
      </c>
      <c r="BI726" s="2" t="s">
        <v>8704</v>
      </c>
    </row>
    <row r="727" spans="1:67" ht="180" x14ac:dyDescent="0.45">
      <c r="A727" s="5">
        <v>726</v>
      </c>
      <c r="B727" s="8" t="s">
        <v>495</v>
      </c>
      <c r="C727" s="6" t="s">
        <v>1816</v>
      </c>
      <c r="D727" s="7" t="s">
        <v>9752</v>
      </c>
      <c r="E727" s="1" t="s">
        <v>1251</v>
      </c>
      <c r="F727" s="1" t="s">
        <v>4270</v>
      </c>
      <c r="G727" s="1"/>
      <c r="J727" s="1" t="s">
        <v>9753</v>
      </c>
      <c r="K727" s="2" t="s">
        <v>8705</v>
      </c>
      <c r="L727" s="2" t="s">
        <v>8706</v>
      </c>
      <c r="M727" s="1" t="s">
        <v>12186</v>
      </c>
      <c r="P727" s="7" t="s">
        <v>1241</v>
      </c>
      <c r="Q727" s="13" t="str">
        <f>INDEX($L:$L, MATCH("universal", $B:$B, 0))</f>
        <v>&lt;span class="w"&gt;&lt;b&gt;【282.universal：普遍的な, 宇宙の】&lt;/b&gt;&lt;/span&gt;
&lt;span class="ml"&gt;ラテン語に由来する語で、以下の3つの要素から成る。
&lt;span class="spacer"&gt;&lt;/span&gt;unus（1つ）
vertere（回す, 向きを変える）
alis（形容詞化）
&lt;span class="spacer"&gt;&lt;/span&gt;このまま日本語にすると「ひとつに回す」となる。回転することで中心に巻き込まれていって全体がひとつになるイメージから、世界全体や宇宙全体に関わる＝「普遍的な, 宇宙の」という意味になる。
普遍的とは広く全体に当てはまるということ。&lt;/span&gt;</v>
      </c>
      <c r="R727" s="13" t="str">
        <f>INDEX($L:$L, MATCH("advertise", $B:$B, 0))</f>
        <v>&lt;span class="w"&gt;&lt;b&gt;【414.advertise：〜を宣伝する】&lt;/b&gt;&lt;/span&gt;
&lt;span class="ml"&gt;ラテン語に由来する語で、以下の2つの要素から成る。
&lt;span class="spacer"&gt;&lt;/span&gt;ad（〜へ）
vertere（回す, 向ける）
&lt;span class="spacer"&gt;&lt;/span&gt;この語の核は「注意をある方向へ向けさせる」ということ。人の注意を特定の対象に向けさせることから、商品などに目を向けさせる＝「何かを宣伝する」という意味になる。
&lt;div class="sample_image advertise"&gt;&lt;/div&gt;&lt;/span&gt;</v>
      </c>
      <c r="S727" s="13" t="str">
        <f>INDEX($L:$L, MATCH("diversity", $B:$B, 0))</f>
        <v>&lt;span class="w"&gt;&lt;b&gt;【456.diversity：多様性, 相違点】&lt;/b&gt;&lt;/span&gt;
&lt;span class="ml"&gt;ラテン語に由来する語で、以下の3つの要素から成る。
&lt;span class="spacer"&gt;&lt;/span&gt;dis（離れて）
vertere（回す, 向ける）
tas（名詞化）
&lt;span class="spacer"&gt;&lt;/span&gt;このまま日本語にすると「離れた（異なる）方向に向けること」となる。これは、それぞれが異なる方向を向いているイメージ。そこから、物事がさまざまに分かれている状態を表し、「多様性, 相違点」という意味になる。&lt;/span&gt;</v>
      </c>
      <c r="T727" s="13" t="str">
        <f>INDEX($L:$L, MATCH("divorce", $B:$B, 0))</f>
        <v>&lt;span class="w"&gt;&lt;b&gt;【764.divorce：離婚, 分離】&lt;/b&gt;&lt;/span&gt;
&lt;span class="ml"&gt;ラテン語に由来する語で、以下の2つの要素から成る。
&lt;span class="spacer"&gt;&lt;/span&gt;dis（離れて）
vertere（向ける）
&lt;span class="spacer"&gt;&lt;/span&gt;このまま日本語にすると「離れた方向に向ける」となる。もともとは何かの「分離」を意味した。そして、人生という道を共にする夫婦が離れた方を向いて行くことから「離婚」という意味になった。
&lt;div class="sample_image divorce"&gt;&lt;/div&gt;&lt;/span&gt;</v>
      </c>
      <c r="U727" s="13" t="str">
        <f>INDEX($L:$L, MATCH("controversy", $B:$B, 0))</f>
        <v>&lt;span class="w"&gt;&lt;b&gt;【1152.controversy：論争】&lt;/b&gt;&lt;/span&gt;
&lt;span class="ml"&gt;ラテン語に由来する語で、以下の3つの要素から成る。
&lt;span class="spacer"&gt;&lt;/span&gt;contra（反対に）
versus（〜の方に向けられた)
ia（名詞化）
&lt;span class="spacer"&gt;&lt;/span&gt;この語の核は「相手と同じ方向ではなく反対に向いていること、向き合っていること」。つまり考えや立場が対立して争っていることを表し、そこから 「論争」という意味になる。
&lt;div class="sample_image controversy"&gt;&lt;/div&gt;&lt;/span&gt;</v>
      </c>
      <c r="V727" s="13" t="str">
        <f>INDEX($L:$L, MATCH("anniversary", $B:$B, 0))</f>
        <v>&lt;span class="w"&gt;&lt;b&gt;【1245.anniversary：〜周年の記念日】&lt;/b&gt;&lt;/span&gt;
&lt;span class="ml"&gt;ラテン語に由来する語で、以下の4つの要素から成る。
&lt;span class="spacer"&gt;&lt;/span&gt;annus（年）
vertere（回す）の過去分詞versus（回された）
arius（形容詞化）
um（名詞化）
&lt;span class="spacer"&gt;&lt;/span&gt;この語の核は「毎年回ってくる日」。
そこから「周年の記念日」という意味になる。&lt;/span&gt;</v>
      </c>
      <c r="W727" s="13" t="str">
        <f>INDEX($L:$L, MATCH("version", $B:$B, 0))</f>
        <v>&lt;span class="w"&gt;&lt;b&gt;【364.version：〜版】&lt;/b&gt;&lt;/span&gt;
&lt;span class="ml"&gt;ラテン語に由来する語で、以下の2つの要素から成る。
&lt;span class="spacer"&gt;&lt;/span&gt;vertere（回す, 向ける）
io（名詞化）
&lt;span class="spacer"&gt;&lt;/span&gt;このまま日本語にすると「回すこと, 向けること」となる。あるものの向きを別の方へ変えるイメージから、既にあるものを元に別の形へ変えること＝「〜版」という意味になる。&lt;/span&gt;</v>
      </c>
      <c r="X727" s="13" t="str">
        <f>INDEX($L:$L, MATCH("versus", $B:$B, 0))</f>
        <v>&lt;span class="w"&gt;&lt;b&gt;【1100.versus：（A versus B）A対B】&lt;/b&gt;&lt;/span&gt;
&lt;span class="ml"&gt;ラテン語vertere（回す, 向ける）の過去分詞versus（〜の方に向けられた, 〜に対して）に由来する。
&lt;span class="spacer"&gt;&lt;/span&gt;何かの方に向けられていることから「対する, A対B」という意味になる。A versus BはAがBの方に向けられているというイメージ。&lt;/span&gt;</v>
      </c>
      <c r="Y727" s="13" t="str">
        <f>INDEX($L:$L, MATCH("vertical", $B:$B, 0))</f>
        <v>&lt;span class="w"&gt;&lt;b&gt;【1188.vertical：垂直の】&lt;/b&gt;&lt;/span&gt;
&lt;span class="ml"&gt;ラテン語に由来する語で、以下の2つの要素から成る。
&lt;span class="spacer"&gt;&lt;/span&gt;vertere（回す）から派生したvertex（回転, 渦, 頂点）
alis（形容詞化）
&lt;span class="spacer"&gt;&lt;/span&gt;この語の核は「回転」。物体の回転や天体の回転、水の渦、髪の渦（つむじ）など、あらゆる回転には中心を通る上下に伸びる軸がある。たとえば天体の回転も、観察者の真上に中心があり、そこを軸として空全体が回転しているように見える。
&lt;span class="spacer"&gt;&lt;/span&gt;そこから、天頂から地平線に対してまっすぐ下ろした線、つまり真上にある頂点から真下へと直角に交わる線へと繋がって「垂直な」という意味になった。
&lt;div class="sample_image vertical"&gt;&lt;/div&gt;&lt;/span&gt;</v>
      </c>
      <c r="Z727" s="13" t="str">
        <f>INDEX($L:$L, MATCH("convert", $B:$B, 0))</f>
        <v>&lt;span class="w"&gt;&lt;b&gt;【820.convert：～を変える, 改宗させる】&lt;/b&gt;&lt;/span&gt;
&lt;span class="ml"&gt;ラテン語に由来する語で、以下の2つの要素から成る。
&lt;span class="spacer"&gt;&lt;/span&gt;com（共に）
vertere（向ける）
&lt;span class="spacer"&gt;&lt;/span&gt;このまま日本語にすると「共に向ける」となる。これは、みんなを同じ方に向けるイメージ。そこから宗教において、同じ対象を信仰するように「改宗させる」という意味になる。また宗教に限らず、形式や用途などを人為的に「変える」という意味になる。
&lt;div class="sample_image convert"&gt;&lt;/div&gt;&lt;/span&gt;</v>
      </c>
      <c r="AU727" s="15"/>
      <c r="AV727" s="1" t="s">
        <v>1502</v>
      </c>
      <c r="BG727" s="7" t="s">
        <v>1503</v>
      </c>
      <c r="BH727" s="1" t="s">
        <v>1947</v>
      </c>
      <c r="BI727" s="2" t="s">
        <v>4271</v>
      </c>
      <c r="BJ727" s="1" t="s">
        <v>2036</v>
      </c>
      <c r="BK727" s="1" t="s">
        <v>4272</v>
      </c>
      <c r="BL727" s="1" t="s">
        <v>1959</v>
      </c>
      <c r="BM727" s="1" t="s">
        <v>4273</v>
      </c>
      <c r="BN727" s="1" t="s">
        <v>1875</v>
      </c>
      <c r="BO727" s="2" t="s">
        <v>4274</v>
      </c>
    </row>
    <row r="728" spans="1:67" ht="144" x14ac:dyDescent="0.45">
      <c r="A728" s="5">
        <v>727</v>
      </c>
      <c r="B728" s="8" t="s">
        <v>496</v>
      </c>
      <c r="C728" s="6" t="s">
        <v>1816</v>
      </c>
      <c r="D728" s="7" t="s">
        <v>9752</v>
      </c>
      <c r="E728" s="1" t="s">
        <v>1251</v>
      </c>
      <c r="F728" s="1" t="s">
        <v>4275</v>
      </c>
      <c r="G728" s="1"/>
      <c r="J728" s="1" t="s">
        <v>9753</v>
      </c>
      <c r="K728" s="2" t="s">
        <v>8707</v>
      </c>
      <c r="L728" s="3" t="s">
        <v>8732</v>
      </c>
      <c r="M728" s="1" t="s">
        <v>12126</v>
      </c>
      <c r="P728" s="7" t="s">
        <v>1241</v>
      </c>
      <c r="Q728" s="13" t="str">
        <f>INDEX($L:$L, MATCH("exist", $B:$B, 0))</f>
        <v>&lt;span class="w"&gt;&lt;b&gt;【33.exist：存在する】&lt;/b&gt;&lt;/span&gt;
&lt;span class="ml"&gt;ラテン語に由来する語で、以下の2つの要素から成る。
&lt;span class="spacer"&gt;&lt;/span&gt;ex（外に）
sistere（立たせる）
&lt;span class="spacer"&gt;&lt;/span&gt;このまま日本語にすると「外側に立たせる」となる。見えないところから外側に出て立たせる。その結果、目の前に現れて「存在する」という意味になる。
&lt;div class="sample_image exist"&gt;&lt;/div&gt;&lt;/span&gt;</v>
      </c>
      <c r="R728" s="13" t="str">
        <f>INDEX($L:$L, MATCH("assist", $B:$B, 0))</f>
        <v>&lt;span class="w"&gt;&lt;b&gt;【730.assist：〜を援助する, 〜を手伝う】&lt;/b&gt;&lt;/span&gt;
&lt;span class="ml"&gt;ラテン語に由来する語で、以下の2つの要素から成る。
&lt;span class="spacer"&gt;&lt;/span&gt;ad（〜へ）
sistere（立たせる）
&lt;span class="spacer"&gt;&lt;/span&gt;このまま日本語にすると「〜のそばへ立たせる」となる。これは、物理的に相手の隣に立つということから、相手を支える＝「手伝う, 支援する」という意味になった。&lt;/span&gt;</v>
      </c>
      <c r="S728" s="13" t="str">
        <f>INDEX($L:$L, MATCH("persist", $B:$B, 0))</f>
        <v>&lt;span class="w"&gt;&lt;b&gt;【1038.persist：続く, 固執する】&lt;/b&gt;&lt;/span&gt;
&lt;span class="ml"&gt;ラテン語に由来する語で、以下の2つの要素から成る。
&lt;span class="spacer"&gt;&lt;/span&gt;per（完全に）
sistere（立つ）
&lt;span class="spacer"&gt;&lt;/span&gt;このまま日本語にすると「完全に立つ」となる。何があっても立ち続け、その場から動かないイメージから、その状態や行動が「続く」、何かに「固執する」という意味になる。
&lt;div class="sample_image persist"&gt;&lt;/div&gt;&lt;/span&gt;</v>
      </c>
      <c r="T728" s="13" t="str">
        <f>INDEX($L:$L, MATCH("insist", $B:$B, 0))</f>
        <v>&lt;span class="w"&gt;&lt;b&gt;【427.insist：主張する】&lt;/b&gt;&lt;/span&gt;
&lt;span class="ml"&gt;ラテン語に由来する語で、以下の2つの要素から成る。
&lt;span class="spacer"&gt;&lt;/span&gt;in（中に, 上に）
sistere（立たせる）
&lt;span class="spacer"&gt;&lt;/span&gt;このまま日本語にすると「上に立たせる」となる。これは、ある場所や立場にしっかり立たせるイメージ。そこから、自分の立場にしっかり立って動かないことを表し、「強く主張する」という意味になる。
&lt;div class="sample_image insist"&gt;&lt;/div&gt;&lt;/span&gt;</v>
      </c>
      <c r="U728" s="13" t="str">
        <f>INDEX($L:$L, MATCH("consist", $B:$B, 0))</f>
        <v>&lt;span class="w"&gt;&lt;b&gt;【440.consist：(of ~)～から成る, (in ~)～にある】&lt;/b&gt;&lt;/span&gt;
&lt;span class="ml"&gt;ラテン語に由来する語で、以下の2つの要素から成る。
&lt;span class="spacer"&gt;&lt;/span&gt;com（強意）
sistere（立たせる）
&lt;span class="spacer"&gt;&lt;/span&gt;このまま日本語にすると「しっかり立たせる」となる。
&lt;span class="spacer"&gt;&lt;/span&gt;［S consist &lt;strong&gt;of&lt;/strong&gt; A］
これは「Sは、Aがあることでしっかり立っていられる」というイメージ。逆に言えば、AがなければSは成り立たない。そこから、「SはAから成る」という意味になる。
このofは、be made of（〜でできている）と同じ。
&lt;span class="spacer"&gt;&lt;/span&gt;［S consist &lt;strong&gt;in&lt;/strong&gt; A］
これは「Sが、Aの中にしっかり立っている」というイメージ。そこから、「SはA（の中）にある」という意味になる。&lt;/span&gt;</v>
      </c>
      <c r="AU728" s="15"/>
      <c r="AV728" s="1" t="s">
        <v>1502</v>
      </c>
      <c r="BG728" s="7" t="s">
        <v>1503</v>
      </c>
      <c r="BH728" s="1" t="s">
        <v>1947</v>
      </c>
      <c r="BI728" s="2" t="s">
        <v>4276</v>
      </c>
      <c r="BJ728" s="1" t="s">
        <v>1959</v>
      </c>
      <c r="BK728" s="2" t="s">
        <v>4277</v>
      </c>
      <c r="BL728" s="1" t="s">
        <v>1875</v>
      </c>
      <c r="BM728" s="2" t="s">
        <v>4278</v>
      </c>
    </row>
    <row r="729" spans="1:67" ht="108" x14ac:dyDescent="0.45">
      <c r="A729" s="5">
        <v>728</v>
      </c>
      <c r="B729" s="8" t="s">
        <v>497</v>
      </c>
      <c r="C729" s="6" t="s">
        <v>1816</v>
      </c>
      <c r="D729" s="7" t="s">
        <v>9752</v>
      </c>
      <c r="E729" s="6" t="s">
        <v>497</v>
      </c>
      <c r="F729" s="1"/>
      <c r="G729" s="1"/>
      <c r="J729" s="1" t="s">
        <v>9753</v>
      </c>
      <c r="K729" s="2" t="s">
        <v>8708</v>
      </c>
      <c r="L729" s="3" t="s">
        <v>8733</v>
      </c>
      <c r="P729" s="7" t="s">
        <v>1241</v>
      </c>
      <c r="AV729" s="1" t="s">
        <v>1502</v>
      </c>
      <c r="BG729" s="7" t="s">
        <v>1503</v>
      </c>
      <c r="BH729" s="1" t="s">
        <v>2110</v>
      </c>
      <c r="BI729" s="1" t="s">
        <v>4279</v>
      </c>
      <c r="BJ729" s="1" t="s">
        <v>1875</v>
      </c>
      <c r="BK729" s="2" t="s">
        <v>4280</v>
      </c>
      <c r="BL729" s="1" t="s">
        <v>1877</v>
      </c>
      <c r="BM729" s="2" t="s">
        <v>4281</v>
      </c>
    </row>
    <row r="730" spans="1:67" ht="108" x14ac:dyDescent="0.45">
      <c r="A730" s="5">
        <v>729</v>
      </c>
      <c r="B730" s="8" t="s">
        <v>498</v>
      </c>
      <c r="C730" s="6" t="s">
        <v>1816</v>
      </c>
      <c r="D730" s="7" t="s">
        <v>9752</v>
      </c>
      <c r="E730" s="1" t="s">
        <v>498</v>
      </c>
      <c r="F730" s="1"/>
      <c r="G730" s="1"/>
      <c r="J730" s="1" t="s">
        <v>9753</v>
      </c>
      <c r="K730" s="2" t="s">
        <v>8709</v>
      </c>
      <c r="L730" s="3" t="s">
        <v>8734</v>
      </c>
      <c r="P730" s="7" t="s">
        <v>1241</v>
      </c>
      <c r="AU730" s="15"/>
      <c r="AV730" s="1" t="s">
        <v>1502</v>
      </c>
      <c r="BG730" s="7" t="s">
        <v>1503</v>
      </c>
      <c r="BH730" s="1" t="s">
        <v>1976</v>
      </c>
      <c r="BI730" s="2" t="s">
        <v>4282</v>
      </c>
      <c r="BJ730" s="1" t="s">
        <v>1947</v>
      </c>
      <c r="BK730" s="2" t="s">
        <v>4283</v>
      </c>
      <c r="BL730" s="1" t="s">
        <v>1877</v>
      </c>
      <c r="BM730" s="2" t="s">
        <v>4284</v>
      </c>
    </row>
    <row r="731" spans="1:67" ht="126" x14ac:dyDescent="0.45">
      <c r="A731" s="5">
        <v>730</v>
      </c>
      <c r="B731" s="8" t="s">
        <v>499</v>
      </c>
      <c r="C731" s="6" t="s">
        <v>1816</v>
      </c>
      <c r="D731" s="7" t="s">
        <v>9752</v>
      </c>
      <c r="E731" s="1" t="s">
        <v>1392</v>
      </c>
      <c r="F731" s="1" t="s">
        <v>4275</v>
      </c>
      <c r="G731" s="1"/>
      <c r="J731" s="1" t="s">
        <v>9753</v>
      </c>
      <c r="K731" s="2" t="s">
        <v>8710</v>
      </c>
      <c r="L731" s="2" t="s">
        <v>8711</v>
      </c>
      <c r="M731" s="1" t="s">
        <v>12126</v>
      </c>
      <c r="P731" s="7" t="s">
        <v>1241</v>
      </c>
      <c r="Q731" s="13" t="str">
        <f>INDEX($L:$L, MATCH("exist", $B:$B, 0))</f>
        <v>&lt;span class="w"&gt;&lt;b&gt;【33.exist：存在する】&lt;/b&gt;&lt;/span&gt;
&lt;span class="ml"&gt;ラテン語に由来する語で、以下の2つの要素から成る。
&lt;span class="spacer"&gt;&lt;/span&gt;ex（外に）
sistere（立たせる）
&lt;span class="spacer"&gt;&lt;/span&gt;このまま日本語にすると「外側に立たせる」となる。見えないところから外側に出て立たせる。その結果、目の前に現れて「存在する」という意味になる。
&lt;div class="sample_image exist"&gt;&lt;/div&gt;&lt;/span&gt;</v>
      </c>
      <c r="R731" s="13" t="str">
        <f>INDEX($L:$L, MATCH("resist", $B:$B, 0))</f>
        <v>&lt;span class="w"&gt;&lt;b&gt;【727.resist：〜に抵抗する】&lt;/b&gt;&lt;/span&gt;
&lt;span class="ml"&gt;ラテン語に由来する語で、以下の2つの要素から成る。
&lt;span class="spacer"&gt;&lt;/span&gt;re（対して）
sistere（立たせる）
&lt;span class="spacer"&gt;&lt;/span&gt;このまま日本語にすると「何かに対して立たせる」となる。これは、向かってくる力に対して立ち向かうというイメージで、そこから「抵抗する」という意味になる。
&lt;div class="sample_image resist"&gt;&lt;/div&gt;&lt;/span&gt;</v>
      </c>
      <c r="S731" s="13" t="str">
        <f>INDEX($L:$L, MATCH("persist", $B:$B, 0))</f>
        <v>&lt;span class="w"&gt;&lt;b&gt;【1038.persist：続く, 固執する】&lt;/b&gt;&lt;/span&gt;
&lt;span class="ml"&gt;ラテン語に由来する語で、以下の2つの要素から成る。
&lt;span class="spacer"&gt;&lt;/span&gt;per（完全に）
sistere（立つ）
&lt;span class="spacer"&gt;&lt;/span&gt;このまま日本語にすると「完全に立つ」となる。何があっても立ち続け、その場から動かないイメージから、その状態や行動が「続く」、何かに「固執する」という意味になる。
&lt;div class="sample_image persist"&gt;&lt;/div&gt;&lt;/span&gt;</v>
      </c>
      <c r="T731" s="13" t="str">
        <f>INDEX($L:$L, MATCH("insist", $B:$B, 0))</f>
        <v>&lt;span class="w"&gt;&lt;b&gt;【427.insist：主張する】&lt;/b&gt;&lt;/span&gt;
&lt;span class="ml"&gt;ラテン語に由来する語で、以下の2つの要素から成る。
&lt;span class="spacer"&gt;&lt;/span&gt;in（中に, 上に）
sistere（立たせる）
&lt;span class="spacer"&gt;&lt;/span&gt;このまま日本語にすると「上に立たせる」となる。これは、ある場所や立場にしっかり立たせるイメージ。そこから、自分の立場にしっかり立って動かないことを表し、「強く主張する」という意味になる。
&lt;div class="sample_image insist"&gt;&lt;/div&gt;&lt;/span&gt;</v>
      </c>
      <c r="U731" s="13" t="str">
        <f>INDEX($L:$L, MATCH("consist", $B:$B, 0))</f>
        <v>&lt;span class="w"&gt;&lt;b&gt;【440.consist：(of ~)～から成る, (in ~)～にある】&lt;/b&gt;&lt;/span&gt;
&lt;span class="ml"&gt;ラテン語に由来する語で、以下の2つの要素から成る。
&lt;span class="spacer"&gt;&lt;/span&gt;com（強意）
sistere（立たせる）
&lt;span class="spacer"&gt;&lt;/span&gt;このまま日本語にすると「しっかり立たせる」となる。
&lt;span class="spacer"&gt;&lt;/span&gt;［S consist &lt;strong&gt;of&lt;/strong&gt; A］
これは「Sは、Aがあることでしっかり立っていられる」というイメージ。逆に言えば、AがなければSは成り立たない。そこから、「SはAから成る」という意味になる。
このofは、be made of（〜でできている）と同じ。
&lt;span class="spacer"&gt;&lt;/span&gt;［S consist &lt;strong&gt;in&lt;/strong&gt; A］
これは「Sが、Aの中にしっかり立っている」というイメージ。そこから、「SはA（の中）にある」という意味になる。&lt;/span&gt;</v>
      </c>
      <c r="AU731" s="15"/>
      <c r="AV731" s="1" t="s">
        <v>1502</v>
      </c>
      <c r="BG731" s="7" t="s">
        <v>1503</v>
      </c>
      <c r="BH731" s="1" t="s">
        <v>1947</v>
      </c>
      <c r="BI731" s="2" t="s">
        <v>4285</v>
      </c>
      <c r="BJ731" s="1" t="s">
        <v>1959</v>
      </c>
      <c r="BK731" s="2" t="s">
        <v>4286</v>
      </c>
      <c r="BL731" s="1" t="s">
        <v>1875</v>
      </c>
      <c r="BM731" s="2" t="s">
        <v>4287</v>
      </c>
    </row>
    <row r="732" spans="1:67" ht="144" x14ac:dyDescent="0.45">
      <c r="A732" s="5">
        <v>731</v>
      </c>
      <c r="B732" s="8" t="s">
        <v>500</v>
      </c>
      <c r="C732" s="6" t="s">
        <v>1816</v>
      </c>
      <c r="D732" s="7" t="s">
        <v>9752</v>
      </c>
      <c r="E732" s="1" t="s">
        <v>1251</v>
      </c>
      <c r="F732" s="1" t="s">
        <v>4289</v>
      </c>
      <c r="G732" s="1"/>
      <c r="J732" s="1" t="s">
        <v>9753</v>
      </c>
      <c r="K732" s="2" t="s">
        <v>8712</v>
      </c>
      <c r="L732" s="3" t="s">
        <v>8735</v>
      </c>
      <c r="P732" s="7" t="s">
        <v>1241</v>
      </c>
      <c r="Q732" s="13" t="str">
        <f>INDEX($L:$L, MATCH("assemble", $B:$B, 0))</f>
        <v>&lt;span class="w"&gt;&lt;b&gt;【1333.assemble：〜を集める, 〜を組み立てる, 集まる】&lt;/b&gt;&lt;/span&gt;
&lt;span class="ml"&gt;ラテン語に由来する語で、以下の2つの要素から成る。
&lt;span class="spacer"&gt;&lt;/span&gt;ad（〜へ）
similis（似ている）
&lt;span class="spacer"&gt;&lt;/span&gt;sem部分の語源であるラテン語similisは、sameやsimilarと同じ印欧祖語*sem-（1つ, 同じ）にさかのぼる。
&lt;span class="spacer"&gt;&lt;/span&gt;これにad（〜へ）が付いたassembleの核は「バラバラのものをある方向へ向かわせてひとつにする」。そこから「集める, 集まる」や、物を「組み立てる」という意味になる。
&lt;div class="sample_image assemble"&gt;&lt;/div&gt;
&lt;span class="spacer"&gt;&lt;/span&gt;resembleはre（強意）とsembleから、完全に同じに見えるから「似ている」となる。&lt;/span&gt;</v>
      </c>
      <c r="R732" s="13" t="str">
        <f>INDEX($L:$L, MATCH("similar", $B:$B, 0))</f>
        <v>&lt;span class="w"&gt;&lt;b&gt;【86.similar：似ている, 類似した, 同様の】&lt;/b&gt;&lt;/span&gt;
&lt;span class="ml"&gt;ラテン語に由来する語で、以下の2つの要素から成る。
&lt;span class="spacer"&gt;&lt;/span&gt;semol（一緒に）
ilis（形容詞化）
&lt;span class="spacer"&gt;&lt;/span&gt;「一緒に」＝共通の特徴を持っているというところから「似ている, 類似した, 同様の」という意味になる。
&lt;span class="spacer"&gt;&lt;/span&gt;similarのsim部分は、sameと同じ語源にさかのぼる。&lt;/span&gt;</v>
      </c>
      <c r="S732" s="13" t="str">
        <f>INDEX($L:$L, MATCH("simultaneously", $B:$B, 0))</f>
        <v>&lt;span class="w"&gt;&lt;b&gt;【1099.simultaneously：同時に】&lt;/b&gt;&lt;/span&gt;
&lt;span class="ml"&gt;ラテン語に由来する語で、以下の3つの要素から成る。
&lt;span class="spacer"&gt;&lt;/span&gt;simul（同時に）
taneus
&lt;span class="obsolete"&gt;ly（副詞化）は英語段階で付いた&lt;/span&gt;
&lt;span class="spacer"&gt;&lt;/span&gt;このまま日本語にすると「同時に」という意味になる。
&lt;span class="spacer"&gt;&lt;/span&gt;ラテン語simulは、similarやsameと共通の印欧祖語にさかのぼり「同じ」を意味する。
&lt;span class="spacer"&gt;&lt;/span&gt;taneusは、おそらく他の語（spontaneousのもとになったラテン語）から取って付けられたもので、特別な意味はない。&lt;/span&gt;</v>
      </c>
      <c r="AV732" s="1" t="s">
        <v>1502</v>
      </c>
      <c r="BG732" s="7" t="s">
        <v>1503</v>
      </c>
      <c r="BH732" s="1" t="s">
        <v>1976</v>
      </c>
      <c r="BI732" s="1" t="s">
        <v>4290</v>
      </c>
      <c r="BJ732" s="1" t="s">
        <v>1947</v>
      </c>
      <c r="BK732" s="2" t="s">
        <v>4291</v>
      </c>
      <c r="BL732" s="1" t="s">
        <v>1959</v>
      </c>
      <c r="BM732" s="2" t="s">
        <v>8713</v>
      </c>
      <c r="BN732" s="1" t="s">
        <v>1875</v>
      </c>
      <c r="BO732" s="2" t="s">
        <v>4292</v>
      </c>
    </row>
    <row r="733" spans="1:67" ht="108" x14ac:dyDescent="0.45">
      <c r="A733" s="5">
        <v>732</v>
      </c>
      <c r="B733" s="8" t="s">
        <v>501</v>
      </c>
      <c r="C733" s="6" t="s">
        <v>1816</v>
      </c>
      <c r="D733" s="7" t="s">
        <v>9752</v>
      </c>
      <c r="E733" s="1" t="s">
        <v>1251</v>
      </c>
      <c r="F733" s="1" t="s">
        <v>1448</v>
      </c>
      <c r="G733" s="1"/>
      <c r="J733" s="1" t="s">
        <v>9753</v>
      </c>
      <c r="K733" s="2" t="s">
        <v>8714</v>
      </c>
      <c r="L733" s="9" t="s">
        <v>8715</v>
      </c>
      <c r="P733" s="7" t="s">
        <v>1241</v>
      </c>
      <c r="AU733" s="15"/>
      <c r="AV733" s="1" t="s">
        <v>1502</v>
      </c>
      <c r="BG733" s="7" t="s">
        <v>1503</v>
      </c>
      <c r="BH733" s="1" t="s">
        <v>1959</v>
      </c>
      <c r="BI733" s="2" t="s">
        <v>4293</v>
      </c>
      <c r="BJ733" s="1" t="s">
        <v>3525</v>
      </c>
      <c r="BK733" s="2" t="s">
        <v>4294</v>
      </c>
      <c r="BL733" s="1" t="s">
        <v>1877</v>
      </c>
      <c r="BM733" s="2" t="s">
        <v>4295</v>
      </c>
    </row>
    <row r="734" spans="1:67" ht="144" x14ac:dyDescent="0.45">
      <c r="A734" s="5">
        <v>733</v>
      </c>
      <c r="B734" s="8" t="s">
        <v>502</v>
      </c>
      <c r="C734" s="6" t="s">
        <v>1816</v>
      </c>
      <c r="D734" s="7" t="s">
        <v>9752</v>
      </c>
      <c r="E734" s="1" t="s">
        <v>4296</v>
      </c>
      <c r="F734" s="1" t="s">
        <v>1668</v>
      </c>
      <c r="G734" s="1"/>
      <c r="J734" s="1" t="s">
        <v>9753</v>
      </c>
      <c r="K734" s="2" t="s">
        <v>8716</v>
      </c>
      <c r="L734" s="2" t="s">
        <v>8717</v>
      </c>
      <c r="M734" s="1" t="s">
        <v>12194</v>
      </c>
      <c r="P734" s="7" t="s">
        <v>1241</v>
      </c>
      <c r="Q734" s="13" t="str">
        <f>INDEX($L:$L, MATCH("select", $B:$B, 0))</f>
        <v>&lt;span class="w"&gt;&lt;b&gt;【322.select：〜を選ぶ, えり抜く】&lt;/b&gt;&lt;/span&gt;
&lt;span class="ml"&gt;ラテン語に由来する語で、以下の2つの要素から成る。
&lt;span class="spacer"&gt;&lt;/span&gt;se（離れて）
legere（集める, 選ぶ）
&lt;span class="spacer"&gt;&lt;/span&gt;このまま日本語にすると「選んで離す」となる。全体の中から選び出して離す＝「選ぶ, えり抜く」という意味になる。&lt;/span&gt;</v>
      </c>
      <c r="R734" s="13" t="str">
        <f>INDEX($L:$L, MATCH("elect", $B:$B, 0))</f>
        <v>&lt;span class="w"&gt;&lt;b&gt;【1137.elect：〜を選出する】&lt;/b&gt;&lt;/span&gt;
&lt;span class="ml"&gt;ラテン語に由来する語で、以下の2つの要素から成る。
&lt;span class="spacer"&gt;&lt;/span&gt;ex（外に）
legere（選ぶ）
&lt;span class="spacer"&gt;&lt;/span&gt;このまま日本語にすると「選んで外に」となる。複数の選択肢から選び出すことから、「（ある役職や地位などに）選出する」という意味になる。&lt;/span&gt;</v>
      </c>
      <c r="S734" s="13" t="str">
        <f>INDEX($L:$L, MATCH("collective", $B:$B, 0))</f>
        <v>&lt;span class="w"&gt;&lt;b&gt;【895.collective：集団の, 共同の】&lt;/b&gt;&lt;/span&gt;
&lt;span class="ml"&gt;ラテン語に由来する語で、以下の2つの要素から成る。
&lt;span class="spacer"&gt;&lt;/span&gt;com（共に）
legere（集める）
ivus（形容詞化）
&lt;span class="spacer"&gt;&lt;/span&gt;このまま日本語にすると「共に集まった」、つまり「集合の, 集団な」という意味になる。これはcollect（集める）の形容詞として覚えればよい。&lt;/span&gt;</v>
      </c>
      <c r="T734" s="13" t="str">
        <f>INDEX($L:$L, MATCH("elite", $B:$B, 0))</f>
        <v>&lt;span class="w"&gt;&lt;b&gt;【746.elite：（the eliteで）エリート（集合名詞）】&lt;/b&gt;&lt;/span&gt;
&lt;span class="ml"&gt;ラテン語に由来する語で、以下の2つの要素から成る。
&lt;span class="spacer"&gt;&lt;/span&gt;ex（外に）
legere（選ぶ）
&lt;span class="spacer"&gt;&lt;/span&gt;この語の核は「外に選び出す」。ここから選び出された人たち、つまり「エリート」という意味になった。&lt;/span&gt;</v>
      </c>
      <c r="U734" s="13" t="str">
        <f>INDEX($L:$L, MATCH("lecture", $B:$B, 0))</f>
        <v>&lt;span class="w"&gt;&lt;b&gt;【368.lecture：講義, 講演, 説教】&lt;/b&gt;&lt;/span&gt;
&lt;span class="ml"&gt;ラテン語に由来する語で、以下の2つの要素から成る。
&lt;span class="spacer"&gt;&lt;/span&gt;legere（集める, 選び取る, 言葉を選び取る, 読む）
ura（名詞化）
&lt;span class="spacer"&gt;&lt;/span&gt;もともとは、書物から特定の言葉を選び出して読み上げることを意味した。本が貴重だった時代は、教師がテキストを読み上げるのが授業の基本スタイルだったことから、「講義, 講演」という意味になる。
&lt;span class="spacer"&gt;&lt;/span&gt;また相手に何かを言い聞かせるということから「説教」という意味になる。&lt;/span&gt;</v>
      </c>
      <c r="V734" s="13" t="str">
        <f>INDEX($L:$L, MATCH("intelligent", $B:$B, 0))</f>
        <v>&lt;span class="w"&gt;&lt;b&gt;【379.intelligent：聡明な, 知能が高い】&lt;/b&gt;&lt;/span&gt;
&lt;span class="ml"&gt;ラテン語に由来する語で、以下の2つの要素から成る。
&lt;span class="spacer"&gt;&lt;/span&gt;inter（～の間に）
legere（集める, 選ぶ）
&lt;span class="spacer"&gt;&lt;/span&gt;これは、さまざまな物事や情報「の間に」ある違いを見極めて「選ぶ」能力があるということを表す。ここから「知能の高い, 聡明な」という意味になる。
&lt;span class="spacer"&gt;&lt;/span&gt;AI（人工知能）は、Artificial（人工的な）Inteligence（知能）の略。inteligence（知能）の形容詞がintelligent（知能が高い）。&lt;/span&gt;</v>
      </c>
      <c r="W734" s="13" t="str">
        <f>INDEX($L:$L, MATCH("colleague", $B:$B, 0))</f>
        <v>&lt;span class="w"&gt;&lt;b&gt;【246.colleague：同僚】&lt;/b&gt;&lt;/span&gt;
&lt;span class="ml"&gt;ラテン語に由来する語で、以下の2つの要素から成る。
&lt;span class="spacer"&gt;&lt;/span&gt;com（共に）
legare（任命して派遣する）
&lt;span class="spacer"&gt;&lt;/span&gt;これは「同じ職務に就くために共に派遣された者」から「同僚」という意味になる。&lt;/span&gt;</v>
      </c>
      <c r="X734" s="13" t="str">
        <f>INDEX($L:$L, MATCH("dialect", $B:$B, 0))</f>
        <v>&lt;span class="w"&gt;&lt;b&gt;【463.dialect：方言】&lt;/b&gt;&lt;/span&gt;
&lt;span class="ml"&gt;ギリシャ語に由来する語で、以下の2つの要素から成る。
&lt;span class="spacer"&gt;&lt;/span&gt;dia（間で）
legein（話す）
&lt;span class="spacer"&gt;&lt;/span&gt;このまま日本語にすると「間で話す」となる。もともとは、人々の間で言葉を交わすこと、つまり会話を意味していた。
&lt;span class="spacer"&gt;&lt;/span&gt;古代ギリシャは、一つの国家ではなく、独立した多数の都市国家（ポリス）が基本単位であり、地域ごとに話し方が異なっていた。このような言葉遣いの違いを指してdialektosが使われるようになり、そこから「方言」という意味になった。&lt;/span&gt;</v>
      </c>
      <c r="AU734" s="15"/>
      <c r="AV734" s="1" t="s">
        <v>1502</v>
      </c>
      <c r="BG734" s="7" t="s">
        <v>1503</v>
      </c>
      <c r="BH734" s="1" t="s">
        <v>1947</v>
      </c>
      <c r="BI734" s="2" t="s">
        <v>4297</v>
      </c>
      <c r="BJ734" s="1" t="s">
        <v>1877</v>
      </c>
      <c r="BK734" s="2" t="s">
        <v>4298</v>
      </c>
    </row>
    <row r="735" spans="1:67" ht="216" x14ac:dyDescent="0.45">
      <c r="A735" s="5">
        <v>734</v>
      </c>
      <c r="B735" s="8" t="s">
        <v>503</v>
      </c>
      <c r="C735" s="6" t="s">
        <v>1816</v>
      </c>
      <c r="D735" s="7" t="s">
        <v>9752</v>
      </c>
      <c r="E735" s="1" t="s">
        <v>1428</v>
      </c>
      <c r="F735" s="1" t="s">
        <v>1936</v>
      </c>
      <c r="G735" s="1"/>
      <c r="J735" s="1" t="s">
        <v>9753</v>
      </c>
      <c r="K735" s="2"/>
      <c r="L735" s="3" t="s">
        <v>8736</v>
      </c>
      <c r="P735" s="7" t="s">
        <v>1241</v>
      </c>
      <c r="AU735" s="15"/>
      <c r="AV735" s="1" t="s">
        <v>1502</v>
      </c>
      <c r="BG735" s="7" t="s">
        <v>1503</v>
      </c>
      <c r="BH735" s="1" t="s">
        <v>1947</v>
      </c>
      <c r="BI735" s="2" t="s">
        <v>4299</v>
      </c>
      <c r="BJ735" s="1" t="s">
        <v>1877</v>
      </c>
      <c r="BK735" s="2" t="s">
        <v>4300</v>
      </c>
    </row>
    <row r="736" spans="1:67" ht="126" x14ac:dyDescent="0.45">
      <c r="A736" s="5">
        <v>735</v>
      </c>
      <c r="B736" s="8" t="s">
        <v>504</v>
      </c>
      <c r="C736" s="6" t="s">
        <v>1816</v>
      </c>
      <c r="D736" s="7" t="s">
        <v>9752</v>
      </c>
      <c r="E736" s="1" t="s">
        <v>1251</v>
      </c>
      <c r="F736" s="1" t="s">
        <v>1326</v>
      </c>
      <c r="G736" s="1"/>
      <c r="J736" s="1" t="s">
        <v>9753</v>
      </c>
      <c r="K736" s="2"/>
      <c r="L736" s="2" t="s">
        <v>8737</v>
      </c>
      <c r="M736" s="1" t="s">
        <v>12207</v>
      </c>
      <c r="P736" s="7" t="s">
        <v>1241</v>
      </c>
      <c r="Q736" s="13" t="str">
        <f>INDEX($L:$L, MATCH("inform", $B:$B, 0))</f>
        <v>&lt;span class="w"&gt;&lt;b&gt;【508.inform：〜に知らせる, 情報を提供する】&lt;/b&gt;&lt;/span&gt;
&lt;span class="ml"&gt;ラテン語に由来する語で、以下の2つの要素から成る。
&lt;span class="spacer"&gt;&lt;/span&gt;in（中に）
formare（形作る）
&lt;span class="spacer"&gt;&lt;/span&gt;このまま日本語にすると「内側に形作る」となる。これは、相手の頭の中に知識を形成するというイメージ。ここから、教育によって教えることへとつながる。そして教育することから情報の伝達が意味の中心となり、相手に「情報を与える, 知らせる」という意味になった。&lt;/span&gt;</v>
      </c>
      <c r="R736" s="13" t="str">
        <f>INDEX($L:$L, MATCH("transform", $B:$B, 0))</f>
        <v>&lt;span class="w"&gt;&lt;b&gt;【519.transform：〜を変える】&lt;/b&gt;&lt;/span&gt;
&lt;span class="ml"&gt;ラテン語に由来する語で、以下の2つの要素から成る。
&lt;span class="spacer"&gt;&lt;/span&gt;trans（越えて）
forma（形）から派生したformare（形作る）
&lt;span class="spacer"&gt;&lt;/span&gt;このまま日本語にすると「越えて形作る」となる。これは、今ある状態から別の状態へと形を変えるイメージで、形や質を「変える」という意味になる。&lt;/span&gt;</v>
      </c>
      <c r="S736" s="13" t="str">
        <f>INDEX($L:$L, MATCH("platform", $B:$B, 0))</f>
        <v>&lt;span class="w"&gt;&lt;b&gt;【771.platform：プラットフォーム, 演壇, 舞台】&lt;/b&gt;&lt;/span&gt;
&lt;span class="ml"&gt;古フランス語に由来する語で、以下の2つの要素から成る。
&lt;span class="spacer"&gt;&lt;/span&gt;plat（平らな, 水平な）
forme（形）
&lt;span class="spacer"&gt;&lt;/span&gt;このまま日本語にすると「平らな形」となる。最初は建物の平面図や地形の平らな場所を指したが、そこから物理的な一段高くなった台、つまり「駅のホーム」や「演壇, 舞台」といった意味になった。
&lt;span class="spacer"&gt;&lt;/span&gt;さらにその後、意見や方針を発表するための基盤＝政党の綱領や現代のITプラットフォームなどといった抽象的な意味にも広がった。&lt;/span&gt;</v>
      </c>
      <c r="T736" s="13" t="str">
        <f>INDEX($L:$L, MATCH("formation", $B:$B, 0))</f>
        <v>&lt;span class="w"&gt;&lt;b&gt;【942.formation：形成】&lt;/b&gt;&lt;/span&gt;
&lt;span class="ml"&gt;ラテン語に由来する語で、以下の2つの要素から成る。
&lt;span class="spacer"&gt;&lt;/span&gt;
forma（形, 姿）から派生した動詞formare（形作る）
io（名詞化）
&lt;span class="spacer"&gt;&lt;/span&gt;このまま日本語にすると「形作ること, 形成」という意味になる。&lt;/span&gt;</v>
      </c>
      <c r="U736" s="13" t="str">
        <f>INDEX($L:$L, MATCH("format", $B:$B, 0))</f>
        <v>&lt;span class="w"&gt;&lt;b&gt;【1263.format：書式, 形式】&lt;/b&gt;&lt;/span&gt;
&lt;span class="ml"&gt;ラテン語forma（型, 形）に由来する。
&lt;span class="spacer"&gt;&lt;/span&gt;もともとは、本を作る際の形や大きさなど、決められた型を表した。本や文章は決まった形を持たないので、どんなふうにでも表現できてしまう。それらに対して、形やサイズ、どこにどんな文章を配置するかなど、明確な形を与えるのがフォーマット。
&lt;span class="spacer"&gt;&lt;/span&gt;いまでは本に限らず、データや履歴書、テレビ番組などの様々なものに対して決まった形、つまり「書式, 形式」という意味で使われる。&lt;/span&gt;</v>
      </c>
      <c r="V736" s="13" t="str">
        <f>INDEX($L:$L, MATCH("informal", $B:$B, 0))</f>
        <v>&lt;span class="w"&gt;&lt;b&gt;【982.informal：形式ばらない】&lt;/b&gt;&lt;/span&gt;
&lt;span class="ml"&gt;ラテン語に由来する語で、以下の3つの要素から成る。
&lt;span class="spacer"&gt;&lt;/span&gt;&lt;span class="obsolete"&gt;in（否定）は英語段階で付いた&lt;/span&gt;
forma（形, 型）
alis（形容詞化）
&lt;span class="spacer"&gt;&lt;/span&gt;形や型を表すformから、決まった型があるformalになる。そしてそれを否定したinformalは「型がない, 形式ばらない」という意味になる。&lt;/span&gt;</v>
      </c>
      <c r="W736" s="13" t="str">
        <f>INDEX($L:$L, MATCH("formula", $B:$B, 0))</f>
        <v>&lt;span class="w"&gt;&lt;b&gt;【1366.formula：方法, 公式】&lt;/b&gt;&lt;/span&gt;
&lt;span class="ml"&gt;ラテン語
forma（形, 型）
ula（小さいことを表す）
&lt;span class="spacer"&gt;&lt;/span&gt;このまま日本語にすると「小さな型（フォーム）」となり、もともとは同じものを量産するためのひな型を表した。ひな型に材料を流し込めば必ず同じ形ができるように、同じ手順を踏めば同じ結果になるという考えから、決まった型通りの「方法」や数学の「公式」という意味になった。&lt;/span&gt;</v>
      </c>
      <c r="AU736" s="15"/>
      <c r="AV736" s="1" t="s">
        <v>1502</v>
      </c>
      <c r="BG736" s="7" t="s">
        <v>1503</v>
      </c>
      <c r="BH736" s="1" t="s">
        <v>1947</v>
      </c>
      <c r="BI736" s="2" t="s">
        <v>4301</v>
      </c>
      <c r="BJ736" s="1" t="s">
        <v>1959</v>
      </c>
      <c r="BK736" s="2" t="s">
        <v>4302</v>
      </c>
      <c r="BL736" s="1" t="s">
        <v>1875</v>
      </c>
      <c r="BM736" s="2" t="s">
        <v>4303</v>
      </c>
    </row>
    <row r="737" spans="1:69" ht="144" x14ac:dyDescent="0.45">
      <c r="A737" s="5">
        <v>736</v>
      </c>
      <c r="B737" s="8" t="s">
        <v>505</v>
      </c>
      <c r="C737" s="6" t="s">
        <v>1816</v>
      </c>
      <c r="D737" s="7" t="s">
        <v>9752</v>
      </c>
      <c r="E737" s="1" t="s">
        <v>31</v>
      </c>
      <c r="F737" s="1" t="s">
        <v>1835</v>
      </c>
      <c r="G737" s="1"/>
      <c r="J737" s="1" t="s">
        <v>9753</v>
      </c>
      <c r="K737" s="2" t="s">
        <v>8738</v>
      </c>
      <c r="L737" s="3" t="s">
        <v>8739</v>
      </c>
      <c r="P737" s="7" t="s">
        <v>1241</v>
      </c>
      <c r="Q737" s="14" t="str">
        <f>INDEX($L:$L, MATCH("contest", $B:$B, 0))</f>
        <v>&lt;span class="w"&gt;&lt;b&gt;【760.contest：コンテスト, 競技会】&lt;/b&gt;&lt;/span&gt;
&lt;span class="ml"&gt;ラテン語に由来する語で、以下の2つの要素から成る。
&lt;span class="spacer"&gt;&lt;/span&gt;com（共に）
testari（証言する）
&lt;span class="spacer"&gt;&lt;/span&gt;このまま日本語にすると「共に証言する」となる。もともとは、法廷で争う者同士が証人を呼んで証言させることを表した。そこから法的なニュアンスがなくなり、何かを求める競争、すなわち「コンテスト, 競技」という意味になった。&lt;/span&gt;</v>
      </c>
      <c r="AU737" s="15"/>
      <c r="AV737" s="1" t="s">
        <v>1502</v>
      </c>
      <c r="BG737" s="7" t="s">
        <v>1503</v>
      </c>
      <c r="BH737" s="1" t="s">
        <v>1976</v>
      </c>
      <c r="BI737" s="2" t="s">
        <v>4304</v>
      </c>
      <c r="BJ737" s="1" t="s">
        <v>1947</v>
      </c>
      <c r="BK737" s="2" t="s">
        <v>8740</v>
      </c>
      <c r="BL737" s="1" t="s">
        <v>1959</v>
      </c>
      <c r="BM737" s="1" t="s">
        <v>4305</v>
      </c>
      <c r="BN737" s="1" t="s">
        <v>1875</v>
      </c>
      <c r="BO737" s="2" t="s">
        <v>4306</v>
      </c>
      <c r="BP737" s="1" t="s">
        <v>1877</v>
      </c>
      <c r="BQ737" s="2" t="s">
        <v>8741</v>
      </c>
    </row>
    <row r="738" spans="1:69" ht="288" x14ac:dyDescent="0.45">
      <c r="A738" s="5">
        <v>737</v>
      </c>
      <c r="B738" s="8" t="s">
        <v>506</v>
      </c>
      <c r="C738" s="6" t="s">
        <v>1816</v>
      </c>
      <c r="D738" s="7" t="s">
        <v>9752</v>
      </c>
      <c r="E738" s="1" t="s">
        <v>506</v>
      </c>
      <c r="F738" s="1"/>
      <c r="G738" s="1"/>
      <c r="J738" s="1" t="s">
        <v>9753</v>
      </c>
      <c r="K738" s="2" t="s">
        <v>4307</v>
      </c>
      <c r="L738" s="4" t="s">
        <v>8742</v>
      </c>
      <c r="P738" s="7" t="s">
        <v>1241</v>
      </c>
      <c r="Q738" s="14" t="str">
        <f>INDEX($L:$L, MATCH("own", $B:$B, 0))</f>
        <v>&lt;span class="w"&gt;&lt;b&gt;【5.own：～を所有する, ～を認める】&lt;/b&gt;&lt;/span&gt;
&lt;span class="ml"&gt;古英語agan（所有する）にさかのぼる語。
&lt;span class="spacer"&gt;&lt;/span&gt;ownで重要なのは「所有する」という意味。「所有する」から、事実や罪を所有する＝事実や罪を「認める」という意味になる。&lt;/span&gt;</v>
      </c>
      <c r="AI738" s="15"/>
      <c r="AJ738" s="15"/>
      <c r="AU738" s="15"/>
      <c r="AV738" s="1" t="s">
        <v>1502</v>
      </c>
      <c r="AW738" s="2"/>
      <c r="AX738" s="2"/>
      <c r="BG738" s="7" t="s">
        <v>1503</v>
      </c>
      <c r="BH738" s="1" t="s">
        <v>1872</v>
      </c>
      <c r="BI738" s="2" t="s">
        <v>4308</v>
      </c>
    </row>
    <row r="739" spans="1:69" ht="180" x14ac:dyDescent="0.45">
      <c r="A739" s="5">
        <v>738</v>
      </c>
      <c r="B739" s="8" t="s">
        <v>507</v>
      </c>
      <c r="C739" s="6" t="s">
        <v>1816</v>
      </c>
      <c r="D739" s="7" t="s">
        <v>9752</v>
      </c>
      <c r="E739" s="1" t="s">
        <v>4309</v>
      </c>
      <c r="F739" s="1" t="s">
        <v>1332</v>
      </c>
      <c r="G739" s="1"/>
      <c r="J739" s="1" t="s">
        <v>9753</v>
      </c>
      <c r="K739" s="2" t="s">
        <v>8743</v>
      </c>
      <c r="L739" s="3" t="s">
        <v>8744</v>
      </c>
      <c r="M739" s="1" t="s">
        <v>12157</v>
      </c>
      <c r="P739" s="7" t="s">
        <v>1241</v>
      </c>
      <c r="Q739" s="13" t="str">
        <f>INDEX($L:$L, MATCH("maintain", $B:$B, 0))</f>
        <v>&lt;span class="w"&gt;&lt;b&gt;【206.maintain：～を維持する, ～を主張する】&lt;/b&gt;&lt;/span&gt;
&lt;span class="ml"&gt;ラテン語に由来する語で、以下の2つの要素から成る。
&lt;span class="spacer"&gt;&lt;/span&gt;manus（手）
tenere（保つ, 握る）
&lt;span class="spacer"&gt;&lt;/span&gt;このまま日本語にすると「手で保つ」となる。手を使って何かを支えるイメージから、状態が続くように支える＝「維持する」という意味になる。手ではなく発言で誰かを支えるとなれば「主張する」という意味になる。&lt;/span&gt;</v>
      </c>
      <c r="R739" s="13" t="str">
        <f>INDEX($L:$L, MATCH("obtain", $B:$B, 0))</f>
        <v>&lt;span class="w"&gt;&lt;b&gt;【507.obtain：〜を得る】&lt;/b&gt;&lt;/span&gt;
&lt;span class="ml"&gt;ラテン語に由来する語で、以下の2つの要素から成る。
&lt;span class="spacer"&gt;&lt;/span&gt;ob（強意）
tenere（保つ）
&lt;span class="spacer"&gt;&lt;/span&gt;この語の核は「しっかり保つ」。ここから、何かをしっかりつかみとってそれを離さない、つまり努力して何かを「得る」という意味になる。
&lt;div class="sample_image obtain"&gt;&lt;/div&gt;&lt;/span&gt;</v>
      </c>
      <c r="S739" s="13" t="str">
        <f>INDEX($L:$L, MATCH("retain", $B:$B, 0))</f>
        <v>&lt;span class="w"&gt;&lt;b&gt;【916.retain：〜を保持する】&lt;/b&gt;&lt;/span&gt;
&lt;span class="ml"&gt;ラテン語に由来する語で、以下の2つの要素から成る。
&lt;span class="spacer"&gt;&lt;/span&gt;re（後ろに）
tenere（つかむ）
&lt;span class="spacer"&gt;&lt;/span&gt;このまま日本語にすると「つかんで後ろに」となる。何かを後ろ方向につかんで引き止めるイメージから、なくならないように留めておく、つまり何かを「保持する」という意味になる。
&lt;div class="sample_image retain"&gt;&lt;/div&gt;&lt;/span&gt;</v>
      </c>
      <c r="T739" s="13" t="str">
        <f>INDEX($L:$L, MATCH("entertain", $B:$B, 0))</f>
        <v>&lt;span class="w"&gt;&lt;b&gt;【919.entertain：〜を楽しませる, 〜をもてなす】&lt;/b&gt;&lt;/span&gt;
&lt;span class="ml"&gt;古フランス語に由来する語で、以下の2つの要素から成る。
&lt;span class="spacer"&gt;&lt;/span&gt;entre（間に）
tenir（保つ）
&lt;span class="spacer"&gt;&lt;/span&gt;この語の核は「自分と相手の間にある関係や状態を保つ」。良好な関係に保つために、客人を「もてなす」や相手を「楽しませる」という意味になる。&lt;/span&gt;</v>
      </c>
      <c r="U739" s="13" t="str">
        <f>INDEX($L:$L, MATCH("contain", $B:$B, 0))</f>
        <v>&lt;span class="w"&gt;&lt;b&gt;【130.contain：〜を含む, 感情などを抑える】&lt;/b&gt;&lt;/span&gt;
&lt;span class="ml"&gt;ラテン語に由来する語で、以下の2つの要素から成る。
&lt;span class="spacer"&gt;&lt;/span&gt;com（共に）
tenere（保持する）
&lt;span class="spacer"&gt;&lt;/span&gt;このまま日本語にすると「共に保持する」となる。ある状態や物を一緒にまとめて保っておくイメージ。ここから感情を自分の内側にまとめて保つ＝「感情などを抑える」、物を何かの中にまとめて保つ＝「含む」という意味になる。&lt;/span&gt;</v>
      </c>
      <c r="V739" s="13" t="str">
        <f>INDEX($L:$L, MATCH("content", $B:$B, 0))</f>
        <v>&lt;span class="w"&gt;&lt;b&gt;【249.content：内容. 中身, コンテンツ】&lt;/b&gt;&lt;/span&gt;
&lt;span class="ml"&gt;ラテン語に由来する語で、以下の2つの要素から成る。
&lt;span class="spacer"&gt;&lt;/span&gt;com（共に）
tenere（保つ, 握る）
&lt;span class="spacer"&gt;&lt;/span&gt;このまま日本語にすると「共に保つ」となる。内側にまとめて保たれているものから「内容, 中身, コンテンツ」という意味になる。
&lt;span class="spacer"&gt;&lt;/span&gt;contain（含む）の名詞と考えればよい。&lt;/span&gt;</v>
      </c>
      <c r="AU739" s="15"/>
      <c r="AV739" s="1" t="s">
        <v>1502</v>
      </c>
      <c r="BG739" s="7" t="s">
        <v>1503</v>
      </c>
      <c r="BH739" s="1" t="s">
        <v>1947</v>
      </c>
      <c r="BI739" s="2" t="s">
        <v>8745</v>
      </c>
      <c r="BJ739" s="1" t="s">
        <v>1959</v>
      </c>
      <c r="BK739" s="2" t="s">
        <v>4310</v>
      </c>
      <c r="BL739" s="1" t="s">
        <v>1875</v>
      </c>
      <c r="BM739" s="2" t="s">
        <v>4311</v>
      </c>
    </row>
    <row r="740" spans="1:69" ht="144" x14ac:dyDescent="0.45">
      <c r="A740" s="5">
        <v>739</v>
      </c>
      <c r="B740" s="8" t="s">
        <v>508</v>
      </c>
      <c r="C740" s="6" t="s">
        <v>1816</v>
      </c>
      <c r="D740" s="7" t="s">
        <v>9752</v>
      </c>
      <c r="E740" s="1" t="s">
        <v>1392</v>
      </c>
      <c r="F740" s="1" t="s">
        <v>4312</v>
      </c>
      <c r="G740" s="1"/>
      <c r="J740" s="1" t="s">
        <v>9753</v>
      </c>
      <c r="K740" s="2"/>
      <c r="L740" s="3" t="s">
        <v>8746</v>
      </c>
      <c r="M740" s="1" t="s">
        <v>12121</v>
      </c>
      <c r="P740" s="7" t="s">
        <v>1241</v>
      </c>
      <c r="Q740" s="13" t="str">
        <f>INDEX($L:$L, MATCH("design", $B:$B, 0))</f>
        <v>&lt;span class="w"&gt;&lt;b&gt;【21.design：～を設計する, ～を計画する】&lt;/b&gt;&lt;/span&gt;
&lt;span class="ml"&gt;ラテン語に由来する語で、以下の2つの要素から成る。
&lt;span class="spacer"&gt;&lt;/span&gt;de（外へ）
signare（印をつける：signの語源）
&lt;span class="spacer"&gt;&lt;/span&gt;このまま日本語にすると「外へ印を付ける」となる。設計図や計画表に印をつけるイメージから「設計する, 計画する」という意味になる。&lt;/span&gt;</v>
      </c>
      <c r="R740" s="13" t="str">
        <f>INDEX($L:$L, MATCH("signature", $B:$B, 0))</f>
        <v>&lt;span class="w"&gt;&lt;b&gt;【1365.signature：署名, 特徴】&lt;/b&gt;&lt;/span&gt;
&lt;span class="ml"&gt;ラテン語に由来する語で、以下の2つの要素から成る。
&lt;span class="spacer"&gt;&lt;/span&gt;signare（印を付ける, 署名する）
ura（名詞化）
&lt;span class="spacer"&gt;&lt;/span&gt;もともとは、所有者が誰かや、あるものが本物であることを示すために、何かに印をつける行為そのものを表した。しかし次第に印をつけることから、その結果として残された印自体へと焦点が移り、文書が本物であることを証明する手書きの「署名」という意味になった。
&lt;span class="spacer"&gt;&lt;/span&gt;また署名はその人にしか書けない固有の印であることからから意味が発展して、特定の人や物を象徴するような、際立った「特徴」という意味にもなった。&lt;/span&gt;</v>
      </c>
      <c r="S740" s="13" t="str">
        <f>INDEX($L:$L, MATCH("significant", $B:$B, 0))</f>
        <v>&lt;span class="w"&gt;&lt;b&gt;【185.significant：重要な, 重大な, 意義深い】&lt;/b&gt;&lt;/span&gt;
&lt;span class="ml"&gt;ラテン語に由来する語で、以下の2つの要素から成る。
&lt;span class="spacer"&gt;&lt;/span&gt;signum（印：signの語源）
facere（作る, する）
&lt;span class="spacer"&gt;&lt;/span&gt;このまま日本語にすると「印をする」となる。付けられた印が何かを意味することから「意義深い」という意味になる。また印の有無が他と区別することから「重要な, 重大な」という意味になる。
&lt;div class="sample_image significant"&gt;&lt;/div&gt;&lt;/span&gt;</v>
      </c>
      <c r="T740" s="13" t="str">
        <f>INDEX($L:$L, MATCH("designate", $B:$B, 0))</f>
        <v>&lt;span class="w"&gt;&lt;b&gt;【1411.designate：〜を指定する, 〜を任命する】&lt;/b&gt;&lt;/span&gt;
&lt;span class="ml"&gt;ラテン語に由来する語で、以下の2つの要素から成る。
&lt;span class="spacer"&gt;&lt;/span&gt;de（外へ）
signare（印をつける）
&lt;span class="spacer"&gt;&lt;/span&gt;このまま日本語にすると「印をつけて外へ」となる。数ある中から対象に印をつけて選ぶイメージから「指定する, 任命する」という意味になる。
&lt;div class="sample_image designate"&gt;&lt;/div&gt;&lt;/span&gt;</v>
      </c>
      <c r="U740" s="13" t="str">
        <f>INDEX($L:$L, MATCH("seal", $B:$B, 0))</f>
        <v>&lt;span class="w"&gt;&lt;b&gt;【1119.seal：〜を密閉する, 〜に封をする】&lt;/b&gt;&lt;/span&gt;
&lt;span class="ml"&gt;ラテン語に由来する語で、以下の2つの要素から成る。
&lt;span class="spacer"&gt;&lt;/span&gt;signum（しるし：signの語源）
illum（小さいことを表す）
&lt;span class="spacer"&gt;&lt;/span&gt;このまま日本語にすると「小さな印」となる。手紙や文書などを溶かした蝋で封じる際に、そこに小さな印を押し当てて、その手紙が本物であることを証明した。そこから「封をする」や、容器などを「密閉する」という意味になった。
&lt;div class="sample_image seal"&gt;&lt;/div&gt;&lt;/span&gt;</v>
      </c>
      <c r="AU740" s="15"/>
      <c r="AV740" s="1" t="s">
        <v>1502</v>
      </c>
      <c r="BG740" s="7" t="s">
        <v>1503</v>
      </c>
      <c r="BH740" s="1" t="s">
        <v>1947</v>
      </c>
      <c r="BI740" s="2" t="s">
        <v>4313</v>
      </c>
      <c r="BJ740" s="1" t="s">
        <v>1959</v>
      </c>
      <c r="BK740" s="2" t="s">
        <v>4314</v>
      </c>
      <c r="BL740" s="1" t="s">
        <v>1875</v>
      </c>
      <c r="BM740" s="2" t="s">
        <v>4315</v>
      </c>
      <c r="BO740" s="2"/>
    </row>
    <row r="741" spans="1:69" ht="144" x14ac:dyDescent="0.45">
      <c r="A741" s="5">
        <v>740</v>
      </c>
      <c r="B741" s="8" t="s">
        <v>509</v>
      </c>
      <c r="C741" s="6" t="s">
        <v>1816</v>
      </c>
      <c r="D741" s="7" t="s">
        <v>9752</v>
      </c>
      <c r="E741" s="1" t="s">
        <v>1346</v>
      </c>
      <c r="F741" s="1" t="s">
        <v>1467</v>
      </c>
      <c r="G741" s="1" t="s">
        <v>4316</v>
      </c>
      <c r="J741" s="1" t="s">
        <v>9753</v>
      </c>
      <c r="K741" s="2" t="s">
        <v>8747</v>
      </c>
      <c r="L741" s="2" t="s">
        <v>8748</v>
      </c>
      <c r="M741" s="1" t="s">
        <v>12130</v>
      </c>
      <c r="P741" s="7" t="s">
        <v>1241</v>
      </c>
      <c r="Q741" s="13" t="str">
        <f>INDEX($L:$L, MATCH("supply", $B:$B, 0))</f>
        <v>&lt;span class="w"&gt;&lt;b&gt;【120.supply：～を供給する】&lt;/b&gt;&lt;/span&gt;
&lt;span class="ml"&gt;ラテン語に由来する語で、以下の2つの要素から成る。
&lt;span class="spacer"&gt;&lt;/span&gt;sub（下から）
plere（満たす）
&lt;span class="spacer"&gt;&lt;/span&gt;このまま日本語にすると「下から満たす」となる。減った分を下から補充して満たしていくイメージから、必要なものを「供給する」という意味になる。
&lt;div class="sample_image supply"&gt;&lt;/div&gt;
&lt;span class="spacer"&gt;&lt;/span&gt;supplyは不足している物資・資源・商品・エネルギーなどの補給で、ルートや方法が体系的に決まっているイメージ。&lt;/span&gt;</v>
      </c>
      <c r="R741" s="13" t="str">
        <f>INDEX($L:$L, MATCH("supplement", $B:$B, 0))</f>
        <v>&lt;span class="w"&gt;&lt;b&gt;【1158.supplement：サプリメント, 栄養補助剤, 補足】&lt;/b&gt;&lt;/span&gt;
&lt;span class="ml"&gt;ラテン語に由来する語で、以下の3つの要素から成る。
&lt;span class="spacer"&gt;&lt;/span&gt;sub（下から上へ）
plere（満たす）
mentum（名詞化）
&lt;span class="spacer"&gt;&lt;/span&gt;このまま日本語にすると「満たすもの」となる。そこから足りない部分を満たす「サプリメント, 補足」という意味になった。&lt;/span&gt;</v>
      </c>
      <c r="S741" s="13" t="str">
        <f>INDEX($L:$L, MATCH("implement", $B:$B, 0))</f>
        <v>&lt;span class="w"&gt;&lt;b&gt;【1238.implement：〜を実行する, 〜を実施する】&lt;/b&gt;&lt;/span&gt;
&lt;span class="ml"&gt;ラテン語に由来する語で、以下の2つの要素から成る。
&lt;span class="spacer"&gt;&lt;/span&gt;in（中に）
plere（満たす）
&lt;span class="spacer"&gt;&lt;/span&gt;このまま日本語にすると「中に満たす」となる。目的の達成や作業の完了のために必要なことを満たす、というイメージから、何かを行うための「道具, 手段」という名詞になった。
&lt;span class="spacer"&gt;&lt;/span&gt;そこから動詞になって、ある目的のための手段を「実行する, 実施する」という意味になった。
&lt;div class="sample_image implement"&gt;&lt;/div&gt;&lt;/span&gt;</v>
      </c>
      <c r="T741" s="13" t="str">
        <f>INDEX($L:$L, MATCH("complete", $B:$B, 0))</f>
        <v>&lt;span class="w"&gt;&lt;b&gt;【40.complete：～を完成させる】&lt;/b&gt;&lt;/span&gt;
&lt;span class="ml"&gt;ラテン語に由来する語で、以下の2つの要素から成る。
&lt;span class="spacer"&gt;&lt;/span&gt;com（強意）
plere（満たす）
&lt;span class="spacer"&gt;&lt;/span&gt;このまま日本語にすると「完全に満たす」となる。不足や欠陥などが一切なく完全に満たすイメージから「完成させる」という意味になる。&lt;/span&gt;</v>
      </c>
      <c r="U741" s="13" t="str">
        <f>INDEX($L:$L, MATCH("compliment", $B:$B, 0))</f>
        <v>&lt;span class="w"&gt;&lt;b&gt;【1045.compliment：賛辞, お世辞, 表敬】&lt;/b&gt;&lt;/span&gt;
&lt;span class="ml"&gt;ラテン語に由来する語で、以下の3つの要素から成る。
&lt;span class="spacer"&gt;&lt;/span&gt;com（強意）
plere（満たす）
mentum（名詞化）
&lt;span class="spacer"&gt;&lt;/span&gt;このまま日本語にすると「完全に満たすこと」となる。これがヨーロッパの宮廷文化において、礼儀上の作法や社交上の要求を完全に満たすことを指すようになり、そこから相手に対して敬意を表すこと＝「表敬」、純粋な敬意の表現＝「賛辞」、形だけは敬意を表すが、実際は思ってもいないことを含む＝「お世辞」といった意味になった。
&lt;div class="sample_image compliment"&gt;&lt;/div&gt;&lt;/span&gt;</v>
      </c>
      <c r="AU741" s="15"/>
      <c r="AV741" s="1" t="s">
        <v>1502</v>
      </c>
      <c r="BG741" s="7" t="s">
        <v>1503</v>
      </c>
      <c r="BH741" s="1" t="s">
        <v>1947</v>
      </c>
      <c r="BI741" s="2" t="s">
        <v>4317</v>
      </c>
      <c r="BJ741" s="1" t="s">
        <v>2026</v>
      </c>
      <c r="BK741" s="1" t="s">
        <v>4318</v>
      </c>
      <c r="BL741" s="1" t="s">
        <v>1959</v>
      </c>
      <c r="BM741" s="2" t="s">
        <v>4319</v>
      </c>
      <c r="BN741" s="1" t="s">
        <v>1875</v>
      </c>
      <c r="BO741" s="2" t="s">
        <v>4320</v>
      </c>
    </row>
    <row r="742" spans="1:69" ht="108" x14ac:dyDescent="0.45">
      <c r="A742" s="5">
        <v>741</v>
      </c>
      <c r="B742" s="8" t="s">
        <v>4322</v>
      </c>
      <c r="C742" s="6" t="s">
        <v>6850</v>
      </c>
      <c r="D742" s="7" t="s">
        <v>9752</v>
      </c>
      <c r="E742" s="1" t="s">
        <v>1836</v>
      </c>
      <c r="F742" s="1" t="s">
        <v>1837</v>
      </c>
      <c r="G742" s="1"/>
      <c r="J742" s="1" t="s">
        <v>9753</v>
      </c>
      <c r="K742" s="2" t="s">
        <v>8749</v>
      </c>
      <c r="L742" s="4" t="s">
        <v>8750</v>
      </c>
      <c r="P742" s="7" t="s">
        <v>1241</v>
      </c>
      <c r="Q742" s="13" t="str">
        <f>INDEX($L:$L, MATCH("witness", $B:$B, 0))</f>
        <v>&lt;span class="w"&gt;&lt;b&gt;【645.witness：目撃者, 証人, 証言】&lt;/b&gt;&lt;/span&gt;
&lt;span class="ml"&gt;古英語にさかのぼり、以下の2つの要素から成る。
&lt;span class="spacer"&gt;&lt;/span&gt;wit（知識, 知恵, 理解）
nes（名詞化）
&lt;span class="spacer"&gt;&lt;/span&gt;このwitは、印欧祖語*weid-（見る）に由来する。見ることによって知識を得られるため「見る」と「知る」は密接に結びつく。このことはsee / I see.や、同じ印欧祖語から生まれたview（眺め, 見解）にも表れている。
&lt;span class="spacer"&gt;&lt;/span&gt;ここからwitnessは、見て知っている人＝「目撃者」や、知っている人＝「証人」という意味になる。またその人が知っている内容＝「証言」という意味になる。&lt;/span&gt;</v>
      </c>
      <c r="AV742" s="1" t="s">
        <v>1502</v>
      </c>
      <c r="BG742" s="7" t="s">
        <v>1503</v>
      </c>
      <c r="BH742" s="1" t="s">
        <v>1976</v>
      </c>
      <c r="BI742" s="1" t="s">
        <v>4323</v>
      </c>
      <c r="BJ742" s="1" t="s">
        <v>3999</v>
      </c>
      <c r="BK742" s="1" t="s">
        <v>4324</v>
      </c>
      <c r="BL742" s="1" t="s">
        <v>1872</v>
      </c>
      <c r="BM742" s="2" t="s">
        <v>4325</v>
      </c>
    </row>
    <row r="743" spans="1:69" ht="234" x14ac:dyDescent="0.45">
      <c r="A743" s="5">
        <v>742</v>
      </c>
      <c r="B743" s="8" t="s">
        <v>1838</v>
      </c>
      <c r="C743" s="6" t="s">
        <v>6850</v>
      </c>
      <c r="D743" s="7" t="s">
        <v>9752</v>
      </c>
      <c r="E743" s="1" t="s">
        <v>1839</v>
      </c>
      <c r="F743" s="1" t="s">
        <v>1840</v>
      </c>
      <c r="G743" s="1"/>
      <c r="J743" s="1" t="s">
        <v>9753</v>
      </c>
      <c r="K743" s="2" t="s">
        <v>8751</v>
      </c>
      <c r="L743" s="9" t="s">
        <v>8752</v>
      </c>
      <c r="M743" s="1" t="s">
        <v>12213</v>
      </c>
      <c r="P743" s="7" t="s">
        <v>1241</v>
      </c>
      <c r="Q743" s="14" t="str">
        <f>INDEX($L:$L, MATCH("literary", $B:$B, 0))</f>
        <v>&lt;span class="w"&gt;&lt;b&gt;【780.literary：文学の】&lt;/b&gt;&lt;/span&gt;
&lt;span class="ml"&gt;ラテン語に由来する語で、以下の2つの要素から成る。
&lt;span class="spacer"&gt;&lt;/span&gt;littera（アルファベットの文字）
arius（形容詞化）
&lt;span class="spacer"&gt;&lt;/span&gt;この語の核は「文字」。もともとは「文字に関する」という意味から、書き言葉に関わる知識や教養を指して「学問の」という意味でも使われた。そこから、文字によって表現された書物や作品を指すようになり、「文学の」という意味へと発展した。&lt;/span&gt;</v>
      </c>
      <c r="AU743" s="15"/>
      <c r="AV743" s="1" t="s">
        <v>1502</v>
      </c>
      <c r="BG743" s="7" t="s">
        <v>1503</v>
      </c>
      <c r="BH743" s="1" t="s">
        <v>1947</v>
      </c>
      <c r="BI743" s="2" t="s">
        <v>4326</v>
      </c>
      <c r="BJ743" s="1" t="s">
        <v>1875</v>
      </c>
      <c r="BK743" s="2" t="s">
        <v>4327</v>
      </c>
      <c r="BL743" s="1" t="s">
        <v>1877</v>
      </c>
      <c r="BM743" s="2" t="s">
        <v>4328</v>
      </c>
    </row>
    <row r="744" spans="1:69" ht="108" x14ac:dyDescent="0.45">
      <c r="A744" s="5">
        <v>743</v>
      </c>
      <c r="B744" s="8" t="s">
        <v>1841</v>
      </c>
      <c r="C744" s="6" t="s">
        <v>6850</v>
      </c>
      <c r="D744" s="7" t="s">
        <v>9752</v>
      </c>
      <c r="E744" s="1" t="s">
        <v>1937</v>
      </c>
      <c r="F744" s="1" t="s">
        <v>1748</v>
      </c>
      <c r="G744" s="1"/>
      <c r="J744" s="1" t="s">
        <v>9753</v>
      </c>
      <c r="K744" s="2" t="s">
        <v>8753</v>
      </c>
      <c r="L744" s="9" t="s">
        <v>8754</v>
      </c>
      <c r="P744" s="7" t="s">
        <v>1241</v>
      </c>
      <c r="Q744" s="13" t="str">
        <f>INDEX($L:$L, MATCH("inherit", $B:$B, 0))</f>
        <v>&lt;span class="w"&gt;&lt;b&gt;【1139.inherit：〜を受け継ぐ, 〜を相続する】&lt;/b&gt;&lt;/span&gt;
&lt;span class="ml"&gt;ラテン語に由来する語で、以下の2つの要素から成る。
&lt;span class="spacer"&gt;&lt;/span&gt;in（中に）
heres（相続人）
&lt;span class="spacer"&gt;&lt;/span&gt;もともとは何かを与える側の視点で、相手を相続人の中に入れることを表した。そこから受け取る側の視点に変化して、財産や能力など様々なものを「受け継ぐ, 相続する」という意味になった。&lt;/span&gt;</v>
      </c>
      <c r="AU744" s="15"/>
      <c r="AV744" s="1" t="s">
        <v>1502</v>
      </c>
      <c r="BG744" s="7" t="s">
        <v>1503</v>
      </c>
      <c r="BH744" s="1" t="s">
        <v>1947</v>
      </c>
      <c r="BI744" s="2" t="s">
        <v>4329</v>
      </c>
      <c r="BJ744" s="1" t="s">
        <v>2036</v>
      </c>
      <c r="BK744" s="2" t="s">
        <v>4330</v>
      </c>
      <c r="BL744" s="1" t="s">
        <v>1959</v>
      </c>
      <c r="BM744" s="2" t="s">
        <v>4331</v>
      </c>
      <c r="BN744" s="1" t="s">
        <v>1875</v>
      </c>
      <c r="BO744" s="2" t="s">
        <v>4332</v>
      </c>
    </row>
    <row r="745" spans="1:69" ht="288" x14ac:dyDescent="0.45">
      <c r="A745" s="5">
        <v>744</v>
      </c>
      <c r="B745" s="8" t="s">
        <v>510</v>
      </c>
      <c r="C745" s="6" t="s">
        <v>6850</v>
      </c>
      <c r="D745" s="7" t="s">
        <v>9752</v>
      </c>
      <c r="E745" s="1" t="s">
        <v>1842</v>
      </c>
      <c r="F745" s="1" t="s">
        <v>1584</v>
      </c>
      <c r="G745" s="1"/>
      <c r="J745" s="1" t="s">
        <v>9753</v>
      </c>
      <c r="K745" s="2" t="s">
        <v>4333</v>
      </c>
      <c r="L745" s="2" t="s">
        <v>8755</v>
      </c>
      <c r="M745" s="1" t="s">
        <v>12214</v>
      </c>
      <c r="P745" s="7" t="s">
        <v>1241</v>
      </c>
      <c r="Q745" s="14" t="str">
        <f>INDEX($L:$L, MATCH("dismiss", $B:$B, 0))</f>
        <v>&lt;span class="w"&gt;&lt;b&gt;【1114.dismiss：（意見など）を退ける, 〜を解雇する】&lt;/b&gt;&lt;/span&gt;
&lt;span class="ml"&gt;ラテン語に由来する語で、以下の2つの要素から成る。
&lt;span class="spacer"&gt;&lt;/span&gt;dis（離れて）
mittere（送る, 放つ）
&lt;span class="spacer"&gt;&lt;/span&gt;この語の核は「離れたところへ送る」。いまある場所から離れたところへ送るイメージから、いまの職から「解雇する」、考えなどを「退ける」という意味になる。
&lt;div class="sample_image dismiss"&gt;&lt;/div&gt;&lt;/span&gt;</v>
      </c>
      <c r="R745" s="14" t="str">
        <f>INDEX($L:$L, MATCH("premise", $B:$B, 0))</f>
        <v>&lt;span class="w"&gt;&lt;b&gt;【1041.premise：前提, 敷地, （premises）建物を含めた構内】&lt;/b&gt;&lt;/span&gt;
&lt;span class="ml"&gt;ラテン語に由来する語で、以下の2つの要素から成る。
&lt;span class="spacer"&gt;&lt;/span&gt;prae（あらかじめ）
mittere（送る）
&lt;span class="spacer"&gt;&lt;/span&gt;このまま日本語にすると「あらかじめ送る」となる。もともとは論理学において、あらかじめ置かれる命題を表し、そこから一般的に、議論の土台となる「前提」という意味になった。
&lt;span class="spacer"&gt;&lt;/span&gt;さらに法的文書（土地の譲渡証書など）において、文書の冒頭に（前に）対象となる土地や建物の詳細を記述し、以降の文章でそれらの土地や建物を前述の財産the premisesと呼んだ。そこから「敷地」や建物を含めた「構内」を意味するようになった。
&lt;div class="sample_image premise"&gt;&lt;/div&gt;&lt;/span&gt;</v>
      </c>
      <c r="S745" s="14" t="str">
        <f>INDEX($L:$L, MATCH("compromise", $B:$B, 0))</f>
        <v>&lt;span class="w"&gt;&lt;b&gt;【1136.compromise：妥協する, 〜を危うくする】&lt;/b&gt;&lt;/span&gt;
&lt;span class="ml"&gt;ラテン語に由来する語で、以下の2つの要素から成る。
&lt;span class="spacer"&gt;&lt;/span&gt;com（共に）
pro（前へ）
mittere（送る）
&lt;span class="spacer"&gt;&lt;/span&gt;この語の核は「共に約束する（前もって言葉を送る）」。もともとはAとBが争っているときに、2人とも第三者の仲裁者Cの決定に従おうと約束することを表した。AとBはお互いが納得いくところで争いに決着をつけることから「妥協する」という意味になった。
&lt;span class="spacer"&gt;&lt;/span&gt;また、第三者の決定に従うということは、結果がその仲裁者次第となってしまう。そうすると自身に不利な結果になる可能性があり、リスクを背負うことになるので「危うくする」という意味にもなった。&lt;/span&gt;</v>
      </c>
      <c r="T745" s="14" t="str">
        <f>INDEX($L:$L, MATCH("mess", $B:$B, 0))</f>
        <v>&lt;span class="w"&gt;&lt;b&gt;【1170.mess：散らかった状態, 混乱状態】&lt;/b&gt;&lt;/span&gt;
&lt;span class="ml"&gt;ラテン語mittere（送る, 放つ, 置く）の過去分詞missus（置かれたもの）に由来する。これはmissionやmessageと同じ語源。
&lt;span class="spacer"&gt;&lt;/span&gt;ラテン語ではもともと、どこかに置かれたものという意味。そこから、食卓に置かれた1人分の食事、同じ食卓で集まって食事をする人々、その人たちが残した食べ物をひとつに集めたもの（ごちゃ混ぜの残飯）へと意味が発展した。
&lt;span class="spacer"&gt;&lt;/span&gt;この残飯のぐちゃぐちゃの状態が、部屋などが「散らかった状態」という意味や、人間関係のトラブルや事態の収拾がつかない「混乱状態」という意味になった。
&lt;div class="sample_image mess"&gt;&lt;/div&gt;&lt;/span&gt;</v>
      </c>
      <c r="U745" s="15"/>
      <c r="V745" s="15"/>
      <c r="W745" s="15"/>
      <c r="AU745" s="15"/>
      <c r="AV745" s="1" t="s">
        <v>1502</v>
      </c>
      <c r="BG745" s="7" t="s">
        <v>1503</v>
      </c>
      <c r="BH745" s="1" t="s">
        <v>1947</v>
      </c>
      <c r="BI745" s="2" t="s">
        <v>8756</v>
      </c>
      <c r="BJ745" s="1" t="s">
        <v>1877</v>
      </c>
      <c r="BK745" s="2" t="s">
        <v>4334</v>
      </c>
    </row>
    <row r="746" spans="1:69" ht="126" x14ac:dyDescent="0.45">
      <c r="A746" s="5">
        <v>745</v>
      </c>
      <c r="B746" s="8" t="s">
        <v>511</v>
      </c>
      <c r="C746" s="6" t="s">
        <v>6850</v>
      </c>
      <c r="D746" s="7" t="s">
        <v>9752</v>
      </c>
      <c r="E746" s="6" t="s">
        <v>1843</v>
      </c>
      <c r="F746" s="1" t="s">
        <v>1454</v>
      </c>
      <c r="G746" s="1"/>
      <c r="J746" s="1" t="s">
        <v>9753</v>
      </c>
      <c r="K746" s="2" t="s">
        <v>8757</v>
      </c>
      <c r="L746" s="9" t="s">
        <v>8758</v>
      </c>
      <c r="P746" s="7" t="s">
        <v>1241</v>
      </c>
      <c r="AU746" s="15"/>
      <c r="AV746" s="1" t="s">
        <v>1502</v>
      </c>
      <c r="BG746" s="7" t="s">
        <v>1503</v>
      </c>
      <c r="BH746" s="1" t="s">
        <v>1947</v>
      </c>
      <c r="BI746" s="2" t="s">
        <v>4335</v>
      </c>
      <c r="BJ746" s="1" t="s">
        <v>1959</v>
      </c>
      <c r="BK746" s="2" t="s">
        <v>4336</v>
      </c>
      <c r="BL746" s="1" t="s">
        <v>1875</v>
      </c>
      <c r="BM746" s="2" t="s">
        <v>4337</v>
      </c>
    </row>
    <row r="747" spans="1:69" ht="108" x14ac:dyDescent="0.45">
      <c r="A747" s="5">
        <v>746</v>
      </c>
      <c r="B747" s="8" t="s">
        <v>512</v>
      </c>
      <c r="C747" s="6" t="s">
        <v>6850</v>
      </c>
      <c r="D747" s="7" t="s">
        <v>9752</v>
      </c>
      <c r="E747" s="1" t="s">
        <v>1454</v>
      </c>
      <c r="F747" s="1" t="s">
        <v>8985</v>
      </c>
      <c r="G747" s="1"/>
      <c r="J747" s="1" t="s">
        <v>9753</v>
      </c>
      <c r="K747" s="2" t="s">
        <v>8759</v>
      </c>
      <c r="L747" s="2" t="s">
        <v>12081</v>
      </c>
      <c r="M747" s="1" t="s">
        <v>12194</v>
      </c>
      <c r="P747" s="7" t="s">
        <v>1241</v>
      </c>
      <c r="Q747" s="13" t="str">
        <f>INDEX($L:$L, MATCH("select", $B:$B, 0))</f>
        <v>&lt;span class="w"&gt;&lt;b&gt;【322.select：〜を選ぶ, えり抜く】&lt;/b&gt;&lt;/span&gt;
&lt;span class="ml"&gt;ラテン語に由来する語で、以下の2つの要素から成る。
&lt;span class="spacer"&gt;&lt;/span&gt;se（離れて）
legere（集める, 選ぶ）
&lt;span class="spacer"&gt;&lt;/span&gt;このまま日本語にすると「選んで離す」となる。全体の中から選び出して離す＝「選ぶ, えり抜く」という意味になる。&lt;/span&gt;</v>
      </c>
      <c r="R747" s="13" t="str">
        <f>INDEX($L:$L, MATCH("neglect", $B:$B, 0))</f>
        <v>&lt;span class="w"&gt;&lt;b&gt;【733.neglect：〜を無視する, 〜をおろそかにする】&lt;/b&gt;&lt;/span&gt;
&lt;span class="ml"&gt;ラテン語に由来する語で、以下の2つの要素から成る。
&lt;span class="spacer"&gt;&lt;/span&gt;nec（ない）
legere（拾い上げる, 選ぶ）
&lt;span class="spacer"&gt;&lt;/span&gt;このまま日本語にすると「拾い上げない」となる。これは、拾い上げないでそのまま放置することから、何かを「おろそかにする」という意味になる。また拾わないということが、注意を払わない、軽視するといった心理的な態度を表すようになり、「無視する」という意味にもなった。&lt;/span&gt;</v>
      </c>
      <c r="S747" s="13" t="str">
        <f>INDEX($L:$L, MATCH("elect", $B:$B, 0))</f>
        <v>&lt;span class="w"&gt;&lt;b&gt;【1137.elect：〜を選出する】&lt;/b&gt;&lt;/span&gt;
&lt;span class="ml"&gt;ラテン語に由来する語で、以下の2つの要素から成る。
&lt;span class="spacer"&gt;&lt;/span&gt;ex（外に）
legere（選ぶ）
&lt;span class="spacer"&gt;&lt;/span&gt;このまま日本語にすると「選んで外に」となる。複数の選択肢から選び出すことから、「（ある役職や地位などに）選出する」という意味になる。&lt;/span&gt;</v>
      </c>
      <c r="T747" s="13" t="str">
        <f>INDEX($L:$L, MATCH("collective", $B:$B, 0))</f>
        <v>&lt;span class="w"&gt;&lt;b&gt;【895.collective：集団の, 共同の】&lt;/b&gt;&lt;/span&gt;
&lt;span class="ml"&gt;ラテン語に由来する語で、以下の2つの要素から成る。
&lt;span class="spacer"&gt;&lt;/span&gt;com（共に）
legere（集める）
ivus（形容詞化）
&lt;span class="spacer"&gt;&lt;/span&gt;このまま日本語にすると「共に集まった」、つまり「集合の, 集団な」という意味になる。これはcollect（集める）の形容詞として覚えればよい。&lt;/span&gt;</v>
      </c>
      <c r="U747" s="13" t="str">
        <f>INDEX($L:$L, MATCH("lecture", $B:$B, 0))</f>
        <v>&lt;span class="w"&gt;&lt;b&gt;【368.lecture：講義, 講演, 説教】&lt;/b&gt;&lt;/span&gt;
&lt;span class="ml"&gt;ラテン語に由来する語で、以下の2つの要素から成る。
&lt;span class="spacer"&gt;&lt;/span&gt;legere（集める, 選び取る, 言葉を選び取る, 読む）
ura（名詞化）
&lt;span class="spacer"&gt;&lt;/span&gt;もともとは、書物から特定の言葉を選び出して読み上げることを意味した。本が貴重だった時代は、教師がテキストを読み上げるのが授業の基本スタイルだったことから、「講義, 講演」という意味になる。
&lt;span class="spacer"&gt;&lt;/span&gt;また相手に何かを言い聞かせるということから「説教」という意味になる。&lt;/span&gt;</v>
      </c>
      <c r="V747" s="13" t="str">
        <f>INDEX($L:$L, MATCH("intelligent", $B:$B, 0))</f>
        <v>&lt;span class="w"&gt;&lt;b&gt;【379.intelligent：聡明な, 知能が高い】&lt;/b&gt;&lt;/span&gt;
&lt;span class="ml"&gt;ラテン語に由来する語で、以下の2つの要素から成る。
&lt;span class="spacer"&gt;&lt;/span&gt;inter（～の間に）
legere（集める, 選ぶ）
&lt;span class="spacer"&gt;&lt;/span&gt;これは、さまざまな物事や情報「の間に」ある違いを見極めて「選ぶ」能力があるということを表す。ここから「知能の高い, 聡明な」という意味になる。
&lt;span class="spacer"&gt;&lt;/span&gt;AI（人工知能）は、Artificial（人工的な）Inteligence（知能）の略。inteligence（知能）の形容詞がintelligent（知能が高い）。&lt;/span&gt;</v>
      </c>
      <c r="W747" s="13" t="str">
        <f>INDEX($L:$L, MATCH("colleague", $B:$B, 0))</f>
        <v>&lt;span class="w"&gt;&lt;b&gt;【246.colleague：同僚】&lt;/b&gt;&lt;/span&gt;
&lt;span class="ml"&gt;ラテン語に由来する語で、以下の2つの要素から成る。
&lt;span class="spacer"&gt;&lt;/span&gt;com（共に）
legare（任命して派遣する）
&lt;span class="spacer"&gt;&lt;/span&gt;これは「同じ職務に就くために共に派遣された者」から「同僚」という意味になる。&lt;/span&gt;</v>
      </c>
      <c r="X747" s="13" t="str">
        <f>INDEX($L:$L, MATCH("dialect", $B:$B, 0))</f>
        <v>&lt;span class="w"&gt;&lt;b&gt;【463.dialect：方言】&lt;/b&gt;&lt;/span&gt;
&lt;span class="ml"&gt;ギリシャ語に由来する語で、以下の2つの要素から成る。
&lt;span class="spacer"&gt;&lt;/span&gt;dia（間で）
legein（話す）
&lt;span class="spacer"&gt;&lt;/span&gt;このまま日本語にすると「間で話す」となる。もともとは、人々の間で言葉を交わすこと、つまり会話を意味していた。
&lt;span class="spacer"&gt;&lt;/span&gt;古代ギリシャは、一つの国家ではなく、独立した多数の都市国家（ポリス）が基本単位であり、地域ごとに話し方が異なっていた。このような言葉遣いの違いを指してdialektosが使われるようになり、そこから「方言」という意味になった。&lt;/span&gt;</v>
      </c>
      <c r="AU747" s="15"/>
      <c r="AV747" s="1" t="s">
        <v>1502</v>
      </c>
      <c r="BG747" s="7" t="s">
        <v>1503</v>
      </c>
      <c r="BH747" s="1" t="s">
        <v>1947</v>
      </c>
      <c r="BI747" s="2" t="s">
        <v>4338</v>
      </c>
      <c r="BJ747" s="1" t="s">
        <v>1959</v>
      </c>
      <c r="BK747" s="2" t="s">
        <v>4339</v>
      </c>
      <c r="BL747" s="1" t="s">
        <v>4340</v>
      </c>
      <c r="BM747" s="1" t="s">
        <v>4341</v>
      </c>
      <c r="BN747" s="1" t="s">
        <v>1877</v>
      </c>
      <c r="BO747" s="2" t="s">
        <v>4342</v>
      </c>
    </row>
    <row r="748" spans="1:69" ht="108" x14ac:dyDescent="0.45">
      <c r="A748" s="5">
        <v>747</v>
      </c>
      <c r="B748" s="8" t="s">
        <v>513</v>
      </c>
      <c r="C748" s="6" t="s">
        <v>6850</v>
      </c>
      <c r="D748" s="7" t="s">
        <v>9752</v>
      </c>
      <c r="E748" s="1" t="s">
        <v>1844</v>
      </c>
      <c r="F748" s="1" t="s">
        <v>1786</v>
      </c>
      <c r="G748" s="1"/>
      <c r="J748" s="1" t="s">
        <v>9753</v>
      </c>
      <c r="K748" s="2" t="s">
        <v>8760</v>
      </c>
      <c r="L748" s="9" t="s">
        <v>12082</v>
      </c>
      <c r="P748" s="7" t="s">
        <v>1241</v>
      </c>
      <c r="Q748" s="13" t="str">
        <f>INDEX($L:$L, MATCH("underlie", $B:$B, 0))</f>
        <v>&lt;span class="w"&gt;&lt;b&gt;【922.underlie：〜の根底にある】&lt;/b&gt;&lt;/span&gt;
&lt;span class="ml"&gt;古英語にさかのぼり、以下の2つの要素から成る。
&lt;span class="spacer"&gt;&lt;/span&gt;under（下に）
lie（横たわる, 横になる）
&lt;span class="spacer"&gt;&lt;/span&gt;このまま日本語にすると「下に横たわる」となる。物理的に何かの下にあることから抽象的な意味へと発展し、何かが土台となって上にあるものを成り立たせるというニュアンスで「何かの根底にある」という意味になった。&lt;/span&gt;</v>
      </c>
      <c r="AV748" s="1" t="s">
        <v>1502</v>
      </c>
      <c r="BG748" s="7" t="s">
        <v>1503</v>
      </c>
      <c r="BH748" s="1" t="s">
        <v>1872</v>
      </c>
      <c r="BI748" s="1" t="s">
        <v>4343</v>
      </c>
      <c r="BJ748" s="1" t="s">
        <v>1875</v>
      </c>
      <c r="BK748" s="2" t="s">
        <v>4344</v>
      </c>
      <c r="BL748" s="1" t="s">
        <v>1877</v>
      </c>
      <c r="BM748" s="2" t="s">
        <v>4345</v>
      </c>
    </row>
    <row r="749" spans="1:69" ht="108" x14ac:dyDescent="0.45">
      <c r="A749" s="5">
        <v>748</v>
      </c>
      <c r="B749" s="8" t="s">
        <v>514</v>
      </c>
      <c r="C749" s="6" t="s">
        <v>6850</v>
      </c>
      <c r="D749" s="7" t="s">
        <v>9752</v>
      </c>
      <c r="E749" s="1" t="s">
        <v>4346</v>
      </c>
      <c r="F749" s="1" t="s">
        <v>1695</v>
      </c>
      <c r="G749" s="1"/>
      <c r="J749" s="1" t="s">
        <v>9753</v>
      </c>
      <c r="K749" s="2" t="s">
        <v>8761</v>
      </c>
      <c r="L749" s="2" t="s">
        <v>12099</v>
      </c>
      <c r="M749" s="1" t="s">
        <v>12166</v>
      </c>
      <c r="P749" s="7" t="s">
        <v>1241</v>
      </c>
      <c r="Q749" s="13" t="str">
        <f>INDEX($L:$L, MATCH("motion", $B:$B, 0))</f>
        <v>&lt;span class="w"&gt;&lt;b&gt;【565.motion：動き, 運動】&lt;/b&gt;&lt;/span&gt;
&lt;span class="ml"&gt;ラテン語に由来する語で、以下の2つの要素から成る。
&lt;span class="spacer"&gt;&lt;/span&gt;movere（動かす）
io（名詞化）
&lt;span class="spacer"&gt;&lt;/span&gt;このまま日本語にすると「動かすこと」となり、そのまま「動き, 運動」という意味になる。&lt;/span&gt;</v>
      </c>
      <c r="R749" s="13" t="str">
        <f>INDEX($L:$L, MATCH("emotion", $B:$B, 0))</f>
        <v>&lt;span class="w"&gt;&lt;b&gt;【153.emotion：感情, 情動】&lt;/b&gt;&lt;/span&gt;
&lt;span class="ml"&gt;ラテン語に由来する語で、以下の2つの要素から成る。
&lt;span class="spacer"&gt;&lt;/span&gt;ex（外に）
movere（動かす：moveの語源）
&lt;span class="spacer"&gt;&lt;/span&gt;このまま日本語にすると「外に動かす」となる。外に動く＝揺れ動くというイメージから心が揺れ動く＝「感情, 情動」となる。&lt;/span&gt;</v>
      </c>
      <c r="S749" s="13" t="str">
        <f>INDEX($L:$L, MATCH("promote", $B:$B, 0))</f>
        <v>&lt;span class="w"&gt;&lt;b&gt;【213.promote：～を促進する, （受け身で）昇進する】&lt;/b&gt;&lt;/span&gt;
&lt;span class="ml"&gt;ラテン語に由来する語で、以下の2つの要素から成る。
&lt;span class="spacer"&gt;&lt;/span&gt;pro（前へ）
movere（動かす：moveの語源）
&lt;span class="spacer"&gt;&lt;/span&gt;このまま日本語にすると「前へ動かす」となる。ここから「促進する, 昇進させる」という意味になる。
&lt;span class="spacer"&gt;&lt;/span&gt;&lt;span class="obsolete"&gt;promoteは古フランス語経由で英語に入ったため、英語では動詞となっている。
remoteはラテン語から直接英語に入ったため、英語でも形容詞となっている。&lt;/span&gt;&lt;/span&gt;</v>
      </c>
      <c r="T749" s="13" t="str">
        <f>INDEX($L:$L, MATCH("remove", $B:$B, 0))</f>
        <v>&lt;span class="w"&gt;&lt;b&gt;【234.remove：～を取り除く, ～を解雇する】&lt;/b&gt;&lt;/span&gt;
&lt;span class="ml"&gt;ラテン語に由来する語で、以下の2つの要素から成る。
&lt;span class="spacer"&gt;&lt;/span&gt;re（後ろへ）
movere（動かす：moveの語源）
&lt;span class="spacer"&gt;&lt;/span&gt;このまま日本語にすると「後ろへ動かす」となる。いまある場所から後ろに引っ込めて視界から外すイメージから「取り除く, 解雇する」という意味になる。&lt;/span&gt;</v>
      </c>
      <c r="U749" s="13" t="str">
        <f>INDEX($L:$L, MATCH("remote", $B:$B, 0))</f>
        <v>&lt;span class="w"&gt;&lt;b&gt;【682.remote：遠く離れた】&lt;/b&gt;&lt;/span&gt;
&lt;span class="ml"&gt;ラテン語に由来する語で、以下の2つの要素から成る。
&lt;span class="spacer"&gt;&lt;/span&gt;re（後ろへ）
movere（動かす）
&lt;span class="spacer"&gt;&lt;/span&gt;このまま日本語にすると「後ろへ動かす, 遠ざける」となる。ここから「遠く離れた」という意味になった。&lt;/span&gt;</v>
      </c>
      <c r="V749" s="13" t="str">
        <f>INDEX($L:$L, MATCH("mobile", $B:$B, 0))</f>
        <v>&lt;span class="w"&gt;&lt;b&gt;【195.mobile：可動式の, 動かせる】&lt;/b&gt;&lt;/span&gt;
&lt;span class="ml"&gt;ラテン語に由来する語で、以下の2つの要素から成る。
&lt;span class="spacer"&gt;&lt;/span&gt;movere（動かす：moveの語源）
bilis（〜できる）
&lt;span class="spacer"&gt;&lt;/span&gt;ラテン語から意味の変化はほとんどない。&lt;/span&gt;</v>
      </c>
      <c r="W749" s="13" t="str">
        <f>INDEX($L:$L, MATCH("motive", $B:$B, 0))</f>
        <v>&lt;span class="w"&gt;&lt;b&gt;【1274.motive：動機】&lt;/b&gt;&lt;/span&gt;
&lt;span class="ml"&gt;ラテン語に由来する語で、以下の2つの要素から成る。
&lt;span class="spacer"&gt;&lt;/span&gt;movere（動かす）
ivus（形容詞化）
&lt;span class="spacer"&gt;&lt;/span&gt;何かを動かす、駆り立てるという形容詞が名詞となり、人を行動へと動かすもの＝「動機」という意味になった。&lt;/span&gt;</v>
      </c>
      <c r="AU749" s="15"/>
      <c r="AV749" s="1" t="s">
        <v>1502</v>
      </c>
      <c r="BG749" s="7" t="s">
        <v>1503</v>
      </c>
      <c r="BH749" s="1" t="s">
        <v>1947</v>
      </c>
      <c r="BI749" s="2" t="s">
        <v>4347</v>
      </c>
      <c r="BJ749" s="1" t="s">
        <v>2036</v>
      </c>
      <c r="BK749" s="2" t="s">
        <v>4348</v>
      </c>
      <c r="BL749" s="1" t="s">
        <v>1875</v>
      </c>
      <c r="BM749" s="2" t="s">
        <v>4349</v>
      </c>
      <c r="BN749" s="1" t="s">
        <v>1877</v>
      </c>
      <c r="BO749" s="2" t="s">
        <v>4350</v>
      </c>
    </row>
    <row r="750" spans="1:69" ht="180" x14ac:dyDescent="0.45">
      <c r="A750" s="5">
        <v>749</v>
      </c>
      <c r="B750" s="8" t="s">
        <v>515</v>
      </c>
      <c r="C750" s="6" t="s">
        <v>6850</v>
      </c>
      <c r="D750" s="7" t="s">
        <v>9752</v>
      </c>
      <c r="E750" s="1" t="s">
        <v>1845</v>
      </c>
      <c r="F750" s="1" t="s">
        <v>27</v>
      </c>
      <c r="G750" s="1"/>
      <c r="J750" s="1" t="s">
        <v>9753</v>
      </c>
      <c r="K750" s="2" t="s">
        <v>8762</v>
      </c>
      <c r="L750" s="9" t="s">
        <v>12083</v>
      </c>
      <c r="P750" s="7" t="s">
        <v>1241</v>
      </c>
      <c r="AU750" s="15"/>
      <c r="AV750" s="1" t="s">
        <v>1502</v>
      </c>
      <c r="BG750" s="7" t="s">
        <v>1503</v>
      </c>
      <c r="BH750" s="1" t="s">
        <v>2458</v>
      </c>
      <c r="BI750" s="2" t="s">
        <v>4351</v>
      </c>
      <c r="BJ750" s="1" t="s">
        <v>1996</v>
      </c>
      <c r="BK750" s="2" t="s">
        <v>8763</v>
      </c>
      <c r="BL750" s="1" t="s">
        <v>1877</v>
      </c>
      <c r="BM750" s="2" t="s">
        <v>4352</v>
      </c>
      <c r="BN750" s="1" t="s">
        <v>3496</v>
      </c>
      <c r="BO750" s="2" t="s">
        <v>4353</v>
      </c>
    </row>
    <row r="751" spans="1:69" ht="126" x14ac:dyDescent="0.45">
      <c r="A751" s="5">
        <v>750</v>
      </c>
      <c r="B751" s="8" t="s">
        <v>1846</v>
      </c>
      <c r="C751" s="6" t="s">
        <v>6850</v>
      </c>
      <c r="D751" s="7" t="s">
        <v>9752</v>
      </c>
      <c r="E751" s="1" t="s">
        <v>31</v>
      </c>
      <c r="F751" s="1" t="s">
        <v>1847</v>
      </c>
      <c r="G751" s="1" t="s">
        <v>1584</v>
      </c>
      <c r="J751" s="1" t="s">
        <v>9753</v>
      </c>
      <c r="K751" s="2" t="s">
        <v>8764</v>
      </c>
      <c r="L751" s="9" t="s">
        <v>12084</v>
      </c>
      <c r="P751" s="7" t="s">
        <v>1241</v>
      </c>
      <c r="Q751" s="13" t="str">
        <f>INDEX($L:$L, MATCH("fate", $B:$B, 0))</f>
        <v>&lt;span class="w"&gt;&lt;b&gt;【954.fate：運命, 結末】&lt;/b&gt;&lt;/span&gt;
&lt;span class="ml"&gt;ラテン語fari（話す）から派生したfatum（語られたこと）に由来する。
&lt;span class="spacer"&gt;&lt;/span&gt;この語の核は「神々によって語られたこと」。古代ローマの人々にとって、神が一度「こうなる」と口にして語った言葉は、人間にはどうすることもできない絶対的な決定事項だった。そこから既に決まっているもの、つまり「運命」や最終的な「結末」という意味になった。&lt;/span&gt;</v>
      </c>
      <c r="AU751" s="15"/>
      <c r="AV751" s="1" t="s">
        <v>1502</v>
      </c>
      <c r="BG751" s="7" t="s">
        <v>1503</v>
      </c>
      <c r="BH751" s="1" t="s">
        <v>1947</v>
      </c>
      <c r="BI751" s="2" t="s">
        <v>8765</v>
      </c>
      <c r="BJ751" s="1" t="s">
        <v>1959</v>
      </c>
      <c r="BK751" s="1" t="s">
        <v>4354</v>
      </c>
      <c r="BL751" s="1" t="s">
        <v>1875</v>
      </c>
      <c r="BM751" s="2" t="s">
        <v>4355</v>
      </c>
      <c r="BN751" s="1" t="s">
        <v>1877</v>
      </c>
      <c r="BO751" s="2" t="s">
        <v>4356</v>
      </c>
    </row>
    <row r="752" spans="1:69" ht="180" x14ac:dyDescent="0.45">
      <c r="A752" s="5">
        <v>751</v>
      </c>
      <c r="B752" s="8" t="s">
        <v>516</v>
      </c>
      <c r="C752" s="6" t="s">
        <v>6850</v>
      </c>
      <c r="D752" s="7" t="s">
        <v>9752</v>
      </c>
      <c r="E752" s="1" t="s">
        <v>1454</v>
      </c>
      <c r="F752" s="1" t="s">
        <v>1848</v>
      </c>
      <c r="G752" s="1" t="s">
        <v>1695</v>
      </c>
      <c r="J752" s="1" t="s">
        <v>9753</v>
      </c>
      <c r="K752" s="2" t="s">
        <v>8766</v>
      </c>
      <c r="L752" s="9" t="s">
        <v>12085</v>
      </c>
      <c r="P752" s="7" t="s">
        <v>1241</v>
      </c>
      <c r="Q752" s="15"/>
      <c r="AU752" s="15"/>
      <c r="AV752" s="1" t="s">
        <v>1502</v>
      </c>
      <c r="BG752" s="7" t="s">
        <v>1503</v>
      </c>
      <c r="BH752" s="1" t="s">
        <v>1947</v>
      </c>
      <c r="BI752" s="2" t="s">
        <v>4357</v>
      </c>
      <c r="BJ752" s="1" t="s">
        <v>1877</v>
      </c>
      <c r="BK752" s="2" t="s">
        <v>4358</v>
      </c>
    </row>
    <row r="753" spans="1:71" ht="144" x14ac:dyDescent="0.45">
      <c r="A753" s="5">
        <v>752</v>
      </c>
      <c r="B753" s="8" t="s">
        <v>517</v>
      </c>
      <c r="C753" s="6" t="s">
        <v>6850</v>
      </c>
      <c r="D753" s="7" t="s">
        <v>9752</v>
      </c>
      <c r="E753" s="1" t="s">
        <v>517</v>
      </c>
      <c r="F753" s="1"/>
      <c r="G753" s="1"/>
      <c r="J753" s="1" t="s">
        <v>9753</v>
      </c>
      <c r="K753" s="2" t="s">
        <v>8767</v>
      </c>
      <c r="L753" s="2" t="s">
        <v>12086</v>
      </c>
      <c r="M753" s="1" t="s">
        <v>12215</v>
      </c>
      <c r="P753" s="7" t="s">
        <v>1241</v>
      </c>
      <c r="Q753" s="13" t="str">
        <f>INDEX($L:$L, MATCH("active", $B:$B, 0))</f>
        <v>&lt;span class="w"&gt;&lt;b&gt;【193.active：積極的な, 活動的な】&lt;/b&gt;&lt;/span&gt;
&lt;span class="ml"&gt;ラテン語に由来する語で、以下の2つの要素から成る。
&lt;span class="spacer"&gt;&lt;/span&gt;agere（行う）の過去分詞actus（行為）
ivus（形容詞化）
&lt;span class="spacer"&gt;&lt;/span&gt;この形容詞は何かの行為をしている状態を表し、そこから「活動的な」という意味になる。また自分で進んで活動することから「積極的な」という意味にもなる。&lt;/span&gt;</v>
      </c>
      <c r="R753" s="13" t="str">
        <f>INDEX($L:$L, MATCH("actual", $B:$B, 0))</f>
        <v>&lt;span class="w"&gt;&lt;b&gt;【297.actual：実際の, 現実の】&lt;/b&gt;&lt;/span&gt;
&lt;span class="ml"&gt;ラテン語に由来する語で、以下の2つの要素から成る。
&lt;span class="spacer"&gt;&lt;/span&gt;agere（行う）から派生したactus（行為）
alis（形容詞化）
&lt;span class="spacer"&gt;&lt;/span&gt;「行為に関する」という形容詞は、理想（ideal）や潜在（potential）ではなく、現実に行われたということを意味する。ここから「実際の, 現実の」となる。&lt;/span&gt;</v>
      </c>
      <c r="S753" s="13" t="str">
        <f>INDEX($L:$L, MATCH("transaction", $B:$B, 0))</f>
        <v>&lt;span class="w"&gt;&lt;b&gt;【1447.transaction：（商）取引, 決済, 処理】&lt;/b&gt;&lt;/span&gt;
&lt;span class="ml"&gt;ラテン語に由来する語で、以下の3つの要素から成る。
&lt;span class="spacer"&gt;&lt;/span&gt;trans（越えて, 通して）
agere（動かす, 行う）
io（名詞化）
&lt;span class="spacer"&gt;&lt;/span&gt;このまま日本語にすると「（物事を最後まで）通して行うこと」となる。もともとは、何かを最後までやり遂げることを表した。そこから、業務や契約などの正式な「処理」、さらに商業における「取引」や「決済」も意味するようになった。
&lt;div class="sample_image transaction"&gt;&lt;/div&gt;&lt;/span&gt;</v>
      </c>
      <c r="T753" s="13" t="str">
        <f>INDEX($L:$L, MATCH("interact", $B:$B, 0))</f>
        <v>&lt;span class="w"&gt;&lt;b&gt;【537.interact：影響し合う, 相互に作用する】&lt;/b&gt;&lt;/span&gt;
&lt;span class="ml"&gt;近代英語にさかのぼり、以下の2つの要素から成る。
&lt;span class="spacer"&gt;&lt;/span&gt;inter（〜の間に）
act（行う, 作用する）
&lt;span class="spacer"&gt;&lt;/span&gt;このまま日本語にすると「何かと何かの間で作用する」となる。ここから「お互いが影響し合う」や「相互に作用する」という意味になる。&lt;/span&gt;</v>
      </c>
      <c r="U753" s="13" t="str">
        <f>INDEX($L:$L, MATCH("exact", $B:$B, 0))</f>
        <v>&lt;span class="w"&gt;&lt;b&gt;【598.exact：正確な, まさにその】&lt;/b&gt;&lt;/span&gt;
&lt;span class="ml"&gt;ラテン語に由来する語で、以下の2つの要素から成る。
&lt;span class="spacer"&gt;&lt;/span&gt;ex（外へ）
agere（動かす, 駆り立てる）
&lt;span class="spacer"&gt;&lt;/span&gt;このまま日本語にすると「外へ駆り立てる」となる。これは、物事を最後まで徹底的にやり切らせることを表した。そこから、抜けや不足がなく徹底的に行われて完了したことを表すようになり、「正確な, まさにその」という意味へとつながった。&lt;/span&gt;</v>
      </c>
      <c r="V753" s="13" t="str">
        <f>INDEX($L:$L, MATCH("react", $B:$B, 0))</f>
        <v>&lt;span class="w"&gt;&lt;b&gt;【605.react：反応する】&lt;/b&gt;&lt;/span&gt;
&lt;span class="ml"&gt;近代英語にさかのぼり、以下の2つの要素から成る。
&lt;span class="spacer"&gt;&lt;/span&gt;re（後ろへ, 返して）
act（行う）
&lt;span class="spacer"&gt;&lt;/span&gt;このまま日本語にすると「何かに返して行う」となる。出来事や行為に対して何かを行うことから「反応する」という意味になる。&lt;/span&gt;</v>
      </c>
      <c r="W753" s="13" t="str">
        <f>INDEX($L:$L, MATCH("agenda", $B:$B, 0))</f>
        <v>&lt;span class="w"&gt;&lt;b&gt;【1347.agenda：協議事項, 会議の議題, 予定, 計画, 隠れた意図】&lt;/b&gt;&lt;/span&gt;
&lt;span class="ml"&gt;ラテン語agere（行う, 駆り立てる）から派生したagendus（行われるべき）に由来する。
&lt;span class="spacer"&gt;&lt;/span&gt;この語の核は「行われるべき事柄」。会議で行われるべきことなら「協議事項, 会議の議題」という意味に、個人や組織の行われるべきことなら「予定・計画」という意味に、表に出ていない行われるべきことなら「隠れた意図」という意味になる。
&lt;span class="spacer"&gt;&lt;/span&gt;イメージとしてはto-do list（やるべきことリスト）やplan（計画）に近い。
&lt;div class="sample_image agenda"&gt;&lt;/div&gt;
&lt;span class="spacer"&gt;&lt;/span&gt;ラテン語agereからは、act（行動する）やagent（代理人, 行為者）なども生まれている。actは行うという行為、agentは行う人、agendaは行うべきことの協議リストを指す。&lt;/span&gt;</v>
      </c>
      <c r="X753" s="13" t="str">
        <f>INDEX($L:$L, MATCH("ambiguous", $B:$B, 0))</f>
        <v>&lt;span class="w"&gt;&lt;b&gt;【1386.ambiguous：あいまいな, 多義的な】&lt;/b&gt;&lt;/span&gt;
&lt;span class="ml"&gt;ラテン語に由来する語で、以下の3つの要素から成る。
&lt;span class="spacer"&gt;&lt;/span&gt;ambi（～の周りに）
agere（駆り立てる, 行う）
us（形容詞化）
&lt;span class="spacer"&gt;&lt;/span&gt;もともとは、あちこち行き来するというような動きや、どちらにも決められず心が揺れ動く状態を表した。このような、どちらの方向にも動けて方向が定まらない、心がふらふらして一つの場所に定まらないという本来のイメージから転じて、言葉や態度がはっきりひとつの意味に定まらず「あいまいな, 多義的な」という意味になった。
&lt;div class="sample_image ambiguous"&gt;&lt;/div&gt;&lt;/span&gt;</v>
      </c>
      <c r="AU753" s="15"/>
      <c r="AV753" s="1" t="s">
        <v>1502</v>
      </c>
      <c r="BG753" s="7" t="s">
        <v>1503</v>
      </c>
      <c r="BH753" s="1" t="s">
        <v>1947</v>
      </c>
      <c r="BI753" s="2" t="s">
        <v>8768</v>
      </c>
      <c r="BJ753" s="1" t="s">
        <v>1875</v>
      </c>
      <c r="BK753" s="2" t="s">
        <v>4359</v>
      </c>
      <c r="BL753" s="1" t="s">
        <v>1877</v>
      </c>
      <c r="BM753" s="2" t="s">
        <v>4360</v>
      </c>
      <c r="BN753" s="1" t="s">
        <v>3496</v>
      </c>
      <c r="BO753" s="2" t="s">
        <v>4361</v>
      </c>
    </row>
    <row r="754" spans="1:71" ht="72" x14ac:dyDescent="0.45">
      <c r="A754" s="5">
        <v>753</v>
      </c>
      <c r="B754" s="8" t="s">
        <v>518</v>
      </c>
      <c r="C754" s="6" t="s">
        <v>6850</v>
      </c>
      <c r="D754" s="7" t="s">
        <v>9752</v>
      </c>
      <c r="E754" s="6" t="s">
        <v>518</v>
      </c>
      <c r="F754" s="1"/>
      <c r="G754" s="1"/>
      <c r="J754" s="1" t="s">
        <v>9753</v>
      </c>
      <c r="K754" s="2" t="s">
        <v>8769</v>
      </c>
      <c r="L754" s="2" t="s">
        <v>8770</v>
      </c>
      <c r="P754" s="7" t="s">
        <v>1241</v>
      </c>
      <c r="AU754" s="15"/>
      <c r="AV754" s="1" t="s">
        <v>1502</v>
      </c>
      <c r="BG754" s="7" t="s">
        <v>1503</v>
      </c>
      <c r="BH754" s="1" t="s">
        <v>1947</v>
      </c>
      <c r="BI754" s="2" t="s">
        <v>4362</v>
      </c>
      <c r="BJ754" s="1" t="s">
        <v>1959</v>
      </c>
      <c r="BK754" s="1" t="s">
        <v>4363</v>
      </c>
      <c r="BL754" s="1" t="s">
        <v>1875</v>
      </c>
      <c r="BM754" s="2" t="s">
        <v>4364</v>
      </c>
      <c r="BN754" s="1" t="s">
        <v>1877</v>
      </c>
      <c r="BO754" s="2" t="s">
        <v>4365</v>
      </c>
    </row>
    <row r="755" spans="1:71" ht="72" x14ac:dyDescent="0.45">
      <c r="A755" s="5">
        <v>754</v>
      </c>
      <c r="B755" s="8" t="s">
        <v>519</v>
      </c>
      <c r="C755" s="6" t="s">
        <v>6850</v>
      </c>
      <c r="D755" s="7" t="s">
        <v>9752</v>
      </c>
      <c r="E755" s="6" t="s">
        <v>519</v>
      </c>
      <c r="F755" s="1"/>
      <c r="G755" s="1"/>
      <c r="J755" s="1" t="s">
        <v>9753</v>
      </c>
      <c r="K755" s="2" t="s">
        <v>8771</v>
      </c>
      <c r="L755" s="9" t="s">
        <v>8772</v>
      </c>
      <c r="P755" s="7" t="s">
        <v>1241</v>
      </c>
      <c r="AV755" s="1" t="s">
        <v>1502</v>
      </c>
      <c r="BG755" s="7" t="s">
        <v>1503</v>
      </c>
      <c r="BH755" s="1" t="s">
        <v>1872</v>
      </c>
      <c r="BI755" s="1" t="s">
        <v>4366</v>
      </c>
      <c r="BJ755" s="1" t="s">
        <v>1875</v>
      </c>
      <c r="BK755" s="2" t="s">
        <v>4367</v>
      </c>
    </row>
    <row r="756" spans="1:71" ht="54" x14ac:dyDescent="0.45">
      <c r="A756" s="5">
        <v>755</v>
      </c>
      <c r="B756" s="8" t="s">
        <v>520</v>
      </c>
      <c r="C756" s="6" t="s">
        <v>6850</v>
      </c>
      <c r="D756" s="7" t="s">
        <v>9752</v>
      </c>
      <c r="E756" s="6" t="s">
        <v>520</v>
      </c>
      <c r="F756" s="1"/>
      <c r="G756" s="1"/>
      <c r="J756" s="1" t="s">
        <v>9753</v>
      </c>
      <c r="K756" s="2" t="s">
        <v>1849</v>
      </c>
      <c r="L756" s="9" t="s">
        <v>8773</v>
      </c>
      <c r="P756" s="7" t="s">
        <v>1241</v>
      </c>
      <c r="AV756" s="1" t="s">
        <v>1502</v>
      </c>
      <c r="BG756" s="7" t="s">
        <v>1503</v>
      </c>
      <c r="BH756" s="1" t="s">
        <v>1872</v>
      </c>
      <c r="BI756" s="1" t="s">
        <v>4368</v>
      </c>
      <c r="BJ756" s="1" t="s">
        <v>1875</v>
      </c>
      <c r="BK756" s="2" t="s">
        <v>4369</v>
      </c>
      <c r="BL756" s="1" t="s">
        <v>1877</v>
      </c>
      <c r="BM756" s="2" t="s">
        <v>4370</v>
      </c>
    </row>
    <row r="757" spans="1:71" ht="216" x14ac:dyDescent="0.45">
      <c r="A757" s="5">
        <v>756</v>
      </c>
      <c r="B757" s="8" t="s">
        <v>521</v>
      </c>
      <c r="C757" s="6" t="s">
        <v>6850</v>
      </c>
      <c r="D757" s="7" t="s">
        <v>9752</v>
      </c>
      <c r="E757" s="1" t="s">
        <v>1850</v>
      </c>
      <c r="F757" s="1" t="s">
        <v>1851</v>
      </c>
      <c r="G757" s="1"/>
      <c r="J757" s="1" t="s">
        <v>9753</v>
      </c>
      <c r="K757" s="2"/>
      <c r="L757" s="3" t="s">
        <v>8783</v>
      </c>
      <c r="P757" s="7" t="s">
        <v>1241</v>
      </c>
      <c r="Q757" s="13" t="str">
        <f>INDEX($L:$L, MATCH("sacred", $B:$B, 0))</f>
        <v>&lt;span class="w"&gt;&lt;b&gt;【1098.sacred：神聖な】&lt;/b&gt;&lt;/span&gt;
&lt;span class="ml"&gt;ラテン語sacer（神聖な）
&lt;span class="spacer"&gt;&lt;/span&gt;この語の核「人や物が俗世から離れ、神と結びつく」。宗教的な儀式を通して神に属する物となることから、「神聖な」という意味になる。日本で言えば、神様へのお供え物は神聖だというイメージ。
&lt;span class="spacer"&gt;&lt;/span&gt;またそこから宗教的なニュアンスが薄れて、他者が無闇に触れてはならないほど「非常に重要な, 大切な」という意味でも使われる。&lt;/span&gt;</v>
      </c>
      <c r="AU757" s="15"/>
      <c r="AV757" s="1" t="s">
        <v>1502</v>
      </c>
      <c r="BG757" s="7" t="s">
        <v>1503</v>
      </c>
      <c r="BH757" s="1" t="s">
        <v>1947</v>
      </c>
      <c r="BI757" s="2" t="s">
        <v>4371</v>
      </c>
      <c r="BJ757" s="1" t="s">
        <v>1959</v>
      </c>
      <c r="BK757" s="2" t="s">
        <v>4372</v>
      </c>
      <c r="BL757" s="1" t="s">
        <v>1875</v>
      </c>
      <c r="BM757" s="2" t="s">
        <v>4373</v>
      </c>
      <c r="BN757" s="1" t="s">
        <v>1877</v>
      </c>
      <c r="BO757" s="2" t="s">
        <v>4374</v>
      </c>
    </row>
    <row r="758" spans="1:71" ht="198" x14ac:dyDescent="0.45">
      <c r="A758" s="5">
        <v>757</v>
      </c>
      <c r="B758" s="8" t="s">
        <v>522</v>
      </c>
      <c r="C758" s="6" t="s">
        <v>6850</v>
      </c>
      <c r="D758" s="7" t="s">
        <v>9752</v>
      </c>
      <c r="E758" s="6" t="s">
        <v>522</v>
      </c>
      <c r="F758" s="1"/>
      <c r="G758" s="1"/>
      <c r="J758" s="1" t="s">
        <v>9753</v>
      </c>
      <c r="K758" s="2" t="s">
        <v>8784</v>
      </c>
      <c r="L758" s="3" t="s">
        <v>8785</v>
      </c>
      <c r="M758" s="1" t="s">
        <v>12163</v>
      </c>
      <c r="P758" s="7" t="s">
        <v>1241</v>
      </c>
      <c r="Q758" s="14" t="str">
        <f>INDEX($L:$L, MATCH("medium", $B:$B, 0))</f>
        <v>&lt;span class="w"&gt;&lt;b&gt;【144.medium：媒体, 手段, メディアmediaの単数形】&lt;/b&gt;&lt;/span&gt;
&lt;span class="ml"&gt;ラテン語medius（中間の）に由来する。
&lt;span class="spacer"&gt;&lt;/span&gt;この語の核は「中間にあるもの」。情報を送る側と受ける側の間にあるものなら「媒体」という意味になる。また行動と目的の間にあるものなら「手段」という意味になる。
&lt;span class="spacer"&gt;&lt;/span&gt;またmediumのmed部分は、middle（ミドル, 真ん中の）と同じ語源にさかのぼる。&lt;/span&gt;</v>
      </c>
      <c r="R758" s="14" t="str">
        <f>INDEX($L:$L, MATCH("immediate", $B:$B, 0))</f>
        <v>&lt;span class="w"&gt;&lt;b&gt;【498.immediate：即座の, 当面の, 直接の】&lt;/b&gt;&lt;/span&gt;
&lt;span class="ml"&gt;ラテン語に由来する語で、以下の2つの要素から成る。
&lt;span class="spacer"&gt;&lt;/span&gt;in（否定）
medius（中間の）
&lt;span class="spacer"&gt;&lt;/span&gt;このまま日本語にすると「間に何もない」となる。間に何も介さないことから「直接の」という意味になる。また時間において、何かと何かの間に余分な時間がないことから「即座の, 当面の」という意味になる。&lt;/span&gt;</v>
      </c>
      <c r="S758" s="14" t="str">
        <f>INDEX($L:$L, MATCH("medieval", $B:$B, 0))</f>
        <v>&lt;span class="w"&gt;&lt;b&gt;【1097.medieval：中世の】&lt;/b&gt;&lt;/span&gt;
&lt;span class="ml"&gt;近代英語において、ラテン語をもとに造られた語で、以下の2つの要素から成る。
&lt;span class="spacer"&gt;&lt;/span&gt;medium（中間）
aevum（時代）
&lt;span class="spacer"&gt;&lt;/span&gt;このまま日本語にすると「中間の時代」となる。そこから原始時代と近代の間の「中世の」という意味になった。
&lt;span class="spacer"&gt;&lt;/span&gt;ラテン語aevumはageやeverと同じ語源にさかのぼる。英語で言えばmiddle＋age＝medievalだと考えればよい。&lt;/span&gt;</v>
      </c>
      <c r="T758" s="15"/>
      <c r="AU758" s="15"/>
      <c r="AV758" s="1" t="s">
        <v>1502</v>
      </c>
      <c r="BG758" s="7" t="s">
        <v>1503</v>
      </c>
      <c r="BH758" s="1" t="s">
        <v>1947</v>
      </c>
      <c r="BI758" s="2" t="s">
        <v>4375</v>
      </c>
      <c r="BJ758" s="1" t="s">
        <v>2036</v>
      </c>
      <c r="BK758" s="1" t="s">
        <v>4376</v>
      </c>
      <c r="BL758" s="1" t="s">
        <v>1959</v>
      </c>
      <c r="BM758" s="1" t="s">
        <v>4377</v>
      </c>
      <c r="BN758" s="1" t="s">
        <v>1875</v>
      </c>
      <c r="BO758" s="2" t="s">
        <v>4378</v>
      </c>
      <c r="BP758" s="1" t="s">
        <v>1877</v>
      </c>
      <c r="BQ758" s="2" t="s">
        <v>4379</v>
      </c>
    </row>
    <row r="759" spans="1:71" ht="162" x14ac:dyDescent="0.45">
      <c r="A759" s="5">
        <v>758</v>
      </c>
      <c r="B759" s="8" t="s">
        <v>523</v>
      </c>
      <c r="C759" s="6" t="s">
        <v>6850</v>
      </c>
      <c r="D759" s="7" t="s">
        <v>9752</v>
      </c>
      <c r="E759" s="1" t="s">
        <v>4544</v>
      </c>
      <c r="F759" s="1" t="s">
        <v>1584</v>
      </c>
      <c r="G759" s="1"/>
      <c r="J759" s="1" t="s">
        <v>9753</v>
      </c>
      <c r="K759" s="2"/>
      <c r="L759" s="2" t="s">
        <v>8774</v>
      </c>
      <c r="M759" s="1" t="s">
        <v>12198</v>
      </c>
      <c r="P759" s="7" t="s">
        <v>1241</v>
      </c>
      <c r="Q759" s="13" t="str">
        <f>INDEX($L:$L, MATCH("possess", $B:$B, 0))</f>
        <v>&lt;span class="w"&gt;&lt;b&gt;【701.possess：〜を所有する, 心をとらえる】&lt;/b&gt;&lt;/span&gt;
&lt;span class="ml"&gt;ラテン語に由来する語で、以下の2つの要素から成る。
&lt;span class="spacer"&gt;&lt;/span&gt;potis（力をもつ, 可能な）
sedere（座る）
&lt;span class="spacer"&gt;&lt;/span&gt;このまま日本語にすると「力をもった状態で座る」となる。ある場所に支配的に居座るイメージから、その場所を占有する、そして何かのものを「所有する」という意味になる。
&lt;span class="spacer"&gt;&lt;/span&gt;また比喩的に、相手の心を所有することから「心をとらえる」という意味にもなる。
&lt;div class="sample_image possess"&gt;&lt;/div&gt;&lt;/span&gt;</v>
      </c>
      <c r="R759" s="13" t="str">
        <f>INDEX($L:$L, MATCH("assess", $B:$B, 0))</f>
        <v>&lt;span class="w"&gt;&lt;b&gt;【801.assess：〜を評価する, 〜を査定する】&lt;/b&gt;&lt;/span&gt;
&lt;span class="ml"&gt;ラテン語に由来する語で、以下の2つの要素から成る。
&lt;span class="spacer"&gt;&lt;/span&gt;ad（〜へ）
sedere（座る）
&lt;span class="spacer"&gt;&lt;/span&gt;このまま日本語にすると「何かのそばへ座る」となる。これは、古代ローマにおいて、特に裁判官のそばに補佐役が座ることを表していた。補佐役の職務のひとつは税額や罰金を定めることだったため、そこから金額を「査定する」という意味になった。また金銭的な査定から意味が広がって何かを「評価する」という意味になった。
&lt;div class="sample_image assess"&gt;&lt;/div&gt;&lt;/span&gt;</v>
      </c>
      <c r="S759" s="13" t="str">
        <f>INDEX($L:$L, MATCH("resident", $B:$B, 0))</f>
        <v>&lt;span class="w"&gt;&lt;b&gt;【353.resident：居住者, 住民】&lt;/b&gt;&lt;/span&gt;
&lt;span class="ml"&gt;ラテン語に由来する語で、以下の2つの要素から成る。
&lt;span class="spacer"&gt;&lt;/span&gt;re（再び）
sedere（座る）
&lt;span class="spacer"&gt;&lt;/span&gt;このまま日本語にすると「再び座る」となる。これは何度も同じ場所に座るということから、ある場所に留まっている＝定住している「居住者, 住民」という意味になる。
&lt;div class="sample_image resident"&gt;&lt;/div&gt;&lt;/span&gt;</v>
      </c>
      <c r="T759" s="13" t="str">
        <f>INDEX($L:$L, MATCH("settle", $B:$B, 0))</f>
        <v>&lt;span class="w"&gt;&lt;b&gt;【411.settle：〜を解決する, 定住する, 〜を落ち着かせる】&lt;/b&gt;&lt;/span&gt;
&lt;span class="ml"&gt;古英語setl（座席）から派生した動詞setlan（座席に座らせる, 固定位置に置く）にさかのぼる。
&lt;span class="spacer"&gt;&lt;/span&gt;この語は、何かをある場所に置いて動かないようにするイメージ。そこから、人の気持ちを「落ち着かせる」、ある場所に落ち着く＝「定住する」、物事を落ち着かせる＝「解決する」という意味になる。
&lt;div class="sample_image settle"&gt;&lt;/div&gt;&lt;/span&gt;</v>
      </c>
      <c r="AU759" s="15"/>
      <c r="AV759" s="1" t="s">
        <v>1502</v>
      </c>
      <c r="BG759" s="7" t="s">
        <v>1503</v>
      </c>
      <c r="BH759" s="1" t="s">
        <v>1947</v>
      </c>
      <c r="BI759" s="2" t="s">
        <v>5083</v>
      </c>
      <c r="BJ759" s="1" t="s">
        <v>1959</v>
      </c>
      <c r="BK759" s="1" t="s">
        <v>4380</v>
      </c>
      <c r="BL759" s="1" t="s">
        <v>1875</v>
      </c>
      <c r="BM759" s="2" t="s">
        <v>4381</v>
      </c>
      <c r="BN759" s="1" t="s">
        <v>1877</v>
      </c>
      <c r="BO759" s="2" t="s">
        <v>4382</v>
      </c>
      <c r="BP759" s="1" t="s">
        <v>3496</v>
      </c>
      <c r="BQ759" s="2" t="s">
        <v>4383</v>
      </c>
    </row>
    <row r="760" spans="1:71" ht="90" x14ac:dyDescent="0.45">
      <c r="A760" s="5">
        <v>759</v>
      </c>
      <c r="B760" s="8" t="s">
        <v>524</v>
      </c>
      <c r="C760" s="6" t="s">
        <v>6850</v>
      </c>
      <c r="D760" s="7" t="s">
        <v>9752</v>
      </c>
      <c r="E760" s="1" t="s">
        <v>524</v>
      </c>
      <c r="F760" s="1"/>
      <c r="G760" s="1"/>
      <c r="J760" s="1" t="s">
        <v>9753</v>
      </c>
      <c r="K760" s="2" t="s">
        <v>8775</v>
      </c>
      <c r="L760" s="2" t="s">
        <v>8776</v>
      </c>
      <c r="P760" s="7" t="s">
        <v>1241</v>
      </c>
      <c r="Q760" s="13" t="str">
        <f>INDEX($L:$L, MATCH("rely", $B:$B, 0))</f>
        <v>&lt;span class="w"&gt;&lt;b&gt;【311.rely：頼る】&lt;/b&gt;&lt;/span&gt;
&lt;span class="ml"&gt;ラテン語に由来する語で、以下の2つの要素から成る。
&lt;span class="spacer"&gt;&lt;/span&gt;re（強意）
ligare（結ぶ）
&lt;span class="spacer"&gt;&lt;/span&gt;このまま日本語にすると「しっかりと結びつく」となる。対象に結びついていくイメージから対象に「頼る」という意味になる。
&lt;div class="sample_image rely"&gt;&lt;/div&gt;&lt;/span&gt;</v>
      </c>
      <c r="R760" s="13" t="str">
        <f>INDEX($L:$L, MATCH("religion", $B:$B, 0))</f>
        <v>&lt;span class="w"&gt;&lt;b&gt;【443.religion：宗教, 信仰】&lt;/b&gt;&lt;/span&gt;
&lt;span class="ml"&gt;ラテン語に由来する語で、一説には以下の3つの要素から成るとされる。
&lt;span class="spacer"&gt;&lt;/span&gt;re（強意）
ligare（結ぶ）
io（名詞化）
&lt;span class="spacer"&gt;&lt;/span&gt;このまま日本語にすると「しっかりと結びつく」となる。人と神が結びつくイメージから「宗教, 信仰」という意味になる。
&lt;div class="sample_image religion"&gt;&lt;/div&gt;&lt;/span&gt;</v>
      </c>
      <c r="S760" s="13" t="str">
        <f>INDEX($L:$L, MATCH("oblige", $B:$B, 0))</f>
        <v>&lt;span class="w"&gt;&lt;b&gt;【1421.oblige：〜に義務付ける, 〜に恩恵を施す】&lt;/b&gt;&lt;/span&gt;
&lt;span class="ml"&gt;ラテン語に由来する語で、以下の2つの要素から成る。
&lt;span class="spacer"&gt;&lt;/span&gt;ob（〜に対して）
ligare（縛る, 結ぶ）
&lt;span class="spacer"&gt;&lt;/span&gt;このまま日本語にすると「何かに対して縛り付ける」となる。約束に縛り付けて、その約束を守る義務を課すことから、何かを「義務付ける」という意味になる。
&lt;span class="spacer"&gt;&lt;/span&gt;また相手の望むことに応じて、相手を恩義と結びつけることから、相手の望むことをして「恩恵を施す」という意味にもなる。
&lt;div class="sample_image oblige"&gt;&lt;/div&gt;&lt;/span&gt;</v>
      </c>
      <c r="T760" s="13" t="str">
        <f>INDEX($L:$L, MATCH("ally", $B:$B, 0))</f>
        <v>&lt;span class="w"&gt;&lt;b&gt;【1464.ally：同盟国, 援助者】&lt;/b&gt;&lt;/span&gt;
&lt;span class="ml"&gt;ラテン語に由来する語で、以下の2つの要素から成る。
&lt;span class="spacer"&gt;&lt;/span&gt;に由来する語で、以下の2つの要素から成る。
&lt;span class="spacer"&gt;&lt;/span&gt;ad（〜へ）
ligare（結ぶ, 縛る）
&lt;span class="spacer"&gt;&lt;/span&gt;この語の核は「何かへ結びつける」。中世では、結婚によってお互いの家を結びつけて政治的・経済的に強固にすることを表した。そこから婚姻関係による家同士の結びつきに限らず、国家間の同盟へと発展して「同盟国」という意味になった。
&lt;span class="spacer"&gt;&lt;/span&gt;また相手と結びついて助けるということから「援助者」という意味にもなった。
&lt;div class="sample_image ally"&gt;&lt;/div&gt;&lt;/span&gt;</v>
      </c>
      <c r="AU760" s="15"/>
      <c r="AV760" s="1" t="s">
        <v>1502</v>
      </c>
      <c r="BG760" s="7" t="s">
        <v>1503</v>
      </c>
      <c r="BH760" s="1" t="s">
        <v>1947</v>
      </c>
      <c r="BI760" s="2" t="s">
        <v>4384</v>
      </c>
      <c r="BJ760" s="1" t="s">
        <v>1994</v>
      </c>
      <c r="BK760" s="1" t="s">
        <v>4385</v>
      </c>
      <c r="BL760" s="1" t="s">
        <v>1996</v>
      </c>
      <c r="BM760" s="2" t="s">
        <v>4386</v>
      </c>
      <c r="BN760" s="1" t="s">
        <v>1875</v>
      </c>
      <c r="BO760" s="2" t="s">
        <v>4387</v>
      </c>
      <c r="BP760" s="1" t="s">
        <v>1877</v>
      </c>
      <c r="BQ760" s="2" t="s">
        <v>4388</v>
      </c>
      <c r="BR760" s="1" t="s">
        <v>3496</v>
      </c>
      <c r="BS760" s="1" t="s">
        <v>4389</v>
      </c>
    </row>
    <row r="761" spans="1:71" ht="162" x14ac:dyDescent="0.45">
      <c r="A761" s="5">
        <v>760</v>
      </c>
      <c r="B761" s="8" t="s">
        <v>525</v>
      </c>
      <c r="C761" s="6" t="s">
        <v>6850</v>
      </c>
      <c r="D761" s="7" t="s">
        <v>9752</v>
      </c>
      <c r="E761" s="1" t="s">
        <v>46</v>
      </c>
      <c r="F761" s="1" t="s">
        <v>1835</v>
      </c>
      <c r="G761" s="1"/>
      <c r="J761" s="1" t="s">
        <v>9753</v>
      </c>
      <c r="K761" s="2" t="s">
        <v>8777</v>
      </c>
      <c r="L761" s="2" t="s">
        <v>8778</v>
      </c>
      <c r="P761" s="7" t="s">
        <v>1241</v>
      </c>
      <c r="Q761" s="13" t="str">
        <f>INDEX($L:$L, MATCH("protest", $B:$B, 0))</f>
        <v>&lt;span class="w"&gt;&lt;b&gt;【736.protest：抗議する】&lt;/b&gt;&lt;/span&gt;
&lt;span class="ml"&gt;ラテン語に由来する語で、以下の2つの要素から成る。
&lt;span class="spacer"&gt;&lt;/span&gt;pro（前へ）
testis（証人）から派生したtestari（証言する）
&lt;span class="spacer"&gt;&lt;/span&gt;このまま日本語にすると「前へ出て証言する」となる。もともとは、公の場で宣言することを表した。そこから、行為や手段を非難するために宣言を行う、つまり「抗議する」という意味になった。
&lt;div class="sample_image protest"&gt;&lt;/div&gt;&lt;/span&gt;</v>
      </c>
      <c r="AU761" s="15"/>
      <c r="AV761" s="1" t="s">
        <v>1502</v>
      </c>
      <c r="BG761" s="7" t="s">
        <v>1503</v>
      </c>
      <c r="BH761" s="1" t="s">
        <v>1947</v>
      </c>
      <c r="BI761" s="2" t="s">
        <v>4390</v>
      </c>
      <c r="BJ761" s="1" t="s">
        <v>1959</v>
      </c>
      <c r="BK761" s="1" t="s">
        <v>4391</v>
      </c>
      <c r="BL761" s="1" t="s">
        <v>1877</v>
      </c>
      <c r="BM761" s="2" t="s">
        <v>4392</v>
      </c>
    </row>
    <row r="762" spans="1:71" ht="126" x14ac:dyDescent="0.45">
      <c r="A762" s="5">
        <v>761</v>
      </c>
      <c r="B762" s="8" t="s">
        <v>526</v>
      </c>
      <c r="C762" s="6" t="s">
        <v>6850</v>
      </c>
      <c r="D762" s="7" t="s">
        <v>9752</v>
      </c>
      <c r="E762" s="1" t="s">
        <v>526</v>
      </c>
      <c r="F762" s="1"/>
      <c r="G762" s="1"/>
      <c r="J762" s="1" t="s">
        <v>9753</v>
      </c>
      <c r="K762" s="2" t="s">
        <v>8779</v>
      </c>
      <c r="L762" s="2" t="s">
        <v>8780</v>
      </c>
      <c r="P762" s="7" t="s">
        <v>1241</v>
      </c>
      <c r="Q762" s="13" t="str">
        <f>INDEX($L:$L, MATCH("regard", $B:$B, 0))</f>
        <v>&lt;span class="w"&gt;&lt;b&gt;【132.regard：〜を見なす, 注意を払う, 〜を評価する, 敬意を払う】&lt;/b&gt;&lt;/span&gt;
&lt;span class="ml"&gt;古フランス語に由来する語で、以下の2つの要素から成る。
&lt;span class="spacer"&gt;&lt;/span&gt;re（強意）
garder（見る, 注意する）
&lt;span class="spacer"&gt;&lt;/span&gt;このgarderは、ボディガードのguard（監視者）の語源でもある。つまり、regardのgard部分の意味の核は「注意して見る」。
&lt;span class="spacer"&gt;&lt;/span&gt;ここからまず「注意を払う」という意味になる。
&lt;span class="spacer"&gt;&lt;/span&gt;次に、何かに注意を向けるということは、その対象に注意を向ける価値があるということ。そこから「評価する, 敬意を払う」という意味になる。
&lt;span class="spacer"&gt;&lt;/span&gt;最後に、注意というニュアンスが薄まってただ対象を見るとなり、「見なす」という意味になる。&lt;/span&gt;</v>
      </c>
      <c r="R762" s="13" t="str">
        <f>INDEX($L:$L, MATCH("regardless", $B:$B, 0))</f>
        <v>&lt;span class="w"&gt;&lt;b&gt;【497.regardless：（of ~）〜に関係なく, 〜にかかわらず】&lt;/b&gt;&lt;/span&gt;
&lt;span class="ml"&gt;近代英語にさかのぼり、以下の2つの要素から成る。
&lt;span class="spacer"&gt;&lt;/span&gt;regard（関心, 注意）
less（～がない）
&lt;span class="spacer"&gt;&lt;/span&gt;このまま日本語にすると「関心や注意がない」となる。ある事柄に注意や関心を向けず、それを考慮に入れないことから、「〜に関係なく, 〜にもかかわらず」という意味になる。&lt;/span&gt;</v>
      </c>
      <c r="S762" s="13" t="str">
        <f>INDEX($L:$L, MATCH("reward", $B:$B, 0))</f>
        <v>&lt;span class="w"&gt;&lt;b&gt;【258.reward：報酬, 報い】&lt;/b&gt;&lt;/span&gt;
&lt;span class="ml"&gt;古北フランス語に由来する語で、以下の2つの要素から成る。
&lt;span class="spacer"&gt;&lt;/span&gt;re（強意）
warder（見る, 注意を払う）
&lt;span class="spacer"&gt;&lt;/span&gt;このまま日本語にすると「しっかり注意して見る」となる。この語の核は、相手の行動を注意して見て、行動や結果の良し悪しで報酬や罰を与えること。現代では通常、良い意味で使用されて「報酬, 報い」という意味になる。
&lt;div class="sample_image reward"&gt;&lt;/div&gt;
&lt;span class="spacer"&gt;&lt;/span&gt;rewardはregardと同じ語源を持つ。どちらも「注意して見る」ことが核になっている。wとgの違いはフランス語の方言差のようなもの。&lt;/span&gt;</v>
      </c>
      <c r="T762" s="13" t="str">
        <f>INDEX($L:$L, MATCH("award", $B:$B, 0))</f>
        <v>&lt;span class="w"&gt;&lt;b&gt;【650.award：賞, 授与】&lt;/b&gt;&lt;/span&gt;
&lt;span class="ml"&gt;古北フランス語に由来する語で、以下の2つの要素から成る。
&lt;span class="spacer"&gt;&lt;/span&gt;es（外に）
warder（注意して見る）
&lt;span class="spacer"&gt;&lt;/span&gt;この語の核は「注意深く見て判断した結果、何かを外に出す」。そこから、注意深い観察の後に送られる「賞」や、賞を与えること＝「授与」という意味になった。&lt;/span&gt;</v>
      </c>
      <c r="U762" s="13" t="str">
        <f>INDEX($L:$L, MATCH("aware", $B:$B, 0))</f>
        <v>&lt;span class="w"&gt;&lt;b&gt;【190.aware：気づいて, 知って】&lt;/b&gt;&lt;/span&gt;
&lt;span class="ml"&gt;gewær（用心深い, 警戒している）にさかのぼる語。
&lt;span class="spacer"&gt;&lt;/span&gt;用心や警戒といった注意しているという感覚から、対象に注意を向けて「気づいて, 知って」という意味になった。&lt;/span&gt;</v>
      </c>
      <c r="AV762" s="1" t="s">
        <v>1502</v>
      </c>
      <c r="BG762" s="7" t="s">
        <v>1503</v>
      </c>
      <c r="BH762" s="1" t="s">
        <v>1976</v>
      </c>
      <c r="BI762" s="1" t="s">
        <v>4393</v>
      </c>
      <c r="BJ762" s="1" t="s">
        <v>3999</v>
      </c>
      <c r="BK762" s="1" t="s">
        <v>4394</v>
      </c>
      <c r="BL762" s="1" t="s">
        <v>2268</v>
      </c>
      <c r="BM762" s="1" t="s">
        <v>4395</v>
      </c>
      <c r="BN762" s="1" t="s">
        <v>1959</v>
      </c>
      <c r="BO762" s="1" t="s">
        <v>4396</v>
      </c>
      <c r="BP762" s="1" t="s">
        <v>1996</v>
      </c>
      <c r="BQ762" s="1" t="s">
        <v>4397</v>
      </c>
      <c r="BR762" s="1" t="s">
        <v>1875</v>
      </c>
      <c r="BS762" s="2" t="s">
        <v>4398</v>
      </c>
    </row>
    <row r="763" spans="1:71" ht="162" x14ac:dyDescent="0.45">
      <c r="A763" s="5">
        <v>762</v>
      </c>
      <c r="B763" s="8" t="s">
        <v>527</v>
      </c>
      <c r="C763" s="6" t="s">
        <v>6850</v>
      </c>
      <c r="D763" s="7" t="s">
        <v>9752</v>
      </c>
      <c r="E763" s="1" t="s">
        <v>1343</v>
      </c>
      <c r="F763" s="1" t="s">
        <v>4106</v>
      </c>
      <c r="G763" s="1"/>
      <c r="J763" s="1" t="s">
        <v>9753</v>
      </c>
      <c r="K763" s="2" t="s">
        <v>8781</v>
      </c>
      <c r="L763" s="3" t="s">
        <v>8786</v>
      </c>
      <c r="M763" s="1" t="s">
        <v>12172</v>
      </c>
      <c r="P763" s="7" t="s">
        <v>1241</v>
      </c>
      <c r="Q763" s="13" t="str">
        <f>INDEX($L:$L, MATCH("pose", $B:$B, 0))</f>
        <v>&lt;span class="w"&gt;&lt;b&gt;【804.pose：（危険）を引き起こす, （問題など）を提起する, ポーズをとる, 装う】&lt;/b&gt;&lt;/span&gt;
&lt;span class="ml"&gt;ラテン語に由来する語で、以下の2つの要素から成る。
&lt;span class="spacer"&gt;&lt;/span&gt;pausere（止まる, 休む, 休ませる）
ponere（置く）
&lt;span class="spacer"&gt;&lt;/span&gt;この語の核は「何かを置く」。問題や危険を置くことから「問題を提起する, 危険を引き起こす」という意味になる。またある態度や性格に身を置くことから、態度や性格を「装う」、またモデルなどが「ポーズをとる」という意味になる。
&lt;span class="spacer"&gt;&lt;/span&gt;poseの目的語にくるものを「置く」ことから文に合った訳を考えればよい。
&lt;div class="sample_image pose"&gt;&lt;/div&gt;&lt;/span&gt;</v>
      </c>
      <c r="R763" s="13" t="str">
        <f>INDEX($L:$L, MATCH("expose", $B:$B, 0))</f>
        <v>&lt;span class="w"&gt;&lt;b&gt;【433.expose：～をさらす, 〜を暴露する】&lt;/b&gt;&lt;/span&gt;
&lt;span class="ml"&gt;ラテン語に由来する語で、以下の2つの要素から成る。
&lt;span class="spacer"&gt;&lt;/span&gt;ex（外に）
ponere（置く）
&lt;span class="spacer"&gt;&lt;/span&gt;このまま日本語にすると「外に置く」となる。これは、内側にあるものを外側に置くイメージ。そこから何かを「さらす, 暴露する」という意味になる。
&lt;div class="sample_image expose"&gt;&lt;/div&gt;&lt;/span&gt;</v>
      </c>
      <c r="S763" s="13" t="str">
        <f>INDEX($L:$L, MATCH("impose", $B:$B, 0))</f>
        <v>&lt;span class="w"&gt;&lt;b&gt;【826.impose：〜を課す, 〜を押し付ける】&lt;/b&gt;&lt;/span&gt;
&lt;span class="ml"&gt;古フランス語に由来する語で、以下の2つの要素から成る。
&lt;span class="spacer"&gt;&lt;/span&gt;in（中に）
poser（置く）
&lt;span class="spacer"&gt;&lt;/span&gt;このまま日本語にすると「中に置く」となる。相手の領域の中に押し込んで置くイメージから、対象に何かを「押し付ける, 課す」という意味になる。
&lt;div class="sample_image impose"&gt;&lt;/div&gt;&lt;/span&gt;</v>
      </c>
      <c r="T763" s="13" t="str">
        <f>INDEX($L:$L, MATCH("propose", $B:$B, 0))</f>
        <v>&lt;span class="w"&gt;&lt;b&gt;【436.propose：〜を提案する】&lt;/b&gt;&lt;/span&gt;
&lt;span class="ml"&gt;ラテン語に由来する語で、以下の2つの要素から成る。
&lt;span class="spacer"&gt;&lt;/span&gt;pro（前へ）
ponere（置く）
&lt;span class="spacer"&gt;&lt;/span&gt;このまま日本語にすると「前に置く」となる。意見や考えを相手の前に置くイメージから「提案する」という意味になる。&lt;/span&gt;</v>
      </c>
      <c r="U763" s="13" t="str">
        <f>INDEX($L:$L, MATCH("oppose", $B:$B, 0))</f>
        <v>&lt;span class="w"&gt;&lt;b&gt;【513.oppose：〜に反対する, 〜を対抗させる】&lt;/b&gt;&lt;/span&gt;
&lt;span class="ml"&gt;ラテン語に由来する語で、以下の2つの要素から成る。
&lt;span class="spacer"&gt;&lt;/span&gt;ob（〜に対して）
ponere（置く）
&lt;span class="spacer"&gt;&lt;/span&gt;このまま日本語にすると「～に対して置く」となる。相手に対して自分を置く、つまり相手と自分が向かい合うように置くイメージから「反対する, 対抗させる」という意味になる。
&lt;div class="sample_image oppose"&gt;&lt;/div&gt;&lt;/span&gt;</v>
      </c>
      <c r="V763" s="13" t="str">
        <f>INDEX($L:$L, MATCH("dispose", $B:$B, 0))</f>
        <v>&lt;span class="w"&gt;&lt;b&gt;【1435.dispose：（of ~）〜を処分する, （dispose ~ to do）〜する気にさせる】&lt;/b&gt;&lt;/span&gt;
&lt;span class="ml"&gt;ラテン語に由来する語で、以下の2つの要素から成る。
&lt;span class="spacer"&gt;&lt;/span&gt;dis（離れて）
ponere（置く）
&lt;span class="spacer"&gt;&lt;/span&gt;このまま日本語にすると「離して置く」となるが、この語の核は「ごちゃごちゃしたものをそれぞれ離して整理し、あるべき位置へ置く」イメージ。
&lt;span class="spacer"&gt;&lt;/span&gt;不要なもの・問題などを整理して、それがあるべき場所へ置くことから「処分する」という意味になる。
&lt;span class="spacer"&gt;&lt;/span&gt;また相手の気持ちを整理して進むべき方向へ置くことから「何かをする気にさせる」となる。
&lt;span class="spacer"&gt;&lt;/span&gt;dispose 人 to do
人 be disposed to do
&lt;div class="sample_image dispose"&gt;&lt;/div&gt;&lt;/span&gt;</v>
      </c>
      <c r="W763" s="13" t="str">
        <f>INDEX($L:$L, MATCH("compose", $B:$B, 0))</f>
        <v>&lt;span class="w"&gt;&lt;b&gt;【833.compose：～を構成する, ～を創作する】&lt;/b&gt;&lt;/span&gt;
&lt;span class="ml"&gt;ラテン語に由来する語で、以下の2つの要素から成る。
&lt;span class="spacer"&gt;&lt;/span&gt;com（共に）
ponere（置く）
&lt;span class="spacer"&gt;&lt;/span&gt;このまま日本語にすると「共に置く」となる。2つ以上のものを一緒に置いて全体を形作ることから、構成要素となって全体を作り上げる＝「構成する, 創作する」という意味になる。
&lt;div class="sample_image compose"&gt;&lt;/div&gt;&lt;/span&gt;</v>
      </c>
      <c r="X763" s="13" t="str">
        <f>INDEX($L:$L, MATCH("suppose", $B:$B, 0))</f>
        <v>&lt;span class="w"&gt;&lt;b&gt;【121.suppose：～と仮定する, と思う】&lt;/b&gt;&lt;/span&gt;
&lt;span class="ml"&gt;ラテン語に由来する語で、以下の2つの要素から成る。
&lt;span class="spacer"&gt;&lt;/span&gt;sub（下に）
ponere（置く）
&lt;span class="spacer"&gt;&lt;/span&gt;このまま日本語にすると「下に置く」となる。思考において、何かを既にあるものとして土台に置くイメージから、何かを前提として置く＝「仮定する」という意味になる。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&lt;div class="sample_image suppose"&gt;&lt;/div&gt;
&lt;span class="spacer"&gt;&lt;/span&gt;supposeを「前提に置く」というイメージで覚えておけば、be supposed to do A（Aすることになっている）は、要は「Aするということが前提として置かれている」だけだと理解できる。&lt;/span&gt;</v>
      </c>
      <c r="Y763" s="13" t="str">
        <f>INDEX($L:$L, MATCH("positive", $B:$B, 0))</f>
        <v>&lt;span class="w"&gt;&lt;b&gt;【179.positive：肯定的な, 確信して, （検査で）陽性の】&lt;/b&gt;&lt;/span&gt;
&lt;span class="ml"&gt;ラテン語に由来する語で、以下の2つの要素から成る。
&lt;span class="spacer"&gt;&lt;/span&gt;ponere（置く）の過去分詞positus（置かれる）
ivus（形容詞化）
&lt;span class="spacer"&gt;&lt;/span&gt;もともとは法律用語。法や権威あるものによって置かれる、つまり法や権威によって定められて否定のしようがないという意味で使われた。ここから「肯定的な, 確信して, 陽性の」という意味になる。&lt;/span&gt;</v>
      </c>
      <c r="Z763" s="13" t="str">
        <f>INDEX($L:$L, MATCH("deposit", $B:$B, 0))</f>
        <v>&lt;span class="w"&gt;&lt;b&gt;【1315.deposit：〜を置く, 〜を預ける】&lt;/b&gt;&lt;/span&gt;
&lt;span class="ml"&gt;ラテン語に由来する語で、以下の2つの要素から成る。
&lt;span class="spacer"&gt;&lt;/span&gt;de（離れて, 下に）
ponere（置く）
&lt;span class="spacer"&gt;&lt;/span&gt;このまま日本語にすると「離れて置く, 下に置く」となる。物理的に何かを「置く」という意味もあるが、金銭や貴重品を離れた場所に「預ける」という意味にもなる。
&lt;span class="spacer"&gt;&lt;/span&gt;depositのposit部分は、positionと同じなので、そこから「置く」というイメージ持っておくとよい。
&lt;div class="sample_image deposit"&gt;&lt;/div&gt;&lt;/span&gt;</v>
      </c>
      <c r="AA763" s="13" t="str">
        <f>INDEX($L:$L, MATCH("compound", $B:$B, 0))</f>
        <v>&lt;span class="w"&gt;&lt;b&gt;【1129.compound：〜を悪化させる, 〜を合成する, 〜を混合する】&lt;/b&gt;&lt;/span&gt;
&lt;span class="ml"&gt;ラテン語に由来する語で、以下の2つの要素から成る。
&lt;span class="spacer"&gt;&lt;/span&gt;com（共に）
ponere（置く）
&lt;span class="spacer"&gt;&lt;/span&gt;このまま日本語にすると「共に置く」となる。複数のものを一緒にすることから、何かを「合成する, 混合する, 調合する」といった意味になる。さらに、問題や困難などがどんどん一緒に置かれて積もっていくことから、状況や問題などを「悪化させる」という意味にもなる。
&lt;div class="sample_image compound"&gt;&lt;/div&gt;&lt;/span&gt;</v>
      </c>
      <c r="AB763" s="13" t="str">
        <f>INDEX($L:$L, MATCH("postpone", $B:$B, 0))</f>
        <v>&lt;span class="w"&gt;&lt;b&gt;【1134.postpone：〜を延期する】&lt;/b&gt;&lt;/span&gt;
&lt;span class="ml"&gt;ラテン語に由来する語で、以下の2つの要素から成る。
&lt;span class="spacer"&gt;&lt;/span&gt;post（後に）
ponere（置く）
&lt;span class="spacer"&gt;&lt;/span&gt;このまま日本語にすると「後に置く」となる。予定や物事を時間的に後に置くことから「延期する」という意味になる。&lt;/span&gt;
&lt;div class="animation postpone"&gt;&lt;/div&gt;</v>
      </c>
      <c r="AC763" s="13" t="str">
        <f>INDEX($L:$L, MATCH("component", $B:$B, 0))</f>
        <v>&lt;span class="w"&gt;&lt;b&gt;【677.component：構成要素, 部品】&lt;/b&gt;&lt;/span&gt;
&lt;span class="ml"&gt;ラテン語に由来する語で、以下の2つの要素から成る。
&lt;span class="spacer"&gt;&lt;/span&gt;com（共に）
ponere（置く）
&lt;span class="spacer"&gt;&lt;/span&gt;このまま日本語にすると「共に置く」となる。いくつかの部分を一緒に置くことで全体が構成されることから、全体の「構成要素, 部品」という意味になる。
&lt;div class="sample_image component"&gt;&lt;/div&gt;&lt;/span&gt;</v>
      </c>
      <c r="AD763" s="13" t="str">
        <f>INDEX($L:$L, MATCH("posture", $B:$B, 0))</f>
        <v>&lt;span class="w"&gt;&lt;b&gt;【1451.posture：姿勢, 心構え】&lt;/b&gt;&lt;/span&gt;
&lt;span class="ml"&gt;ラテン語に由来する語で、以下の2つの要素から成る。
&lt;span class="spacer"&gt;&lt;/span&gt;ponere（置く）の過去分詞positus
ura（名詞化）
&lt;span class="spacer"&gt;&lt;/span&gt;このまま日本語にすると「置かれた状態」となる。これは何かの位置や配置を表したが、特に身体の各パーツの位置を指すようになり、そこから身体のポジション＝「姿勢」という意味になった。
&lt;span class="spacer"&gt;&lt;/span&gt;さらにそこから比喩的に、状況に対する心理的な姿勢＝「心構え」という意味にもなった。&lt;/span&gt;</v>
      </c>
      <c r="AE763" s="13" t="str">
        <f>INDEX($L:$L, MATCH("puzzle", $B:$B, 0))</f>
        <v>&lt;span class="w"&gt;&lt;b&gt;【624.puzzle：〜を当惑させる, 〜を困惑させる】&lt;/b&gt;&lt;/span&gt;
&lt;span class="ml"&gt;近代英語pose（難しい問題や質問で当惑させる）にさかのぼる。
&lt;span class="spacer"&gt;&lt;/span&gt;この語はパズルのように「頭に引っかかって前に進めない状態にする」というイメージ。ここから「当惑させる, 困惑させる」という意味になる。
&lt;span class="spacer"&gt;&lt;/span&gt;もともとはposeという形だったが、反復・継続を表すpuzzleという形になった。これにより困惑や当惑が反復・継続している状態、つまり頭の中がぐるぐる回るような状態を表した。&lt;/span&gt;</v>
      </c>
      <c r="AU763" s="15"/>
      <c r="AV763" s="1" t="s">
        <v>1502</v>
      </c>
      <c r="BG763" s="7" t="s">
        <v>1503</v>
      </c>
      <c r="BH763" s="1" t="s">
        <v>1947</v>
      </c>
      <c r="BI763" s="2" t="s">
        <v>4399</v>
      </c>
      <c r="BJ763" s="1" t="s">
        <v>1877</v>
      </c>
      <c r="BK763" s="2" t="s">
        <v>4400</v>
      </c>
    </row>
    <row r="764" spans="1:71" ht="144" x14ac:dyDescent="0.45">
      <c r="A764" s="5">
        <v>763</v>
      </c>
      <c r="B764" s="8" t="s">
        <v>528</v>
      </c>
      <c r="C764" s="6" t="s">
        <v>6850</v>
      </c>
      <c r="D764" s="7" t="s">
        <v>9752</v>
      </c>
      <c r="E764" s="6" t="s">
        <v>528</v>
      </c>
      <c r="F764" s="1"/>
      <c r="G764" s="1"/>
      <c r="J764" s="1" t="s">
        <v>9753</v>
      </c>
      <c r="K764" s="2"/>
      <c r="L764" s="3" t="s">
        <v>8787</v>
      </c>
      <c r="P764" s="7" t="s">
        <v>1241</v>
      </c>
      <c r="AV764" s="1" t="s">
        <v>1502</v>
      </c>
      <c r="BG764" s="7" t="s">
        <v>1503</v>
      </c>
      <c r="BH764" s="1" t="s">
        <v>1947</v>
      </c>
      <c r="BI764" s="1" t="s">
        <v>4401</v>
      </c>
      <c r="BJ764" s="1" t="s">
        <v>2026</v>
      </c>
      <c r="BK764" s="1" t="s">
        <v>4402</v>
      </c>
      <c r="BL764" s="1" t="s">
        <v>1959</v>
      </c>
      <c r="BM764" s="2" t="s">
        <v>4403</v>
      </c>
      <c r="BN764" s="1" t="s">
        <v>1875</v>
      </c>
      <c r="BO764" s="2" t="s">
        <v>4404</v>
      </c>
      <c r="BP764" s="1" t="s">
        <v>1877</v>
      </c>
      <c r="BQ764" s="2" t="s">
        <v>9212</v>
      </c>
    </row>
    <row r="765" spans="1:71" ht="144" x14ac:dyDescent="0.45">
      <c r="A765" s="5">
        <v>764</v>
      </c>
      <c r="B765" s="8" t="s">
        <v>529</v>
      </c>
      <c r="C765" s="6" t="s">
        <v>6850</v>
      </c>
      <c r="D765" s="7" t="s">
        <v>9752</v>
      </c>
      <c r="E765" s="1" t="s">
        <v>1631</v>
      </c>
      <c r="F765" s="1" t="s">
        <v>4405</v>
      </c>
      <c r="G765" s="1"/>
      <c r="J765" s="1" t="s">
        <v>9753</v>
      </c>
      <c r="K765" s="2"/>
      <c r="L765" s="3" t="s">
        <v>8841</v>
      </c>
      <c r="M765" s="1" t="s">
        <v>12186</v>
      </c>
      <c r="P765" s="7" t="s">
        <v>1241</v>
      </c>
      <c r="Q765" s="13" t="str">
        <f>INDEX($L:$L, MATCH("universal", $B:$B, 0))</f>
        <v>&lt;span class="w"&gt;&lt;b&gt;【282.universal：普遍的な, 宇宙の】&lt;/b&gt;&lt;/span&gt;
&lt;span class="ml"&gt;ラテン語に由来する語で、以下の3つの要素から成る。
&lt;span class="spacer"&gt;&lt;/span&gt;unus（1つ）
vertere（回す, 向きを変える）
alis（形容詞化）
&lt;span class="spacer"&gt;&lt;/span&gt;このまま日本語にすると「ひとつに回す」となる。回転することで中心に巻き込まれていって全体がひとつになるイメージから、世界全体や宇宙全体に関わる＝「普遍的な, 宇宙の」という意味になる。
普遍的とは広く全体に当てはまるということ。&lt;/span&gt;</v>
      </c>
      <c r="R765" s="13" t="str">
        <f>INDEX($L:$L, MATCH("advertise", $B:$B, 0))</f>
        <v>&lt;span class="w"&gt;&lt;b&gt;【414.advertise：〜を宣伝する】&lt;/b&gt;&lt;/span&gt;
&lt;span class="ml"&gt;ラテン語に由来する語で、以下の2つの要素から成る。
&lt;span class="spacer"&gt;&lt;/span&gt;ad（〜へ）
vertere（回す, 向ける）
&lt;span class="spacer"&gt;&lt;/span&gt;この語の核は「注意をある方向へ向けさせる」ということ。人の注意を特定の対象に向けさせることから、商品などに目を向けさせる＝「何かを宣伝する」という意味になる。
&lt;div class="sample_image advertise"&gt;&lt;/div&gt;&lt;/span&gt;</v>
      </c>
      <c r="S765" s="13" t="str">
        <f>INDEX($L:$L, MATCH("diversity", $B:$B, 0))</f>
        <v>&lt;span class="w"&gt;&lt;b&gt;【456.diversity：多様性, 相違点】&lt;/b&gt;&lt;/span&gt;
&lt;span class="ml"&gt;ラテン語に由来する語で、以下の3つの要素から成る。
&lt;span class="spacer"&gt;&lt;/span&gt;dis（離れて）
vertere（回す, 向ける）
tas（名詞化）
&lt;span class="spacer"&gt;&lt;/span&gt;このまま日本語にすると「離れた（異なる）方向に向けること」となる。これは、それぞれが異なる方向を向いているイメージ。そこから、物事がさまざまに分かれている状態を表し、「多様性, 相違点」という意味になる。&lt;/span&gt;</v>
      </c>
      <c r="T765" s="13" t="str">
        <f>INDEX($L:$L, MATCH("reverse", $B:$B, 0))</f>
        <v>&lt;span class="w"&gt;&lt;b&gt;【726.reverse：〜を逆転させる, 〜を反対にする】&lt;/b&gt;&lt;/span&gt;
&lt;span class="ml"&gt;ラテン語に由来する語で、以下の2つの要素から成る。
&lt;span class="spacer"&gt;&lt;/span&gt;re（再び, 後ろへ）
vertere（回す, 向ける）
&lt;span class="spacer"&gt;&lt;/span&gt;このまま日本語にすると「後ろへ向ける」や「再び回す」となる。このような向きを変える、ひっくり返す動きから、何かを「逆転させる, 反対にする」という意味になる。&lt;/span&gt;</v>
      </c>
      <c r="U765" s="13" t="str">
        <f>INDEX($L:$L, MATCH("controversy", $B:$B, 0))</f>
        <v>&lt;span class="w"&gt;&lt;b&gt;【1152.controversy：論争】&lt;/b&gt;&lt;/span&gt;
&lt;span class="ml"&gt;ラテン語に由来する語で、以下の3つの要素から成る。
&lt;span class="spacer"&gt;&lt;/span&gt;contra（反対に）
versus（〜の方に向けられた)
ia（名詞化）
&lt;span class="spacer"&gt;&lt;/span&gt;この語の核は「相手と同じ方向ではなく反対に向いていること、向き合っていること」。つまり考えや立場が対立して争っていることを表し、そこから 「論争」という意味になる。
&lt;div class="sample_image controversy"&gt;&lt;/div&gt;&lt;/span&gt;</v>
      </c>
      <c r="V765" s="13" t="str">
        <f>INDEX($L:$L, MATCH("anniversary", $B:$B, 0))</f>
        <v>&lt;span class="w"&gt;&lt;b&gt;【1245.anniversary：〜周年の記念日】&lt;/b&gt;&lt;/span&gt;
&lt;span class="ml"&gt;ラテン語に由来する語で、以下の4つの要素から成る。
&lt;span class="spacer"&gt;&lt;/span&gt;annus（年）
vertere（回す）の過去分詞versus（回された）
arius（形容詞化）
um（名詞化）
&lt;span class="spacer"&gt;&lt;/span&gt;この語の核は「毎年回ってくる日」。
そこから「周年の記念日」という意味になる。&lt;/span&gt;</v>
      </c>
      <c r="W765" s="13" t="str">
        <f>INDEX($L:$L, MATCH("version", $B:$B, 0))</f>
        <v>&lt;span class="w"&gt;&lt;b&gt;【364.version：〜版】&lt;/b&gt;&lt;/span&gt;
&lt;span class="ml"&gt;ラテン語に由来する語で、以下の2つの要素から成る。
&lt;span class="spacer"&gt;&lt;/span&gt;vertere（回す, 向ける）
io（名詞化）
&lt;span class="spacer"&gt;&lt;/span&gt;このまま日本語にすると「回すこと, 向けること」となる。あるものの向きを別の方へ変えるイメージから、既にあるものを元に別の形へ変えること＝「〜版」という意味になる。&lt;/span&gt;</v>
      </c>
      <c r="X765" s="13" t="str">
        <f>INDEX($L:$L, MATCH("versus", $B:$B, 0))</f>
        <v>&lt;span class="w"&gt;&lt;b&gt;【1100.versus：（A versus B）A対B】&lt;/b&gt;&lt;/span&gt;
&lt;span class="ml"&gt;ラテン語vertere（回す, 向ける）の過去分詞versus（〜の方に向けられた, 〜に対して）に由来する。
&lt;span class="spacer"&gt;&lt;/span&gt;何かの方に向けられていることから「対する, A対B」という意味になる。A versus BはAがBの方に向けられているというイメージ。&lt;/span&gt;</v>
      </c>
      <c r="Y765" s="13" t="str">
        <f>INDEX($L:$L, MATCH("vertical", $B:$B, 0))</f>
        <v>&lt;span class="w"&gt;&lt;b&gt;【1188.vertical：垂直の】&lt;/b&gt;&lt;/span&gt;
&lt;span class="ml"&gt;ラテン語に由来する語で、以下の2つの要素から成る。
&lt;span class="spacer"&gt;&lt;/span&gt;vertere（回す）から派生したvertex（回転, 渦, 頂点）
alis（形容詞化）
&lt;span class="spacer"&gt;&lt;/span&gt;この語の核は「回転」。物体の回転や天体の回転、水の渦、髪の渦（つむじ）など、あらゆる回転には中心を通る上下に伸びる軸がある。たとえば天体の回転も、観察者の真上に中心があり、そこを軸として空全体が回転しているように見える。
&lt;span class="spacer"&gt;&lt;/span&gt;そこから、天頂から地平線に対してまっすぐ下ろした線、つまり真上にある頂点から真下へと直角に交わる線へと繋がって「垂直な」という意味になった。
&lt;div class="sample_image vertical"&gt;&lt;/div&gt;&lt;/span&gt;</v>
      </c>
      <c r="Z765" s="13" t="str">
        <f>INDEX($L:$L, MATCH("convert", $B:$B, 0))</f>
        <v>&lt;span class="w"&gt;&lt;b&gt;【820.convert：～を変える, 改宗させる】&lt;/b&gt;&lt;/span&gt;
&lt;span class="ml"&gt;ラテン語に由来する語で、以下の2つの要素から成る。
&lt;span class="spacer"&gt;&lt;/span&gt;com（共に）
vertere（向ける）
&lt;span class="spacer"&gt;&lt;/span&gt;このまま日本語にすると「共に向ける」となる。これは、みんなを同じ方に向けるイメージ。そこから宗教において、同じ対象を信仰するように「改宗させる」という意味になる。また宗教に限らず、形式や用途などを人為的に「変える」という意味になる。
&lt;div class="sample_image convert"&gt;&lt;/div&gt;&lt;/span&gt;</v>
      </c>
      <c r="AU765" s="15"/>
      <c r="AV765" s="1" t="s">
        <v>1502</v>
      </c>
      <c r="BG765" s="7" t="s">
        <v>1503</v>
      </c>
      <c r="BH765" s="1" t="s">
        <v>1947</v>
      </c>
      <c r="BI765" s="2" t="s">
        <v>4406</v>
      </c>
      <c r="BJ765" s="1" t="s">
        <v>1959</v>
      </c>
      <c r="BK765" s="2" t="s">
        <v>4407</v>
      </c>
      <c r="BL765" s="1" t="s">
        <v>1875</v>
      </c>
      <c r="BM765" s="2" t="s">
        <v>4408</v>
      </c>
    </row>
    <row r="766" spans="1:71" ht="180" x14ac:dyDescent="0.45">
      <c r="A766" s="5">
        <v>765</v>
      </c>
      <c r="B766" s="8" t="s">
        <v>530</v>
      </c>
      <c r="C766" s="6" t="s">
        <v>6850</v>
      </c>
      <c r="D766" s="7" t="s">
        <v>9752</v>
      </c>
      <c r="E766" s="6" t="s">
        <v>530</v>
      </c>
      <c r="F766" s="1"/>
      <c r="G766" s="1"/>
      <c r="J766" s="1" t="s">
        <v>9753</v>
      </c>
      <c r="K766" s="2"/>
      <c r="L766" s="2" t="s">
        <v>8782</v>
      </c>
      <c r="P766" s="7" t="s">
        <v>1241</v>
      </c>
      <c r="Q766" s="13" t="str">
        <f>INDEX($L:$L, MATCH("context", $B:$B, 0))</f>
        <v>&lt;span class="w"&gt;&lt;b&gt;【263.context：文脈, 状況, 背景】&lt;/b&gt;&lt;/span&gt;
&lt;span class="ml"&gt;ラテン語に由来する語で、以下の2つの要素から成る。
&lt;span class="spacer"&gt;&lt;/span&gt;com（共に）
texere（織る）
&lt;span class="spacer"&gt;&lt;/span&gt;このまま日本語にすると「共に織る」となる。何かと何かを織り合わせていくことから、ある要素と別の要素がひとつになってできるものというイメージ。
&lt;span class="spacer"&gt;&lt;/span&gt;いくつもの文や話がひとつのストーリーになってできあがる「文脈」。また、様々な要素が重なってできあがる「状況, 背景（事情）」という意味にもなる。
&lt;div class="sample_image context"&gt;&lt;/div&gt;&lt;/span&gt;</v>
      </c>
      <c r="R766" s="13" t="str">
        <f>INDEX($L:$L, MATCH("subtle", $B:$B, 0))</f>
        <v>&lt;span class="w"&gt;&lt;b&gt;【788.subtle：微妙な, かすかな】&lt;/b&gt;&lt;/span&gt;
&lt;span class="ml"&gt;ラテン語に由来する語で、以下の2つの要素から成る。
&lt;span class="spacer"&gt;&lt;/span&gt;sub（〜の下へ）
tele（縦糸）
&lt;span class="spacer"&gt;&lt;/span&gt;縦糸の下に細かく横糸を通し、布がきめ細かく織られることから繊細さを表すようになった。そしてそこから発展し、捉えがたい繊細さを表す「微妙な, かすかな」という意味になった。
&lt;div class="sample_image subtle"&gt;&lt;/div&gt;&lt;/span&gt;</v>
      </c>
      <c r="AU766" s="15"/>
      <c r="AV766" s="1" t="s">
        <v>1502</v>
      </c>
      <c r="BG766" s="7" t="s">
        <v>1503</v>
      </c>
      <c r="BH766" s="1" t="s">
        <v>1947</v>
      </c>
      <c r="BI766" s="2" t="s">
        <v>4409</v>
      </c>
      <c r="BJ766" s="1" t="s">
        <v>1959</v>
      </c>
      <c r="BK766" s="2" t="s">
        <v>4410</v>
      </c>
      <c r="BL766" s="1" t="s">
        <v>1875</v>
      </c>
      <c r="BM766" s="2" t="s">
        <v>4411</v>
      </c>
      <c r="BN766" s="1" t="s">
        <v>1877</v>
      </c>
      <c r="BO766" s="2" t="s">
        <v>4412</v>
      </c>
      <c r="BP766" s="1" t="s">
        <v>3496</v>
      </c>
      <c r="BQ766" s="2" t="s">
        <v>4413</v>
      </c>
    </row>
    <row r="767" spans="1:71" ht="108" x14ac:dyDescent="0.45">
      <c r="A767" s="5">
        <v>766</v>
      </c>
      <c r="B767" s="8" t="s">
        <v>531</v>
      </c>
      <c r="C767" s="6" t="s">
        <v>6850</v>
      </c>
      <c r="D767" s="7" t="s">
        <v>9752</v>
      </c>
      <c r="E767" s="6" t="s">
        <v>1852</v>
      </c>
      <c r="F767" s="1" t="s">
        <v>1853</v>
      </c>
      <c r="G767" s="1"/>
      <c r="J767" s="1" t="s">
        <v>9753</v>
      </c>
      <c r="K767" s="2"/>
      <c r="L767" s="9" t="s">
        <v>8788</v>
      </c>
      <c r="P767" s="7" t="s">
        <v>1241</v>
      </c>
      <c r="AU767" s="15"/>
      <c r="AV767" s="1" t="s">
        <v>1502</v>
      </c>
      <c r="BG767" s="7" t="s">
        <v>1503</v>
      </c>
      <c r="BH767" s="1" t="s">
        <v>1947</v>
      </c>
      <c r="BI767" s="2" t="s">
        <v>4414</v>
      </c>
      <c r="BJ767" s="1" t="s">
        <v>1959</v>
      </c>
      <c r="BK767" s="2" t="s">
        <v>4415</v>
      </c>
      <c r="BL767" s="1" t="s">
        <v>1875</v>
      </c>
      <c r="BM767" s="2" t="s">
        <v>4416</v>
      </c>
      <c r="BN767" s="1" t="s">
        <v>1877</v>
      </c>
      <c r="BO767" s="2" t="s">
        <v>4417</v>
      </c>
    </row>
    <row r="768" spans="1:71" ht="396" x14ac:dyDescent="0.45">
      <c r="A768" s="5">
        <v>767</v>
      </c>
      <c r="B768" s="8" t="s">
        <v>532</v>
      </c>
      <c r="C768" s="6" t="s">
        <v>6850</v>
      </c>
      <c r="D768" s="7" t="s">
        <v>9752</v>
      </c>
      <c r="E768" s="1" t="s">
        <v>27</v>
      </c>
      <c r="F768" s="1" t="s">
        <v>4418</v>
      </c>
      <c r="G768" s="1" t="s">
        <v>1474</v>
      </c>
      <c r="J768" s="1" t="s">
        <v>9753</v>
      </c>
      <c r="K768" s="2" t="s">
        <v>8789</v>
      </c>
      <c r="L768" s="9" t="s">
        <v>8790</v>
      </c>
      <c r="M768" s="1" t="s">
        <v>12190</v>
      </c>
      <c r="P768" s="7" t="s">
        <v>1241</v>
      </c>
      <c r="Q768" s="14" t="str">
        <f>INDEX($L:$L, MATCH("equal", $B:$B, 0))</f>
        <v>&lt;span class="w"&gt;&lt;b&gt;【290.equal：等しい, 匹敵する】&lt;/b&gt;&lt;/span&gt;
&lt;span class="ml"&gt;ラテン語に由来する語で、以下の2つの要素から成る。
&lt;span class="spacer"&gt;&lt;/span&gt;aequus（平らな, 均一な）
alis（形容詞）
&lt;span class="spacer"&gt;&lt;/span&gt;「平らな, 均一な」つまり比較したときに同じ高さであるイメージから「等しい, 匹敵する」という意味になる。&lt;/span&gt;</v>
      </c>
      <c r="R768" s="14" t="str">
        <f>INDEX($L:$L, MATCH("adequate", $B:$B, 0))</f>
        <v>&lt;span class="w"&gt;&lt;b&gt;【799.adequate：十分な, 適切な】&lt;/b&gt;&lt;/span&gt;
&lt;span class="ml"&gt;ラテン語に由来する語で、以下の2つの要素から成る。
&lt;span class="spacer"&gt;&lt;/span&gt;ad（〜へ）
aequare（等しくする）
&lt;span class="spacer"&gt;&lt;/span&gt;このまま日本語にすると「〜へ等しくする」となる。これは、必要とされるものや望まれるものに等しくすることから、必要最低限に対して「十分な」という意味になる。
&lt;span class="spacer"&gt;&lt;/span&gt;adequateは、十分ではあるがクオリティが平凡であるというネガティブなニュアンスを含むことがある。
&lt;span class="spacer"&gt;&lt;/span&gt;［sufficientとadequate］
&lt;span class="spacer"&gt;&lt;/span&gt;sufficient：足りているかどうかという点で「十分な」。否定のinsufficientは「不足している」という意味になる。
&lt;span class="spacer"&gt;&lt;/span&gt;adequate：最低限の基準に対して適しているという意味で「十分な」。否定のinadequateは「不適切な」という意味になる。
またadequateは、質はまぁまぁという少しネガティブな印象を含むことがある。&lt;/span&gt;</v>
      </c>
      <c r="AU768" s="15"/>
      <c r="AV768" s="1" t="s">
        <v>1502</v>
      </c>
      <c r="BG768" s="7" t="s">
        <v>1503</v>
      </c>
      <c r="BH768" s="1" t="s">
        <v>2780</v>
      </c>
      <c r="BI768" s="2" t="s">
        <v>4419</v>
      </c>
      <c r="BJ768" s="1" t="s">
        <v>1967</v>
      </c>
      <c r="BK768" s="2" t="s">
        <v>4420</v>
      </c>
      <c r="BL768" s="1" t="s">
        <v>1959</v>
      </c>
      <c r="BM768" s="2" t="s">
        <v>4421</v>
      </c>
      <c r="BN768" s="1" t="s">
        <v>1875</v>
      </c>
      <c r="BO768" s="2" t="s">
        <v>4422</v>
      </c>
      <c r="BP768" s="1" t="s">
        <v>1877</v>
      </c>
      <c r="BQ768" s="2" t="s">
        <v>4423</v>
      </c>
    </row>
    <row r="769" spans="1:71" ht="144" x14ac:dyDescent="0.45">
      <c r="A769" s="5">
        <v>768</v>
      </c>
      <c r="B769" s="8" t="s">
        <v>533</v>
      </c>
      <c r="C769" s="6" t="s">
        <v>6850</v>
      </c>
      <c r="D769" s="7" t="s">
        <v>9752</v>
      </c>
      <c r="E769" s="1" t="s">
        <v>1338</v>
      </c>
      <c r="F769" s="1" t="s">
        <v>4424</v>
      </c>
      <c r="G769" s="1"/>
      <c r="J769" s="1" t="s">
        <v>9753</v>
      </c>
      <c r="K769" s="2" t="s">
        <v>8791</v>
      </c>
      <c r="L769" s="2" t="s">
        <v>8792</v>
      </c>
      <c r="M769" s="1" t="s">
        <v>12175</v>
      </c>
      <c r="P769" s="7" t="s">
        <v>1241</v>
      </c>
      <c r="Q769" s="13" t="str">
        <f>INDEX($L:$L, MATCH("indicate", $B:$B, 0))</f>
        <v>&lt;span class="w"&gt;&lt;b&gt;【203.indicate：～を指し示す, ～を述べる】&lt;/b&gt;&lt;/span&gt;
&lt;span class="ml"&gt;ラテン語に由来する語で、以下の2つの要素から成る。
&lt;span class="spacer"&gt;&lt;/span&gt;in（中に）
dicare（宣言する, 示す）
&lt;span class="spacer"&gt;&lt;/span&gt;このまま日本語にすると「何かの中に向かって示す・宣言する」となる。この「中に向かって」は方向性を、「示す・宣言する」は情報の提示を表す。つまりindicateは対象（目的語）＝情報へ向け、その情報を示す役割をする。
&lt;span class="spacer"&gt;&lt;/span&gt;S indicate Oは、SがOの方向に相手を向けてその情報を示す。
&lt;div class="sample_image indicate"&gt;&lt;/div&gt;&lt;/span&gt;</v>
      </c>
      <c r="R769" s="13" t="str">
        <f>INDEX($L:$L, MATCH("dedicate", $B:$B, 0))</f>
        <v>&lt;span class="w"&gt;&lt;b&gt;【1039.dedicate：〜を捧げる, 〜を献呈する】&lt;/b&gt;&lt;/span&gt;
&lt;span class="ml"&gt;ラテン語に由来する語で、以下の2つの要素から成る。
&lt;span class="spacer"&gt;&lt;/span&gt;de（離れて）
dicare（宣言する）
&lt;span class="spacer"&gt;&lt;/span&gt;もともとは、世間から切り離して神に属するものだと宣言する、宗教的な奉献を表した。そこから宗教に関わらず、一般的な意味として、時間やエネルギーなどを「捧げる」、作品や碑などを「献呈する」という意味になった。
&lt;div class="sample_image dedicate"&gt;&lt;/div&gt;&lt;/span&gt;</v>
      </c>
      <c r="S769" s="13" t="str">
        <f>INDEX($L:$L, MATCH("predict", $B:$B, 0))</f>
        <v>&lt;span class="w"&gt;&lt;b&gt;【301.predict：～を予言する, ～を予測する】&lt;/b&gt;&lt;/span&gt;
&lt;span class="ml"&gt;ラテン語に由来する語で、以下の2つの要素から成る。
&lt;span class="spacer"&gt;&lt;/span&gt;prae（前に, 以前に）
dicere（言う）
&lt;span class="spacer"&gt;&lt;/span&gt;このまま日本語にすると「前に言う」となる。何かが起こる前に言うことから「予言する, 予測する」という意味になる。
&lt;div class="sample_image predict"&gt;&lt;/div&gt;&lt;/span&gt;</v>
      </c>
      <c r="T769" s="13" t="str">
        <f>INDEX($L:$L, MATCH("contradict", $B:$B, 0))</f>
        <v>&lt;span class="w"&gt;&lt;b&gt;【1412.contradict：〜と矛盾する, 〜と反対の意見を言う】&lt;/b&gt;&lt;/span&gt;
&lt;span class="ml"&gt;ラテン語に由来する語で、以下の2つの要素から成る。
&lt;span class="spacer"&gt;&lt;/span&gt;contra（〜に対して）
dicere（言う, 話す）
&lt;span class="spacer"&gt;&lt;/span&gt;相手に反対して話すことから「反対の意見を言う」という意味に、発言や事実と反対のことを言うことから「矛盾する」という意味になる。
&lt;div class="sample_image contradict"&gt;&lt;/div&gt;&lt;/span&gt;</v>
      </c>
      <c r="U769" s="13" t="str">
        <f>INDEX($L:$L, MATCH("index", $B:$B, 0))</f>
        <v>&lt;span class="w"&gt;&lt;b&gt;【1272.index：指し示すもの, 指数, 指標, 索引】&lt;/b&gt;&lt;/span&gt;
&lt;span class="ml"&gt;ラテン語に由来する語で、以下の2つの要素から成る。
&lt;span class="spacer"&gt;&lt;/span&gt;in（中に）
dicare（宣言する, 指し示す）
&lt;span class="spacer"&gt;&lt;/span&gt;この語の核は「ある方向に指をさして示し、何かを宣言すること」。この指をさすということから、ラテン語indexは人差し指という意味をもち、英語でも人差し指をindex fingerと呼ぶ。
&lt;span class="spacer"&gt;&lt;/span&gt;この何かを指し示すものという意味から、英語では当初、本の中で特定の情報が何ページに書かれているかを示す「索引」という意味で使われた。さらにそこから、経済やデータなどで、状態や傾向を客観的な数値で指し示す「指数, 指標」という意味にもなった。
例：BMI（Body Mass Index）＝肥満度を示す体格指数&lt;/span&gt;</v>
      </c>
      <c r="V769" s="13" t="str">
        <f>INDEX($L:$L, MATCH("judge", $B:$B, 0))</f>
        <v>&lt;span class="w"&gt;&lt;b&gt;【310.judge：～を判断する, 判決を下す】&lt;/b&gt;&lt;/span&gt;
&lt;span class="ml"&gt;ラテン語に由来する語で、以下の2つの要素から成る。
&lt;span class="spacer"&gt;&lt;/span&gt;ius（法）
dicere（宣言する, 示す）
&lt;span class="spacer"&gt;&lt;/span&gt;このまま日本語にすると「法を宣言する」となる。ここから法を宣言する人＝裁判官という意味を経て「判決を下す」という意味になる。また法とは関係なく、自分で考えて「判断する」となる。&lt;/span&gt;</v>
      </c>
      <c r="W769" s="13" t="str">
        <f>INDEX($L:$L, MATCH("justice", $B:$B, 0))</f>
        <v>&lt;span class="w"&gt;&lt;b&gt;【769.justice：公正, 正義, 司法】&lt;/b&gt;&lt;/span&gt;
&lt;span class="ml"&gt;ラテン語ius（法）に由来する。
&lt;span class="spacer"&gt;&lt;/span&gt;この語の核は「法」。法を司る「司法」や、法や道徳に基づく「正義」や「公正」という意味になる。&lt;/span&gt;</v>
      </c>
      <c r="X769" s="13" t="str">
        <f>INDEX($L:$L, MATCH("jury", $B:$B, 0))</f>
        <v>&lt;span class="w"&gt;&lt;b&gt;【1053.jury：陪審（員団）, 審査員団】&lt;/b&gt;&lt;/span&gt;
&lt;span class="ml"&gt;ラテン語ius（法, 法的誓約）から派生したiurare（宣誓する）に由来する。
&lt;span class="spacer"&gt;&lt;/span&gt;この語の核は「法のもとで宣誓する」。そこから、法律に従って選ばれ、事件や告発に対して公正な判断を下すことを宣誓した人たち、つまり「陪審員団」を意味するようになった。さらに法的な文脈を離れ、何かを判断する集団＝「審査員団」という意味にもなった。&lt;/span&gt;</v>
      </c>
      <c r="AU769" s="15"/>
      <c r="AV769" s="1" t="s">
        <v>1502</v>
      </c>
      <c r="BG769" s="7" t="s">
        <v>1503</v>
      </c>
      <c r="BH769" s="1" t="s">
        <v>2780</v>
      </c>
      <c r="BI769" s="2" t="s">
        <v>4425</v>
      </c>
      <c r="BJ769" s="1" t="s">
        <v>1967</v>
      </c>
      <c r="BK769" s="2" t="s">
        <v>4426</v>
      </c>
      <c r="BL769" s="1" t="s">
        <v>1959</v>
      </c>
      <c r="BM769" s="1" t="s">
        <v>4427</v>
      </c>
      <c r="BN769" s="1" t="s">
        <v>1875</v>
      </c>
      <c r="BO769" s="2" t="s">
        <v>4428</v>
      </c>
    </row>
    <row r="770" spans="1:71" ht="144" x14ac:dyDescent="0.45">
      <c r="A770" s="5">
        <v>769</v>
      </c>
      <c r="B770" s="8" t="s">
        <v>534</v>
      </c>
      <c r="C770" s="6" t="s">
        <v>6850</v>
      </c>
      <c r="D770" s="7" t="s">
        <v>9752</v>
      </c>
      <c r="E770" s="1" t="s">
        <v>8986</v>
      </c>
      <c r="F770" s="1" t="s">
        <v>8987</v>
      </c>
      <c r="G770" s="1" t="s">
        <v>8893</v>
      </c>
      <c r="J770" s="1" t="s">
        <v>9753</v>
      </c>
      <c r="K770" s="2" t="s">
        <v>8793</v>
      </c>
      <c r="L770" s="4" t="s">
        <v>8794</v>
      </c>
      <c r="P770" s="7" t="s">
        <v>1241</v>
      </c>
      <c r="Q770" s="14" t="str">
        <f>INDEX($L:$L, MATCH("judge", $B:$B, 0))</f>
        <v>&lt;span class="w"&gt;&lt;b&gt;【310.judge：～を判断する, 判決を下す】&lt;/b&gt;&lt;/span&gt;
&lt;span class="ml"&gt;ラテン語に由来する語で、以下の2つの要素から成る。
&lt;span class="spacer"&gt;&lt;/span&gt;ius（法）
dicere（宣言する, 示す）
&lt;span class="spacer"&gt;&lt;/span&gt;このまま日本語にすると「法を宣言する」となる。ここから法を宣言する人＝裁判官という意味を経て「判決を下す」という意味になる。また法とは関係なく、自分で考えて「判断する」となる。&lt;/span&gt;</v>
      </c>
      <c r="R770" s="13" t="str">
        <f>INDEX($L:$L, MATCH("prejudice", $B:$B, 0))</f>
        <v>&lt;span class="w"&gt;&lt;b&gt;【768.prejudice：偏見】&lt;/b&gt;&lt;/span&gt;
&lt;span class="ml"&gt;ラテン語に由来する語で、以下の2つの要素から成る。
&lt;span class="spacer"&gt;&lt;/span&gt;prae（前もって）
iudexから派生したiudicium（判断）
&lt;span class="spacer"&gt;&lt;/span&gt;このまま日本語にすると「前もって行われる判断」となる。そこから先入観となり、特に否定的な意味での「偏見」という意味になった。
&lt;span class="spacer"&gt;&lt;/span&gt;ラテン語iudexはjudgeの語源でもある。そのためprejudiceは、前もって（pre）行われるジャッジ（判断）というイメージで覚えればよい。&lt;/span&gt;</v>
      </c>
      <c r="S770" s="13" t="str">
        <f>INDEX($L:$L, MATCH("jury", $B:$B, 0))</f>
        <v>&lt;span class="w"&gt;&lt;b&gt;【1053.jury：陪審（員団）, 審査員団】&lt;/b&gt;&lt;/span&gt;
&lt;span class="ml"&gt;ラテン語ius（法, 法的誓約）から派生したiurare（宣誓する）に由来する。
&lt;span class="spacer"&gt;&lt;/span&gt;この語の核は「法のもとで宣誓する」。そこから、法律に従って選ばれ、事件や告発に対して公正な判断を下すことを宣誓した人たち、つまり「陪審員団」を意味するようになった。さらに法的な文脈を離れ、何かを判断する集団＝「審査員団」という意味にもなった。&lt;/span&gt;</v>
      </c>
      <c r="AU770" s="15"/>
      <c r="AV770" s="1" t="s">
        <v>1502</v>
      </c>
      <c r="BG770" s="7" t="s">
        <v>1503</v>
      </c>
      <c r="BH770" s="1" t="s">
        <v>1947</v>
      </c>
      <c r="BI770" s="2" t="s">
        <v>4429</v>
      </c>
      <c r="BJ770" s="1" t="s">
        <v>1959</v>
      </c>
      <c r="BK770" s="2" t="s">
        <v>4430</v>
      </c>
      <c r="BL770" s="1" t="s">
        <v>1875</v>
      </c>
      <c r="BM770" s="2" t="s">
        <v>4431</v>
      </c>
    </row>
    <row r="771" spans="1:71" ht="126" x14ac:dyDescent="0.45">
      <c r="A771" s="5">
        <v>770</v>
      </c>
      <c r="B771" s="8" t="s">
        <v>535</v>
      </c>
      <c r="C771" s="6" t="s">
        <v>6850</v>
      </c>
      <c r="D771" s="7" t="s">
        <v>9752</v>
      </c>
      <c r="E771" s="1" t="s">
        <v>1855</v>
      </c>
      <c r="F771" s="1" t="s">
        <v>1856</v>
      </c>
      <c r="G771" s="1"/>
      <c r="J771" s="1" t="s">
        <v>9753</v>
      </c>
      <c r="K771" s="2" t="s">
        <v>8795</v>
      </c>
      <c r="L771" s="9" t="s">
        <v>8796</v>
      </c>
      <c r="P771" s="7" t="s">
        <v>1241</v>
      </c>
      <c r="AU771" s="15"/>
      <c r="AV771" s="1" t="s">
        <v>1502</v>
      </c>
      <c r="BG771" s="7" t="s">
        <v>1503</v>
      </c>
      <c r="BH771" s="1" t="s">
        <v>1877</v>
      </c>
      <c r="BI771" s="2" t="s">
        <v>4432</v>
      </c>
      <c r="BJ771" s="1" t="s">
        <v>3496</v>
      </c>
      <c r="BK771" s="2" t="s">
        <v>4433</v>
      </c>
    </row>
    <row r="772" spans="1:71" ht="216" x14ac:dyDescent="0.45">
      <c r="A772" s="5">
        <v>771</v>
      </c>
      <c r="B772" s="8" t="s">
        <v>536</v>
      </c>
      <c r="C772" s="6" t="s">
        <v>6850</v>
      </c>
      <c r="D772" s="7" t="s">
        <v>9752</v>
      </c>
      <c r="E772" s="1" t="s">
        <v>4434</v>
      </c>
      <c r="F772" s="1" t="s">
        <v>1326</v>
      </c>
      <c r="G772" s="1"/>
      <c r="J772" s="1" t="s">
        <v>9753</v>
      </c>
      <c r="K772" s="2" t="s">
        <v>8797</v>
      </c>
      <c r="L772" s="2" t="s">
        <v>8798</v>
      </c>
      <c r="P772" s="7" t="s">
        <v>1241</v>
      </c>
      <c r="Q772" s="13" t="str">
        <f>INDEX($L:$L, MATCH("inform", $B:$B, 0))</f>
        <v>&lt;span class="w"&gt;&lt;b&gt;【508.inform：〜に知らせる, 情報を提供する】&lt;/b&gt;&lt;/span&gt;
&lt;span class="ml"&gt;ラテン語に由来する語で、以下の2つの要素から成る。
&lt;span class="spacer"&gt;&lt;/span&gt;in（中に）
formare（形作る）
&lt;span class="spacer"&gt;&lt;/span&gt;このまま日本語にすると「内側に形作る」となる。これは、相手の頭の中に知識を形成するというイメージ。ここから、教育によって教えることへとつながる。そして教育することから情報の伝達が意味の中心となり、相手に「情報を与える, 知らせる」という意味になった。&lt;/span&gt;</v>
      </c>
      <c r="R772" s="13" t="str">
        <f>INDEX($L:$L, MATCH("transform", $B:$B, 0))</f>
        <v>&lt;span class="w"&gt;&lt;b&gt;【519.transform：〜を変える】&lt;/b&gt;&lt;/span&gt;
&lt;span class="ml"&gt;ラテン語に由来する語で、以下の2つの要素から成る。
&lt;span class="spacer"&gt;&lt;/span&gt;trans（越えて）
forma（形）から派生したformare（形作る）
&lt;span class="spacer"&gt;&lt;/span&gt;このまま日本語にすると「越えて形作る」となる。これは、今ある状態から別の状態へと形を変えるイメージで、形や質を「変える」という意味になる。&lt;/span&gt;</v>
      </c>
      <c r="S772" s="13" t="str">
        <f>INDEX($L:$L, MATCH("reform", $B:$B, 0))</f>
        <v>&lt;span class="w"&gt;&lt;b&gt;【735.reform：〜を改革する, 〜を改心させる】&lt;/b&gt;&lt;/span&gt;
&lt;span class="ml"&gt;ラテン語に由来する語で、以下の2つの要素から成る。
&lt;span class="spacer"&gt;&lt;/span&gt;re（再び）
formare（形作る）
&lt;span class="spacer"&gt;&lt;/span&gt;このまま日本語にすると「再び形作る」となる。これは、前よりも良い形に変えることを表し、人を「改心させる」や政府や制度を「改革する」という意味になる。&lt;/span&gt;</v>
      </c>
      <c r="T772" s="13" t="str">
        <f>INDEX($L:$L, MATCH("formation", $B:$B, 0))</f>
        <v>&lt;span class="w"&gt;&lt;b&gt;【942.formation：形成】&lt;/b&gt;&lt;/span&gt;
&lt;span class="ml"&gt;ラテン語に由来する語で、以下の2つの要素から成る。
&lt;span class="spacer"&gt;&lt;/span&gt;
forma（形, 姿）から派生した動詞formare（形作る）
io（名詞化）
&lt;span class="spacer"&gt;&lt;/span&gt;このまま日本語にすると「形作ること, 形成」という意味になる。&lt;/span&gt;</v>
      </c>
      <c r="U772" s="13" t="str">
        <f>INDEX($L:$L, MATCH("format", $B:$B, 0))</f>
        <v>&lt;span class="w"&gt;&lt;b&gt;【1263.format：書式, 形式】&lt;/b&gt;&lt;/span&gt;
&lt;span class="ml"&gt;ラテン語forma（型, 形）に由来する。
&lt;span class="spacer"&gt;&lt;/span&gt;もともとは、本を作る際の形や大きさなど、決められた型を表した。本や文章は決まった形を持たないので、どんなふうにでも表現できてしまう。それらに対して、形やサイズ、どこにどんな文章を配置するかなど、明確な形を与えるのがフォーマット。
&lt;span class="spacer"&gt;&lt;/span&gt;いまでは本に限らず、データや履歴書、テレビ番組などの様々なものに対して決まった形、つまり「書式, 形式」という意味で使われる。&lt;/span&gt;</v>
      </c>
      <c r="V772" s="13" t="str">
        <f>INDEX($L:$L, MATCH("informal", $B:$B, 0))</f>
        <v>&lt;span class="w"&gt;&lt;b&gt;【982.informal：形式ばらない】&lt;/b&gt;&lt;/span&gt;
&lt;span class="ml"&gt;ラテン語に由来する語で、以下の3つの要素から成る。
&lt;span class="spacer"&gt;&lt;/span&gt;&lt;span class="obsolete"&gt;in（否定）は英語段階で付いた&lt;/span&gt;
forma（形, 型）
alis（形容詞化）
&lt;span class="spacer"&gt;&lt;/span&gt;形や型を表すformから、決まった型があるformalになる。そしてそれを否定したinformalは「型がない, 形式ばらない」という意味になる。&lt;/span&gt;</v>
      </c>
      <c r="W772" s="13" t="str">
        <f>INDEX($L:$L, MATCH("formula", $B:$B, 0))</f>
        <v>&lt;span class="w"&gt;&lt;b&gt;【1366.formula：方法, 公式】&lt;/b&gt;&lt;/span&gt;
&lt;span class="ml"&gt;ラテン語
forma（形, 型）
ula（小さいことを表す）
&lt;span class="spacer"&gt;&lt;/span&gt;このまま日本語にすると「小さな型（フォーム）」となり、もともとは同じものを量産するためのひな型を表した。ひな型に材料を流し込めば必ず同じ形ができるように、同じ手順を踏めば同じ結果になるという考えから、決まった型通りの「方法」や数学の「公式」という意味になった。&lt;/span&gt;</v>
      </c>
      <c r="AU772" s="15"/>
      <c r="AV772" s="1" t="s">
        <v>1502</v>
      </c>
      <c r="BG772" s="7" t="s">
        <v>1503</v>
      </c>
      <c r="BH772" s="1" t="s">
        <v>1959</v>
      </c>
      <c r="BI772" s="2" t="s">
        <v>4435</v>
      </c>
      <c r="BJ772" s="1" t="s">
        <v>1877</v>
      </c>
      <c r="BK772" s="2" t="s">
        <v>4436</v>
      </c>
    </row>
    <row r="773" spans="1:71" ht="180" x14ac:dyDescent="0.45">
      <c r="A773" s="5">
        <v>772</v>
      </c>
      <c r="B773" s="8" t="s">
        <v>537</v>
      </c>
      <c r="C773" s="6" t="s">
        <v>6850</v>
      </c>
      <c r="D773" s="7" t="s">
        <v>9752</v>
      </c>
      <c r="E773" s="1" t="s">
        <v>1857</v>
      </c>
      <c r="F773" s="1" t="s">
        <v>1695</v>
      </c>
      <c r="G773" s="1"/>
      <c r="J773" s="1" t="s">
        <v>9753</v>
      </c>
      <c r="K773" s="2"/>
      <c r="L773" s="3" t="s">
        <v>8842</v>
      </c>
      <c r="P773" s="7" t="s">
        <v>1241</v>
      </c>
      <c r="Q773" s="13" t="str">
        <f>INDEX($L:$L, MATCH("section", $B:$B, 0))</f>
        <v>&lt;span class="w"&gt;&lt;b&gt;【250.section：部門, 部分, 欄】&lt;/b&gt;&lt;/span&gt;
&lt;span class="ml"&gt;ラテン語に由来する語で、以下の2つの要素から成る。
&lt;span class="spacer"&gt;&lt;/span&gt;secare（切る）
io（名詞化）
&lt;span class="spacer"&gt;&lt;/span&gt;「切られたもの」から、全体から切られて区別された「部門, 部分」という意味になる。また2本の線で区切られた目盛や「欄」という意味にもなる。
&lt;div class="sample_image section"&gt;&lt;/div&gt;&lt;/span&gt;</v>
      </c>
      <c r="AU773" s="15"/>
      <c r="AV773" s="1" t="s">
        <v>1502</v>
      </c>
      <c r="BG773" s="7" t="s">
        <v>1503</v>
      </c>
      <c r="BH773" s="1" t="s">
        <v>1947</v>
      </c>
      <c r="BI773" s="2" t="s">
        <v>4437</v>
      </c>
      <c r="BJ773" s="1" t="s">
        <v>2036</v>
      </c>
      <c r="BK773" s="1" t="s">
        <v>4438</v>
      </c>
      <c r="BL773" s="1" t="s">
        <v>1877</v>
      </c>
      <c r="BM773" s="2" t="s">
        <v>4439</v>
      </c>
      <c r="BN773" s="1" t="s">
        <v>3496</v>
      </c>
      <c r="BO773" s="2" t="s">
        <v>4440</v>
      </c>
    </row>
    <row r="774" spans="1:71" ht="144" x14ac:dyDescent="0.45">
      <c r="A774" s="5">
        <v>773</v>
      </c>
      <c r="B774" s="8" t="s">
        <v>538</v>
      </c>
      <c r="C774" s="6" t="s">
        <v>6850</v>
      </c>
      <c r="D774" s="7" t="s">
        <v>9752</v>
      </c>
      <c r="E774" s="1" t="s">
        <v>538</v>
      </c>
      <c r="F774" s="1"/>
      <c r="G774" s="1"/>
      <c r="J774" s="1" t="s">
        <v>9753</v>
      </c>
      <c r="K774" s="2" t="s">
        <v>8799</v>
      </c>
      <c r="L774" s="3" t="s">
        <v>9039</v>
      </c>
      <c r="P774" s="7" t="s">
        <v>1241</v>
      </c>
      <c r="AU774" s="15"/>
      <c r="AV774" s="1" t="s">
        <v>1502</v>
      </c>
      <c r="BG774" s="7" t="s">
        <v>1503</v>
      </c>
      <c r="BH774" s="1" t="s">
        <v>1947</v>
      </c>
      <c r="BI774" s="2" t="s">
        <v>4441</v>
      </c>
      <c r="BJ774" s="1" t="s">
        <v>1959</v>
      </c>
      <c r="BK774" s="1" t="s">
        <v>4442</v>
      </c>
      <c r="BL774" s="1" t="s">
        <v>1875</v>
      </c>
      <c r="BM774" s="2" t="s">
        <v>4443</v>
      </c>
      <c r="BN774" s="1" t="s">
        <v>1877</v>
      </c>
      <c r="BO774" s="2" t="s">
        <v>4444</v>
      </c>
      <c r="BP774" s="1" t="s">
        <v>3496</v>
      </c>
      <c r="BQ774" s="2" t="s">
        <v>4445</v>
      </c>
    </row>
    <row r="775" spans="1:71" ht="108" x14ac:dyDescent="0.45">
      <c r="A775" s="5">
        <v>774</v>
      </c>
      <c r="B775" s="8" t="s">
        <v>539</v>
      </c>
      <c r="C775" s="6" t="s">
        <v>6850</v>
      </c>
      <c r="D775" s="7" t="s">
        <v>9752</v>
      </c>
      <c r="E775" s="1" t="s">
        <v>539</v>
      </c>
      <c r="F775" s="1"/>
      <c r="G775" s="1"/>
      <c r="J775" s="1" t="s">
        <v>9753</v>
      </c>
      <c r="K775" s="2" t="s">
        <v>8800</v>
      </c>
      <c r="L775" s="2" t="s">
        <v>8801</v>
      </c>
      <c r="P775" s="7" t="s">
        <v>1241</v>
      </c>
      <c r="AU775" s="15"/>
      <c r="AV775" s="1" t="s">
        <v>1502</v>
      </c>
      <c r="BG775" s="7" t="s">
        <v>1503</v>
      </c>
      <c r="BH775" s="1" t="s">
        <v>1976</v>
      </c>
      <c r="BI775" s="2" t="s">
        <v>4446</v>
      </c>
      <c r="BJ775" s="1" t="s">
        <v>1947</v>
      </c>
      <c r="BK775" s="2" t="s">
        <v>4401</v>
      </c>
      <c r="BL775" s="1" t="s">
        <v>2026</v>
      </c>
      <c r="BM775" s="1" t="s">
        <v>4402</v>
      </c>
      <c r="BN775" s="1" t="s">
        <v>1959</v>
      </c>
      <c r="BO775" s="1" t="s">
        <v>4447</v>
      </c>
      <c r="BP775" s="1" t="s">
        <v>1996</v>
      </c>
      <c r="BQ775" s="2" t="s">
        <v>4448</v>
      </c>
      <c r="BR775" s="1" t="s">
        <v>1877</v>
      </c>
      <c r="BS775" s="2" t="s">
        <v>4449</v>
      </c>
    </row>
    <row r="776" spans="1:71" ht="126" x14ac:dyDescent="0.45">
      <c r="A776" s="5">
        <v>775</v>
      </c>
      <c r="B776" s="8" t="s">
        <v>540</v>
      </c>
      <c r="C776" s="6" t="s">
        <v>6850</v>
      </c>
      <c r="D776" s="7" t="s">
        <v>9752</v>
      </c>
      <c r="E776" s="1" t="s">
        <v>540</v>
      </c>
      <c r="F776" s="1"/>
      <c r="G776" s="1"/>
      <c r="J776" s="1" t="s">
        <v>9753</v>
      </c>
      <c r="K776" s="2"/>
      <c r="L776" s="2" t="s">
        <v>8802</v>
      </c>
      <c r="M776" s="1" t="s">
        <v>12211</v>
      </c>
      <c r="P776" s="7" t="s">
        <v>1241</v>
      </c>
      <c r="Q776" s="13" t="str">
        <f>INDEX($L:$L, MATCH("prime", $B:$B, 0))</f>
        <v>&lt;span class="w"&gt;&lt;b&gt;【579.prime：主要な, 最も重要な】&lt;/b&gt;&lt;/span&gt;
&lt;span class="ml"&gt;ラテン語primus（第一の, 主要な）に由来する。これは「前」を表すpri部分の最上級で「最も前」と考えればよい。
&lt;span class="spacer"&gt;&lt;/span&gt;「最も前」ということから、程度や重要性において第一、つまり「主要な, 最も重要な」という意味になる。&lt;/span&gt;</v>
      </c>
      <c r="R776" s="13" t="str">
        <f>INDEX($L:$L, MATCH("primitive", $B:$B, 0))</f>
        <v>&lt;span class="w"&gt;&lt;b&gt;【786.primitive：原始的な】&lt;/b&gt;&lt;/span&gt;
&lt;span class="ml"&gt;ラテン語に由来する語で、以下の2つの要素から成る。
&lt;span class="spacer"&gt;&lt;/span&gt;primus（第一の, 最初の）
ivus（形容詞化）
&lt;span class="spacer"&gt;&lt;/span&gt;この語の核は「初期の時代」。人類や社会の発展において、初期の時代に属するということから「原始的な」という意味になった。&lt;/span&gt;</v>
      </c>
      <c r="S776" s="13" t="str">
        <f>INDEX($L:$L, MATCH("principle", $B:$B, 0))</f>
        <v>&lt;span class="w"&gt;&lt;b&gt;【343.principle：原理, 原則, 主義, 信条】&lt;/b&gt;&lt;/span&gt;
&lt;span class="ml"&gt;ラテン語に由来する語で、以下の2つの要素から成る。
&lt;span class="spacer"&gt;&lt;/span&gt;primus（第一の）
capere（取る）
&lt;span class="spacer"&gt;&lt;/span&gt;このまま日本語にすると「第一を取る」となる。1番目のポジションを取ることから、何かが成り立つための土台＝「原理, 原則」や、行動の土台となる「主義, 信条」という意味になる。&lt;/span&gt;</v>
      </c>
      <c r="T776" s="13" t="str">
        <f>INDEX($L:$L, MATCH("principal", $B:$B, 0))</f>
        <v>&lt;span class="w"&gt;&lt;b&gt;【683.principal：主要な】&lt;/b&gt;&lt;/span&gt;
&lt;span class="ml"&gt;ラテン語に由来する語で、以下の3つの要素から成る。
&lt;span class="spacer"&gt;&lt;/span&gt;primus（第一の）
capere（取る）
alis（形容詞化）
&lt;span class="spacer"&gt;&lt;/span&gt;この語の核は「第一の位置を取る」。集団や集合の中における第一の位置とは、最も重要な位置ということ。ここから「主要な」という意味になる。&lt;/span&gt;</v>
      </c>
      <c r="AU776" s="15"/>
      <c r="AV776" s="1" t="s">
        <v>1502</v>
      </c>
      <c r="BG776" s="7" t="s">
        <v>1503</v>
      </c>
      <c r="BH776" s="1" t="s">
        <v>1947</v>
      </c>
      <c r="BI776" s="2" t="s">
        <v>4450</v>
      </c>
      <c r="BJ776" s="1" t="s">
        <v>2036</v>
      </c>
      <c r="BK776" s="1" t="s">
        <v>4451</v>
      </c>
      <c r="BL776" s="1" t="s">
        <v>1967</v>
      </c>
      <c r="BM776" s="2" t="s">
        <v>4452</v>
      </c>
      <c r="BN776" s="1" t="s">
        <v>1959</v>
      </c>
      <c r="BO776" s="1" t="s">
        <v>4453</v>
      </c>
      <c r="BP776" s="1" t="s">
        <v>1875</v>
      </c>
      <c r="BQ776" s="2" t="s">
        <v>4454</v>
      </c>
      <c r="BR776" s="1" t="s">
        <v>1877</v>
      </c>
      <c r="BS776" s="2" t="s">
        <v>4455</v>
      </c>
    </row>
    <row r="777" spans="1:71" ht="162" x14ac:dyDescent="0.45">
      <c r="A777" s="5">
        <v>776</v>
      </c>
      <c r="B777" s="8" t="s">
        <v>541</v>
      </c>
      <c r="C777" s="6" t="s">
        <v>6850</v>
      </c>
      <c r="D777" s="7" t="s">
        <v>9752</v>
      </c>
      <c r="E777" s="1" t="s">
        <v>1858</v>
      </c>
      <c r="F777" s="1" t="s">
        <v>1748</v>
      </c>
      <c r="G777" s="1"/>
      <c r="J777" s="1" t="s">
        <v>9753</v>
      </c>
      <c r="K777" s="2" t="s">
        <v>8803</v>
      </c>
      <c r="L777" s="9" t="s">
        <v>9213</v>
      </c>
      <c r="M777" s="1" t="s">
        <v>12216</v>
      </c>
      <c r="P777" s="7" t="s">
        <v>1241</v>
      </c>
      <c r="Q777" s="13" t="str">
        <f>INDEX($L:$L, MATCH("abuse", $B:$B, 0))</f>
        <v>&lt;span class="w"&gt;&lt;b&gt;【952.abuse：乱用, 虐待】&lt;/b&gt;&lt;/span&gt;
&lt;span class="ml"&gt;ラテン語に由来する語で、以下の2つの要素から成る。
&lt;span class="spacer"&gt;&lt;/span&gt;ab（離れて）
uti（使う：useの語源）
&lt;span class="spacer"&gt;&lt;/span&gt;この語の核は「本来の使用法から離れた使用」。そこから何かの「乱用」や、本来の子育てのあり方から離れた「虐待」という意味になった。&lt;/span&gt;</v>
      </c>
      <c r="R777" s="13" t="str">
        <f>INDEX($L:$L, MATCH("utility", $B:$B, 0))</f>
        <v>&lt;span class="w"&gt;&lt;b&gt;【1251.utility：公共事業, 公共料金, 実用性】&lt;/b&gt;&lt;/span&gt;
&lt;span class="ml"&gt;ラテン語に由来する語で、以下の3つの要素から成る。
&lt;span class="spacer"&gt;&lt;/span&gt;uti（利用する：useの語源）
ilis（形容詞化）
tas（名詞化）
&lt;span class="spacer"&gt;&lt;/span&gt;この語は、動詞「使う」から形容詞「使える状態の」となり、さらに名詞「使えること, 役立つこと」へと発展した。実際に使えて役立つことから「実用性」という意味になる。
&lt;span class="spacer"&gt;&lt;/span&gt;またpublic utilityで「公共の役立つこと＝公共事業」という意味で使われていたが、次第にutilityの1語で「公共事業」や「公共料金」を意味するようになった。&lt;/span&gt;</v>
      </c>
      <c r="S777" s="13" t="str">
        <f>INDEX($L:$L, MATCH("utilize", $B:$B, 0))</f>
        <v>&lt;span class="w"&gt;&lt;b&gt;【1324.utilize：〜を利用する, 〜を活用する】&lt;/b&gt;&lt;/span&gt;
&lt;span class="ml"&gt;ラテン語に由来する語で、以下の3つの要素から成る。
&lt;span class="spacer"&gt;&lt;/span&gt;uti（使う）
ilis（形容詞化）
&lt;span class="obsolete"&gt;ize（動詞化）はイタリア語やフランス語段階で付いた&lt;/span&gt;
&lt;span class="spacer"&gt;&lt;/span&gt;utilizeは、utilにizeが付くことで動詞となっているが、ityが付けばutility（実用性, 公共事業）となる。つまりutil部分の核は「実用面で役立つ」であり、動詞utilizeは「役立つ状態にする」が根本にある。
&lt;span class="spacer"&gt;&lt;/span&gt;役に立つようにすることから「利用する, 活用する」という意味になる。&lt;/span&gt;</v>
      </c>
      <c r="AU777" s="15"/>
      <c r="AV777" s="1" t="s">
        <v>1502</v>
      </c>
      <c r="BG777" s="7" t="s">
        <v>1503</v>
      </c>
      <c r="BH777" s="1" t="s">
        <v>1947</v>
      </c>
      <c r="BI777" s="2" t="s">
        <v>4456</v>
      </c>
      <c r="BJ777" s="1" t="s">
        <v>1959</v>
      </c>
      <c r="BK777" s="1" t="s">
        <v>4457</v>
      </c>
      <c r="BL777" s="1" t="s">
        <v>1875</v>
      </c>
      <c r="BM777" s="2" t="s">
        <v>4458</v>
      </c>
    </row>
    <row r="778" spans="1:71" ht="144" x14ac:dyDescent="0.45">
      <c r="A778" s="5">
        <v>777</v>
      </c>
      <c r="B778" s="8" t="s">
        <v>542</v>
      </c>
      <c r="C778" s="6" t="s">
        <v>6850</v>
      </c>
      <c r="D778" s="7" t="s">
        <v>9752</v>
      </c>
      <c r="E778" s="6" t="s">
        <v>542</v>
      </c>
      <c r="F778" s="1"/>
      <c r="G778" s="1"/>
      <c r="J778" s="1" t="s">
        <v>9753</v>
      </c>
      <c r="K778" s="2" t="s">
        <v>8804</v>
      </c>
      <c r="L778" s="9" t="s">
        <v>8805</v>
      </c>
      <c r="P778" s="7" t="s">
        <v>1241</v>
      </c>
      <c r="AU778" s="15"/>
      <c r="AV778" s="1" t="s">
        <v>1502</v>
      </c>
      <c r="BG778" s="7" t="s">
        <v>1503</v>
      </c>
      <c r="BH778" s="1" t="s">
        <v>1976</v>
      </c>
      <c r="BI778" s="1" t="s">
        <v>3998</v>
      </c>
      <c r="BJ778" s="1" t="s">
        <v>1947</v>
      </c>
      <c r="BK778" s="2" t="s">
        <v>4459</v>
      </c>
      <c r="BL778" s="1" t="s">
        <v>1959</v>
      </c>
      <c r="BM778" s="2" t="s">
        <v>4460</v>
      </c>
      <c r="BN778" s="1" t="s">
        <v>1875</v>
      </c>
      <c r="BO778" s="2" t="s">
        <v>4461</v>
      </c>
      <c r="BP778" s="1" t="s">
        <v>1877</v>
      </c>
      <c r="BQ778" s="2" t="s">
        <v>4462</v>
      </c>
    </row>
    <row r="779" spans="1:71" ht="126" x14ac:dyDescent="0.45">
      <c r="A779" s="5">
        <v>778</v>
      </c>
      <c r="B779" s="8" t="s">
        <v>543</v>
      </c>
      <c r="C779" s="6" t="s">
        <v>6850</v>
      </c>
      <c r="D779" s="7" t="s">
        <v>9752</v>
      </c>
      <c r="E779" s="1" t="s">
        <v>1859</v>
      </c>
      <c r="F779" s="1" t="s">
        <v>8988</v>
      </c>
      <c r="G779" s="1" t="s">
        <v>1580</v>
      </c>
      <c r="J779" s="1" t="s">
        <v>9753</v>
      </c>
      <c r="K779" s="2" t="s">
        <v>8806</v>
      </c>
      <c r="L779" s="4" t="s">
        <v>8807</v>
      </c>
      <c r="M779" s="1" t="s">
        <v>12124</v>
      </c>
      <c r="P779" s="7" t="s">
        <v>1241</v>
      </c>
      <c r="Q779" s="13" t="str">
        <f>INDEX($L:$L, MATCH("relate", $B:$B, 0))</f>
        <v>&lt;span class="w"&gt;&lt;b&gt;【28.relate：～を関連づける, 関連する】&lt;/b&gt;&lt;/span&gt;
&lt;span class="ml"&gt;ラテン語に由来する語で、以下の2つの要素から成る。
&lt;span class="spacer"&gt;&lt;/span&gt;re（再び）
ferre（運ぶ）の過去分詞latus
&lt;span class="spacer"&gt;&lt;/span&gt;このまま日本語にすると「再び運ぶ」となる。これは場所Aから場所Bへ移動し、そこで何かを取り、再び元の場所Aへ運ぶというイメージ。このようなAとBの間で何かを送り合う関係を作る行動から、AとBを結び付ける、AとBが結びついている＝「関連付ける, 関連している」という意味になる。
&lt;div class="sample_image relate"&gt;&lt;/div&gt;
&lt;span class="spacer"&gt;&lt;/span&gt;このラテン語はrefer（言及する, 参照する）の語源でもあるので関連させて覚える。&lt;/span&gt;</v>
      </c>
      <c r="R779" s="13" t="str">
        <f>INDEX($L:$L, MATCH("translate", $B:$B, 0))</f>
        <v>&lt;span class="w"&gt;&lt;b&gt;【502.translate：〜を翻訳する】&lt;/b&gt;&lt;/span&gt;
&lt;span class="ml"&gt;ラテン語に由来する語で、以下の2つの要素から成る。
&lt;span class="spacer"&gt;&lt;/span&gt;trans（越えて）
ferre（運ぶ）の過去分詞latus
&lt;span class="spacer"&gt;&lt;/span&gt;このまま日本語にすると「越えて運ぶ」となる。何かがある場所から別の場所へ運ばれるという物理的な移動から、ある言語が別の言語へ運ばれる、つまり「翻訳する」という意味になった。
&lt;div class="sample_image translate"&gt;&lt;/div&gt;&lt;/span&gt;</v>
      </c>
      <c r="S779" s="13" t="str">
        <f>INDEX($L:$L, MATCH("unrelated", $B:$B, 0))</f>
        <v>&lt;span class="w"&gt;&lt;b&gt;【992.unrelated：無関係の, 血縁関係がない】&lt;/b&gt;&lt;/span&gt;
&lt;span class="ml"&gt;近代英語にさかのぼり、以下の2つの要素から成る。
&lt;span class="spacer"&gt;&lt;/span&gt;un（否定）
related（関係のある）
&lt;span class="spacer"&gt;&lt;/span&gt;このまま日本語にすると「無関係の, 血縁関係がない」という意味になる。&lt;/span&gt;</v>
      </c>
      <c r="T779" s="13" t="str">
        <f>INDEX($L:$L, MATCH("legislation", $B:$B, 0))</f>
        <v>&lt;span class="w"&gt;&lt;b&gt;【1346.legislation：（不可算）立法, 法律】&lt;/b&gt;&lt;/span&gt;
&lt;span class="ml"&gt;ラテン語に由来する語で、以下の2つの要素から成る。
&lt;span class="spacer"&gt;&lt;/span&gt;legis（法律）
latio（運ぶこと）
&lt;span class="spacer"&gt;&lt;/span&gt;このまま日本語にすると「法律を運ぶこと」となる。そこから、法律を提出して成立させるプロセス＝「立法」という意味になる。また、議会で制定された法律のまとまりや法制度という意味で「法律」にもなる。
&lt;span class="spacer"&gt;&lt;/span&gt;このlation部分は、translateやrelateのlateと同じで、運ぶことを表す。
&lt;div class="sample_image legislation"&gt;&lt;/div&gt;&lt;/span&gt;</v>
      </c>
      <c r="AU779" s="15"/>
      <c r="AV779" s="1" t="s">
        <v>1502</v>
      </c>
      <c r="BG779" s="7" t="s">
        <v>1503</v>
      </c>
      <c r="BH779" s="1" t="s">
        <v>1947</v>
      </c>
      <c r="BI779" s="2" t="s">
        <v>4463</v>
      </c>
      <c r="BJ779" s="1" t="s">
        <v>1959</v>
      </c>
      <c r="BK779" s="2" t="s">
        <v>4464</v>
      </c>
      <c r="BL779" s="1" t="s">
        <v>1996</v>
      </c>
      <c r="BM779" s="2" t="s">
        <v>4465</v>
      </c>
      <c r="BN779" s="1" t="s">
        <v>1877</v>
      </c>
      <c r="BO779" s="2" t="s">
        <v>4466</v>
      </c>
    </row>
    <row r="780" spans="1:71" ht="108" x14ac:dyDescent="0.45">
      <c r="A780" s="5">
        <v>779</v>
      </c>
      <c r="B780" s="8" t="s">
        <v>544</v>
      </c>
      <c r="C780" s="6" t="s">
        <v>6851</v>
      </c>
      <c r="D780" s="7" t="s">
        <v>9752</v>
      </c>
      <c r="E780" s="1" t="s">
        <v>1938</v>
      </c>
      <c r="F780" s="1" t="s">
        <v>1687</v>
      </c>
      <c r="G780" s="1" t="s">
        <v>1551</v>
      </c>
      <c r="J780" s="1" t="s">
        <v>9753</v>
      </c>
      <c r="K780" s="2" t="s">
        <v>4467</v>
      </c>
      <c r="L780" s="2" t="s">
        <v>8808</v>
      </c>
      <c r="P780" s="7" t="s">
        <v>1241</v>
      </c>
      <c r="AV780" s="1" t="s">
        <v>1502</v>
      </c>
      <c r="BG780" s="7" t="s">
        <v>1503</v>
      </c>
      <c r="BH780" s="1" t="s">
        <v>1947</v>
      </c>
      <c r="BI780" s="1" t="s">
        <v>4468</v>
      </c>
      <c r="BJ780" s="1" t="s">
        <v>1967</v>
      </c>
      <c r="BK780" s="2" t="s">
        <v>4469</v>
      </c>
      <c r="BL780" s="1" t="s">
        <v>1994</v>
      </c>
      <c r="BM780" s="1" t="s">
        <v>4470</v>
      </c>
      <c r="BN780" s="1" t="s">
        <v>1996</v>
      </c>
      <c r="BO780" s="2" t="s">
        <v>4471</v>
      </c>
      <c r="BP780" s="1" t="s">
        <v>1877</v>
      </c>
      <c r="BQ780" s="2" t="s">
        <v>4472</v>
      </c>
    </row>
    <row r="781" spans="1:71" ht="144" x14ac:dyDescent="0.45">
      <c r="A781" s="5">
        <v>780</v>
      </c>
      <c r="B781" s="8" t="s">
        <v>545</v>
      </c>
      <c r="C781" s="6" t="s">
        <v>6851</v>
      </c>
      <c r="D781" s="7" t="s">
        <v>9752</v>
      </c>
      <c r="E781" s="1" t="s">
        <v>4473</v>
      </c>
      <c r="F781" s="1" t="s">
        <v>1541</v>
      </c>
      <c r="G781" s="1"/>
      <c r="J781" s="1" t="s">
        <v>9753</v>
      </c>
      <c r="K781" s="2" t="s">
        <v>8809</v>
      </c>
      <c r="L781" s="2" t="s">
        <v>8810</v>
      </c>
      <c r="M781" s="1" t="s">
        <v>12213</v>
      </c>
      <c r="P781" s="7" t="s">
        <v>1241</v>
      </c>
      <c r="Q781" s="13" t="str">
        <f>INDEX($L:$L, MATCH("literacy", $B:$B, 0))</f>
        <v>&lt;span class="w"&gt;&lt;b&gt;【742.literacy：読み書きの能力】&lt;/b&gt;&lt;/span&gt;
&lt;span class="ml"&gt;近代英語にさかのぼり、以下の2つの要素から成る。
&lt;span class="spacer"&gt;&lt;/span&gt;literate（読み書きのできる）
cy（名詞化）
&lt;span class="spacer"&gt;&lt;/span&gt;このまま日本語にすると「読み書きできること＝読み書きの能力」という意味になる。
&lt;span class="spacer"&gt;&lt;/span&gt;literateはラテン語に由来する語で、以下の2つの要素から成る。
&lt;span class="spacer"&gt;&lt;/span&gt;littera（文字：letterの語源）
atus（形容詞化）
&lt;span class="spacer"&gt;&lt;/span&gt;この語の核は「教育を受けて文字を知っている状態」。つまり教育によって文字の読み方と書き方を習っていて「読み書きできる」という意味になる。&lt;/span&gt;</v>
      </c>
      <c r="AU781" s="15"/>
      <c r="AV781" s="1" t="s">
        <v>1502</v>
      </c>
      <c r="BG781" s="7" t="s">
        <v>1503</v>
      </c>
      <c r="BH781" s="1" t="s">
        <v>1947</v>
      </c>
      <c r="BI781" s="2" t="s">
        <v>4474</v>
      </c>
      <c r="BJ781" s="1" t="s">
        <v>1996</v>
      </c>
      <c r="BK781" s="1" t="s">
        <v>4475</v>
      </c>
      <c r="BL781" s="1" t="s">
        <v>1877</v>
      </c>
      <c r="BM781" s="2" t="s">
        <v>4476</v>
      </c>
    </row>
    <row r="782" spans="1:71" ht="144" x14ac:dyDescent="0.45">
      <c r="A782" s="5">
        <v>781</v>
      </c>
      <c r="B782" s="8" t="s">
        <v>546</v>
      </c>
      <c r="C782" s="6" t="s">
        <v>6851</v>
      </c>
      <c r="D782" s="7" t="s">
        <v>9752</v>
      </c>
      <c r="E782" s="1" t="s">
        <v>1939</v>
      </c>
      <c r="F782" s="1" t="s">
        <v>1551</v>
      </c>
      <c r="G782" s="1"/>
      <c r="J782" s="1" t="s">
        <v>9753</v>
      </c>
      <c r="K782" s="2" t="s">
        <v>8811</v>
      </c>
      <c r="L782" s="2" t="s">
        <v>8812</v>
      </c>
      <c r="P782" s="7" t="s">
        <v>1241</v>
      </c>
      <c r="Q782" s="13" t="str">
        <f>INDEX($L:$L, MATCH("classify", $B:$B, 0))</f>
        <v>&lt;span class="w"&gt;&lt;b&gt;【927.classify：〜を分類する, 〜を機密扱いにする】&lt;/b&gt;&lt;/span&gt;
&lt;span class="ml"&gt;フランス語に由来する語で、以下の2つの要素から成る。
&lt;span class="spacer"&gt;&lt;/span&gt;class（クラス, 階級）
fier（動詞化）
&lt;span class="spacer"&gt;&lt;/span&gt;この語の核は「クラスに分ける」。そこから何かを「分類する」という意味になった。また現代のアメリカにて、ある情報を「機密扱いに分類する」という意味でも使われるようになった。&lt;/span&gt;</v>
      </c>
      <c r="AU782" s="15"/>
      <c r="AV782" s="1" t="s">
        <v>1502</v>
      </c>
      <c r="BG782" s="7" t="s">
        <v>1503</v>
      </c>
      <c r="BH782" s="1" t="s">
        <v>1947</v>
      </c>
      <c r="BI782" s="2" t="s">
        <v>8813</v>
      </c>
      <c r="BJ782" s="1" t="s">
        <v>1996</v>
      </c>
      <c r="BK782" s="2" t="s">
        <v>4477</v>
      </c>
      <c r="BL782" s="1" t="s">
        <v>1877</v>
      </c>
      <c r="BM782" s="2" t="s">
        <v>4478</v>
      </c>
    </row>
    <row r="783" spans="1:71" ht="270" x14ac:dyDescent="0.45">
      <c r="A783" s="5">
        <v>782</v>
      </c>
      <c r="B783" s="8" t="s">
        <v>547</v>
      </c>
      <c r="C783" s="6" t="s">
        <v>6851</v>
      </c>
      <c r="D783" s="7" t="s">
        <v>9752</v>
      </c>
      <c r="E783" s="1" t="s">
        <v>4479</v>
      </c>
      <c r="F783" s="1" t="s">
        <v>49</v>
      </c>
      <c r="G783" s="1"/>
      <c r="J783" s="1" t="s">
        <v>9753</v>
      </c>
      <c r="K783" s="2" t="s">
        <v>8814</v>
      </c>
      <c r="L783" s="2" t="s">
        <v>9959</v>
      </c>
      <c r="P783" s="7" t="s">
        <v>1241</v>
      </c>
      <c r="Q783" s="19" t="str">
        <f>INDEX($L:$L, MATCH("deliver", $B:$B, 0))</f>
        <v>&lt;span class="w"&gt;&lt;b&gt;【420.deliver：〜を配達する】&lt;/b&gt;&lt;/span&gt;
&lt;span class="ml"&gt;ラテン語に由来する語で、以下の2つの要素から成る。
&lt;span class="spacer"&gt;&lt;/span&gt;de（離れて）
liber（自由な）から派生したliberare（自由にする, 解放する）
&lt;span class="spacer"&gt;&lt;/span&gt;このまま日本語にすると「離して自由にする」となる。これは、何かを手元から手放すイメージ。そこから、物を相手へ渡すことを表し、「配達する」という意味になる。&lt;/span&gt;</v>
      </c>
      <c r="AU783" s="15"/>
      <c r="AV783" s="1" t="s">
        <v>1502</v>
      </c>
      <c r="BG783" s="7" t="s">
        <v>1503</v>
      </c>
      <c r="BH783" s="1" t="s">
        <v>1947</v>
      </c>
      <c r="BI783" s="2" t="s">
        <v>4480</v>
      </c>
      <c r="BJ783" s="1" t="s">
        <v>1959</v>
      </c>
      <c r="BK783" s="2" t="s">
        <v>4481</v>
      </c>
      <c r="BL783" s="1" t="s">
        <v>1875</v>
      </c>
      <c r="BM783" s="2" t="s">
        <v>4482</v>
      </c>
      <c r="BN783" s="1" t="s">
        <v>1877</v>
      </c>
      <c r="BO783" s="2" t="s">
        <v>4483</v>
      </c>
    </row>
    <row r="784" spans="1:71" ht="216" x14ac:dyDescent="0.45">
      <c r="A784" s="5">
        <v>783</v>
      </c>
      <c r="B784" s="8" t="s">
        <v>548</v>
      </c>
      <c r="C784" s="6" t="s">
        <v>6851</v>
      </c>
      <c r="D784" s="7" t="s">
        <v>9752</v>
      </c>
      <c r="E784" s="1" t="s">
        <v>46</v>
      </c>
      <c r="F784" s="1" t="s">
        <v>8989</v>
      </c>
      <c r="G784" s="1"/>
      <c r="J784" s="1" t="s">
        <v>9753</v>
      </c>
      <c r="K784" s="2"/>
      <c r="L784" s="3" t="s">
        <v>9040</v>
      </c>
      <c r="P784" s="7" t="s">
        <v>1241</v>
      </c>
      <c r="Q784" s="14" t="str">
        <f>INDEX($L:$L, MATCH("create", $B:$B, 0))</f>
        <v>&lt;span class="w"&gt;&lt;b&gt;【1.create：～を創造する, ～を引き起こす】&lt;/b&gt;&lt;/span&gt;
&lt;span class="ml"&gt;ラテン語creare（作る, 育てる, 生産する, 引き起こす）に由来する。
&lt;span class="spacer"&gt;&lt;/span&gt;ラテン語から意味の変化はほとんどなく、createは「何かを作り出す, 何かを引き起こす」という意味になる。&lt;/span&gt;</v>
      </c>
      <c r="R784" s="14" t="str">
        <f>INDEX($L:$L, MATCH("increase", $B:$B, 0))</f>
        <v>&lt;span class="w"&gt;&lt;b&gt;【2.increase：増加する, ～を増やす】&lt;/b&gt;&lt;/span&gt;
&lt;span class="ml"&gt;ラテン語に由来する語で、以下の2つの要素から成る。
&lt;span class="spacer"&gt;&lt;/span&gt;in（中に）
crescere（成長する）
&lt;span class="spacer"&gt;&lt;/span&gt;このまま日本語にすると「中に成長する」となる。これは木の芽（の内部）が膨らんで大きくなっていくことをイメージしてほしい。この成長して膨らんで大きくなっていくことから、大きさや数が膨れあがる＝「増加する, 増やす」という意味になる。
&lt;div class="sample_image increase"&gt;&lt;/div&gt;&lt;/span&gt;</v>
      </c>
      <c r="S784" s="13" t="str">
        <f>INDEX($L:$L, MATCH("decrease", $B:$B, 0))</f>
        <v>&lt;span class="w"&gt;&lt;b&gt;【223.decrease：減少する, ～を減らす】&lt;/b&gt;&lt;/span&gt;
&lt;span class="ml"&gt;ラテン語に由来する語で、以下の2つの要素から成る。
&lt;span class="spacer"&gt;&lt;/span&gt;de（離れて）
crescere（成長する）
&lt;span class="spacer"&gt;&lt;/span&gt;このまま日本語にすると「成長から離れる」となる。成長せず低下するイメージから「減少する, 減らす」という意味になる。&lt;/span&gt;</v>
      </c>
      <c r="T784" s="13" t="str">
        <f>INDEX($L:$L, MATCH("cereal", $B:$B, 0))</f>
        <v>&lt;span class="w"&gt;&lt;b&gt;【1456.cereal：穀物, シリアル（穀物加工食品）】&lt;/b&gt;&lt;/span&gt;
&lt;span class="ml"&gt;ラテン語に由来する語で、以下の2つの要素から成る。
&lt;span class="spacer"&gt;&lt;/span&gt;Ceres（ローマ神話の農業や穀物の女神ケレス）
alis（形容詞化）
&lt;span class="spacer"&gt;&lt;/span&gt;もともとは、ローマ神話における農業や穀物の女神ケレスを表した。そこから「穀物」そのものや、穀物から作られる加工食品「シリアル」という意味になった。
&lt;div class="sample_image cereal"&gt;&lt;/div&gt;&lt;/span&gt;</v>
      </c>
      <c r="U784" s="13" t="str">
        <f>INDEX($L:$L, MATCH("recruit", $B:$B, 0))</f>
        <v>&lt;span class="w"&gt;&lt;b&gt;【1232.recruit：〜を募集する】&lt;/b&gt;&lt;/span&gt;
&lt;span class="ml"&gt;古フランス語に由来する語で、以下の2つの要素から成る。
&lt;span class="spacer"&gt;&lt;/span&gt;re（再び）
creistre（成長する）
&lt;span class="spacer"&gt;&lt;/span&gt;このまま日本語にすると「再び成長する」となる。もともとは軍事において、負傷したり亡くなったりして人員が減ってしまった部隊を再び成長させるために、新しい兵士を募集することを表した。そこから軍事に限らず一般的に、目的のために必要な人材を「募集する」という意味になった。&lt;/span&gt;</v>
      </c>
      <c r="AU784" s="15"/>
      <c r="AV784" s="1" t="s">
        <v>1502</v>
      </c>
      <c r="BG784" s="7" t="s">
        <v>1503</v>
      </c>
      <c r="BH784" s="1" t="s">
        <v>1947</v>
      </c>
      <c r="BI784" s="2" t="s">
        <v>4484</v>
      </c>
      <c r="BJ784" s="1" t="s">
        <v>1875</v>
      </c>
      <c r="BK784" s="2" t="s">
        <v>4485</v>
      </c>
      <c r="BL784" s="1" t="s">
        <v>1877</v>
      </c>
      <c r="BM784" s="2" t="s">
        <v>4486</v>
      </c>
    </row>
    <row r="785" spans="1:67" ht="108" x14ac:dyDescent="0.45">
      <c r="A785" s="5">
        <v>784</v>
      </c>
      <c r="B785" s="8" t="s">
        <v>549</v>
      </c>
      <c r="C785" s="6" t="s">
        <v>6851</v>
      </c>
      <c r="D785" s="7" t="s">
        <v>9752</v>
      </c>
      <c r="E785" s="1" t="s">
        <v>549</v>
      </c>
      <c r="F785" s="1"/>
      <c r="G785" s="1"/>
      <c r="J785" s="1" t="s">
        <v>9753</v>
      </c>
      <c r="K785" s="2"/>
      <c r="L785" s="2" t="s">
        <v>8815</v>
      </c>
      <c r="P785" s="7" t="s">
        <v>1241</v>
      </c>
      <c r="AU785" s="15"/>
      <c r="AV785" s="1" t="s">
        <v>1502</v>
      </c>
      <c r="BG785" s="7" t="s">
        <v>1503</v>
      </c>
      <c r="BH785" s="1" t="s">
        <v>1875</v>
      </c>
      <c r="BI785" s="2" t="s">
        <v>4487</v>
      </c>
      <c r="BJ785" s="1" t="s">
        <v>1877</v>
      </c>
      <c r="BK785" s="2" t="s">
        <v>4488</v>
      </c>
    </row>
    <row r="786" spans="1:67" ht="216" x14ac:dyDescent="0.45">
      <c r="A786" s="5">
        <v>785</v>
      </c>
      <c r="B786" s="8" t="s">
        <v>550</v>
      </c>
      <c r="C786" s="6" t="s">
        <v>6851</v>
      </c>
      <c r="D786" s="7" t="s">
        <v>9752</v>
      </c>
      <c r="E786" s="1" t="s">
        <v>1940</v>
      </c>
      <c r="F786" s="1" t="s">
        <v>49</v>
      </c>
      <c r="G786" s="1"/>
      <c r="J786" s="1" t="s">
        <v>9753</v>
      </c>
      <c r="K786" s="2" t="s">
        <v>8816</v>
      </c>
      <c r="L786" s="2" t="s">
        <v>8817</v>
      </c>
      <c r="P786" s="7" t="s">
        <v>1241</v>
      </c>
      <c r="Q786" s="13" t="str">
        <f>INDEX($L:$L, MATCH("confidence", $B:$B, 0))</f>
        <v>&lt;span class="w"&gt;&lt;b&gt;【447.confidence：自信】&lt;/b&gt;&lt;/span&gt;
&lt;span class="ml"&gt;ラテン語に由来する語で、以下の2つの要素から成る。
&lt;span class="spacer"&gt;&lt;/span&gt;con（強意）
fidere（信頼する）
&lt;span class="spacer"&gt;&lt;/span&gt;このまま日本語にすると「完全に信頼する」となる。この信頼から生まれる「自信, 確信」というイメージ。&lt;/span&gt;</v>
      </c>
      <c r="R786" s="13" t="str">
        <f>INDEX($L:$L, MATCH("faith", $B:$B, 0))</f>
        <v>&lt;span class="w"&gt;&lt;b&gt;【857.faith：信頼, 信仰】&lt;/b&gt;&lt;/span&gt;
&lt;span class="ml"&gt;ラテン語fidere（信頼する）に由来する。
&lt;span class="spacer"&gt;&lt;/span&gt;根拠や証明よりも、相手や対象に対する信頼に基づいて真実だと受け入れることを表し、そこから「信頼」や、特に宗教における「信仰」という意味になった。&lt;/span&gt;</v>
      </c>
      <c r="AU786" s="15"/>
      <c r="AV786" s="1" t="s">
        <v>1502</v>
      </c>
      <c r="BG786" s="7" t="s">
        <v>1503</v>
      </c>
      <c r="BH786" s="1" t="s">
        <v>1947</v>
      </c>
      <c r="BI786" s="2" t="s">
        <v>4489</v>
      </c>
      <c r="BJ786" s="1" t="s">
        <v>2017</v>
      </c>
      <c r="BK786" s="1" t="s">
        <v>4490</v>
      </c>
      <c r="BL786" s="1" t="s">
        <v>1883</v>
      </c>
      <c r="BM786" s="2" t="s">
        <v>4491</v>
      </c>
    </row>
    <row r="787" spans="1:67" ht="126" x14ac:dyDescent="0.45">
      <c r="A787" s="5">
        <v>786</v>
      </c>
      <c r="B787" s="8" t="s">
        <v>551</v>
      </c>
      <c r="C787" s="6" t="s">
        <v>6851</v>
      </c>
      <c r="D787" s="7" t="s">
        <v>9752</v>
      </c>
      <c r="E787" s="1" t="s">
        <v>4494</v>
      </c>
      <c r="F787" s="1" t="s">
        <v>1528</v>
      </c>
      <c r="G787" s="1"/>
      <c r="J787" s="1" t="s">
        <v>9753</v>
      </c>
      <c r="K787" s="2"/>
      <c r="L787" s="2" t="s">
        <v>8818</v>
      </c>
      <c r="M787" s="1" t="s">
        <v>12211</v>
      </c>
      <c r="P787" s="7" t="s">
        <v>1241</v>
      </c>
      <c r="Q787" s="13" t="str">
        <f>INDEX($L:$L, MATCH("prime", $B:$B, 0))</f>
        <v>&lt;span class="w"&gt;&lt;b&gt;【579.prime：主要な, 最も重要な】&lt;/b&gt;&lt;/span&gt;
&lt;span class="ml"&gt;ラテン語primus（第一の, 主要な）に由来する。これは「前」を表すpri部分の最上級で「最も前」と考えればよい。
&lt;span class="spacer"&gt;&lt;/span&gt;「最も前」ということから、程度や重要性において第一、つまり「主要な, 最も重要な」という意味になる。&lt;/span&gt;</v>
      </c>
      <c r="R787" s="13" t="str">
        <f>INDEX($L:$L, MATCH("primate", $B:$B, 0))</f>
        <v>&lt;span class="w"&gt;&lt;b&gt;【775.primate：霊長類, 霊長目の動物】&lt;/b&gt;&lt;/span&gt;
&lt;span class="ml"&gt;ラテン語primus（第一の）に由来する。
&lt;span class="spacer"&gt;&lt;/span&gt;この語の核は「第一のもの」。もともとは、キリスト教において、教区内で聖職者の最高位である「大司教」を意味した。
&lt;span class="spacer"&gt;&lt;/span&gt;さらにそこから、近代において、あらゆる動物の中で哺乳類が最高位と見なされていたことから「霊長類, 霊長目の動物」という意味になり、こちらが一般的に使われるようになった。&lt;/span&gt;</v>
      </c>
      <c r="S787" s="13" t="str">
        <f>INDEX($L:$L, MATCH("principle", $B:$B, 0))</f>
        <v>&lt;span class="w"&gt;&lt;b&gt;【343.principle：原理, 原則, 主義, 信条】&lt;/b&gt;&lt;/span&gt;
&lt;span class="ml"&gt;ラテン語に由来する語で、以下の2つの要素から成る。
&lt;span class="spacer"&gt;&lt;/span&gt;primus（第一の）
capere（取る）
&lt;span class="spacer"&gt;&lt;/span&gt;このまま日本語にすると「第一を取る」となる。1番目のポジションを取ることから、何かが成り立つための土台＝「原理, 原則」や、行動の土台となる「主義, 信条」という意味になる。&lt;/span&gt;</v>
      </c>
      <c r="T787" s="13" t="str">
        <f>INDEX($L:$L, MATCH("principal", $B:$B, 0))</f>
        <v>&lt;span class="w"&gt;&lt;b&gt;【683.principal：主要な】&lt;/b&gt;&lt;/span&gt;
&lt;span class="ml"&gt;ラテン語に由来する語で、以下の3つの要素から成る。
&lt;span class="spacer"&gt;&lt;/span&gt;primus（第一の）
capere（取る）
alis（形容詞化）
&lt;span class="spacer"&gt;&lt;/span&gt;この語の核は「第一の位置を取る」。集団や集合の中における第一の位置とは、最も重要な位置ということ。ここから「主要な」という意味になる。&lt;/span&gt;</v>
      </c>
      <c r="AU787" s="15"/>
      <c r="AV787" s="1" t="s">
        <v>1502</v>
      </c>
      <c r="BG787" s="7" t="s">
        <v>1503</v>
      </c>
      <c r="BH787" s="1" t="s">
        <v>1947</v>
      </c>
      <c r="BI787" s="2" t="s">
        <v>4495</v>
      </c>
      <c r="BJ787" s="1" t="s">
        <v>1959</v>
      </c>
      <c r="BK787" s="2" t="s">
        <v>4496</v>
      </c>
      <c r="BL787" s="1" t="s">
        <v>1875</v>
      </c>
      <c r="BM787" s="2" t="s">
        <v>4497</v>
      </c>
      <c r="BN787" s="1" t="s">
        <v>1877</v>
      </c>
      <c r="BO787" s="2" t="s">
        <v>4498</v>
      </c>
    </row>
    <row r="788" spans="1:67" ht="144" x14ac:dyDescent="0.45">
      <c r="A788" s="5">
        <v>787</v>
      </c>
      <c r="B788" s="8" t="s">
        <v>552</v>
      </c>
      <c r="C788" s="6" t="s">
        <v>6851</v>
      </c>
      <c r="D788" s="7" t="s">
        <v>9752</v>
      </c>
      <c r="E788" s="1" t="s">
        <v>1941</v>
      </c>
      <c r="F788" s="1" t="s">
        <v>1942</v>
      </c>
      <c r="G788" s="1" t="s">
        <v>1542</v>
      </c>
      <c r="J788" s="1" t="s">
        <v>9753</v>
      </c>
      <c r="K788" s="2" t="s">
        <v>8819</v>
      </c>
      <c r="L788" s="2" t="s">
        <v>8820</v>
      </c>
      <c r="P788" s="7" t="s">
        <v>1241</v>
      </c>
      <c r="Q788" s="13" t="str">
        <f>INDEX($L:$L, MATCH("familiar", $B:$B, 0))</f>
        <v>&lt;span class="w"&gt;&lt;b&gt;【286.familiar：よく知っている（with）, よく知られている（to）】&lt;/b&gt;&lt;/span&gt;
&lt;span class="ml"&gt;ラテン語に由来する語で、以下の2つの要素から成る。
&lt;span class="spacer"&gt;&lt;/span&gt;familia（家族）
aris（形容詞化）
&lt;span class="spacer"&gt;&lt;/span&gt;「家族のような」というお互いのことをよく知っている関係であることから「よく知っている, よく知られている」という意味になる。
&lt;span class="spacer"&gt;&lt;/span&gt;何かを知っている場合
be familiar &lt;strong&gt;with&lt;/strong&gt; A
&lt;span class="spacer"&gt;&lt;/span&gt;何かに知られている場合
be familiar &lt;strong&gt;to&lt;/strong&gt; A
（be known to ~と関連させて覚える）&lt;/span&gt;</v>
      </c>
      <c r="AU788" s="15"/>
      <c r="AV788" s="1" t="s">
        <v>1502</v>
      </c>
      <c r="BG788" s="7" t="s">
        <v>1503</v>
      </c>
      <c r="BH788" s="1" t="s">
        <v>1877</v>
      </c>
      <c r="BI788" s="2" t="s">
        <v>4499</v>
      </c>
    </row>
    <row r="789" spans="1:67" ht="162" x14ac:dyDescent="0.45">
      <c r="A789" s="5">
        <v>788</v>
      </c>
      <c r="B789" s="8" t="s">
        <v>553</v>
      </c>
      <c r="C789" s="6" t="s">
        <v>6851</v>
      </c>
      <c r="D789" s="7" t="s">
        <v>9752</v>
      </c>
      <c r="E789" s="1" t="s">
        <v>4500</v>
      </c>
      <c r="F789" s="1" t="s">
        <v>4501</v>
      </c>
      <c r="G789" s="1"/>
      <c r="J789" s="1" t="s">
        <v>9753</v>
      </c>
      <c r="K789" s="2"/>
      <c r="L789" s="3" t="s">
        <v>9041</v>
      </c>
      <c r="P789" s="7" t="s">
        <v>1241</v>
      </c>
      <c r="Q789" s="13" t="str">
        <f>INDEX($L:$L, MATCH("context", $B:$B, 0))</f>
        <v>&lt;span class="w"&gt;&lt;b&gt;【263.context：文脈, 状況, 背景】&lt;/b&gt;&lt;/span&gt;
&lt;span class="ml"&gt;ラテン語に由来する語で、以下の2つの要素から成る。
&lt;span class="spacer"&gt;&lt;/span&gt;com（共に）
texere（織る）
&lt;span class="spacer"&gt;&lt;/span&gt;このまま日本語にすると「共に織る」となる。何かと何かを織り合わせていくことから、ある要素と別の要素がひとつになってできるものというイメージ。
&lt;span class="spacer"&gt;&lt;/span&gt;いくつもの文や話がひとつのストーリーになってできあがる「文脈」。また、様々な要素が重なってできあがる「状況, 背景（事情）」という意味にもなる。
&lt;div class="sample_image context"&gt;&lt;/div&gt;&lt;/span&gt;</v>
      </c>
      <c r="R789" s="13" t="str">
        <f>INDEX($L:$L, MATCH("tissue", $B:$B, 0))</f>
        <v>&lt;span class="w"&gt;&lt;b&gt;【765.tissue：（生物の）組織, ティッシュペーパー】&lt;/b&gt;&lt;/span&gt;
&lt;span class="ml"&gt;ラテン語texere（織る）に由来する。
&lt;span class="spacer"&gt;&lt;/span&gt;もともとは、薄くて軽いガーゼのような細かく織られた布地を表した。
&lt;span class="spacer"&gt;&lt;/span&gt;そして生物学において、動植物の細胞や繊維が、まるで布の目のように複雑に織り合わさって形作られていることから、生物の「組織」という意味になった。
&lt;span class="spacer"&gt;&lt;/span&gt;さらに1929年から薄くて柔らかい紙である「ティッシュペーパー」という意味になった。&lt;/span&gt;</v>
      </c>
      <c r="AU789" s="15"/>
      <c r="AV789" s="1" t="s">
        <v>1502</v>
      </c>
      <c r="BG789" s="7" t="s">
        <v>1503</v>
      </c>
      <c r="BH789" s="1" t="s">
        <v>1947</v>
      </c>
      <c r="BI789" s="2" t="s">
        <v>8821</v>
      </c>
      <c r="BJ789" s="1" t="s">
        <v>1959</v>
      </c>
      <c r="BK789" s="2" t="s">
        <v>4502</v>
      </c>
      <c r="BL789" s="1" t="s">
        <v>1875</v>
      </c>
      <c r="BM789" s="2" t="s">
        <v>4503</v>
      </c>
    </row>
    <row r="790" spans="1:67" ht="162" x14ac:dyDescent="0.45">
      <c r="A790" s="5">
        <v>789</v>
      </c>
      <c r="B790" s="8" t="s">
        <v>554</v>
      </c>
      <c r="C790" s="6" t="s">
        <v>6851</v>
      </c>
      <c r="D790" s="7" t="s">
        <v>9752</v>
      </c>
      <c r="E790" s="1" t="s">
        <v>554</v>
      </c>
      <c r="F790" s="1"/>
      <c r="G790" s="1"/>
      <c r="J790" s="1" t="s">
        <v>9753</v>
      </c>
      <c r="K790" s="2" t="s">
        <v>8822</v>
      </c>
      <c r="L790" s="2" t="s">
        <v>8823</v>
      </c>
      <c r="P790" s="7" t="s">
        <v>1241</v>
      </c>
      <c r="AV790" s="1" t="s">
        <v>1502</v>
      </c>
      <c r="BG790" s="7" t="s">
        <v>1503</v>
      </c>
      <c r="BH790" s="1" t="s">
        <v>1947</v>
      </c>
      <c r="BI790" s="1" t="s">
        <v>4504</v>
      </c>
      <c r="BJ790" s="1" t="s">
        <v>1959</v>
      </c>
      <c r="BK790" s="2" t="s">
        <v>4505</v>
      </c>
      <c r="BL790" s="1" t="s">
        <v>1875</v>
      </c>
      <c r="BM790" s="2" t="s">
        <v>4506</v>
      </c>
    </row>
    <row r="791" spans="1:67" ht="108" x14ac:dyDescent="0.45">
      <c r="A791" s="5">
        <v>790</v>
      </c>
      <c r="B791" s="8" t="s">
        <v>555</v>
      </c>
      <c r="C791" s="6" t="s">
        <v>6851</v>
      </c>
      <c r="D791" s="7" t="s">
        <v>9752</v>
      </c>
      <c r="E791" s="1" t="s">
        <v>1943</v>
      </c>
      <c r="F791" s="1" t="s">
        <v>1758</v>
      </c>
      <c r="G791" s="1"/>
      <c r="J791" s="1" t="s">
        <v>9753</v>
      </c>
      <c r="K791" s="2" t="s">
        <v>4507</v>
      </c>
      <c r="L791" s="2" t="s">
        <v>8824</v>
      </c>
      <c r="P791" s="7" t="s">
        <v>1241</v>
      </c>
      <c r="AU791" s="15"/>
      <c r="AV791" s="1" t="s">
        <v>1502</v>
      </c>
      <c r="BG791" s="7" t="s">
        <v>1503</v>
      </c>
      <c r="BH791" s="1" t="s">
        <v>1947</v>
      </c>
      <c r="BI791" s="2" t="s">
        <v>4508</v>
      </c>
      <c r="BJ791" s="1" t="s">
        <v>1959</v>
      </c>
      <c r="BK791" s="1" t="s">
        <v>4509</v>
      </c>
      <c r="BL791" s="1" t="s">
        <v>1875</v>
      </c>
      <c r="BM791" s="2" t="s">
        <v>4510</v>
      </c>
    </row>
    <row r="792" spans="1:67" ht="162" x14ac:dyDescent="0.45">
      <c r="A792" s="5">
        <v>791</v>
      </c>
      <c r="B792" s="8" t="s">
        <v>556</v>
      </c>
      <c r="C792" s="6" t="s">
        <v>6851</v>
      </c>
      <c r="D792" s="7" t="s">
        <v>9752</v>
      </c>
      <c r="E792" s="1" t="s">
        <v>1329</v>
      </c>
      <c r="F792" s="1" t="s">
        <v>1944</v>
      </c>
      <c r="G792" s="1" t="s">
        <v>1698</v>
      </c>
      <c r="J792" s="1" t="s">
        <v>9753</v>
      </c>
      <c r="K792" s="2" t="s">
        <v>4606</v>
      </c>
      <c r="L792" s="2" t="s">
        <v>12109</v>
      </c>
      <c r="M792" s="1" t="s">
        <v>12217</v>
      </c>
      <c r="P792" s="7" t="s">
        <v>1241</v>
      </c>
      <c r="Q792" s="13" t="str">
        <f>INDEX($L:$L, MATCH("transparent", $B:$B, 0))</f>
        <v>&lt;span class="w"&gt;&lt;b&gt;【1285.transparent：透明な】&lt;/b&gt;&lt;/span&gt;
&lt;span class="ml"&gt;ラテン語に由来する語で、以下の2つの要素から成る。
&lt;span class="spacer"&gt;&lt;/span&gt;trans（越えて, 通り抜けて）
parere（現れる）
&lt;span class="spacer"&gt;&lt;/span&gt;このまま日本語にすると「通り抜けて現れる」となる。ふつうは、ある物体Aの手前に別の物Bがあると、奥にあるAはBに遮られて見えなくなる。だがtransparentは、光が透けて奥にある物Aが現れることから「透明な」という意味になる。
&lt;span class="spacer"&gt;&lt;/span&gt;transparentのparent部分は、appearのpear部分と同じ。どちらもラテン語parere（現れる）に由来する。&lt;/span&gt;
&lt;div class="animation transparent"&gt;&lt;/div&gt;</v>
      </c>
      <c r="R792" s="13" t="str">
        <f>INDEX($L:$L, MATCH("peer", $B:$B, 0))</f>
        <v>&lt;span class="w"&gt;&lt;b&gt;【818.peer：目を凝らしてじっと見る】&lt;/b&gt;&lt;/span&gt;
&lt;span class="ml"&gt;起源不明だが、appearの語源である中英語aperenのapが省略されたparenに影響された可能性がある。視界に見え隠れするものを目を凝らして「じっと見る」というイメージで覚える。&lt;/span&gt;</v>
      </c>
      <c r="AU792" s="15"/>
      <c r="AV792" s="1" t="s">
        <v>1502</v>
      </c>
      <c r="BG792" s="7" t="s">
        <v>1503</v>
      </c>
      <c r="BH792" s="1" t="s">
        <v>1947</v>
      </c>
      <c r="BI792" s="2" t="s">
        <v>4511</v>
      </c>
      <c r="BJ792" s="1" t="s">
        <v>1959</v>
      </c>
      <c r="BK792" s="1" t="s">
        <v>4512</v>
      </c>
      <c r="BL792" s="1" t="s">
        <v>1875</v>
      </c>
      <c r="BM792" s="2" t="s">
        <v>4513</v>
      </c>
      <c r="BN792" s="1" t="s">
        <v>1877</v>
      </c>
      <c r="BO792" s="2" t="s">
        <v>4514</v>
      </c>
    </row>
    <row r="793" spans="1:67" ht="162" x14ac:dyDescent="0.45">
      <c r="A793" s="5">
        <v>792</v>
      </c>
      <c r="B793" s="8" t="s">
        <v>557</v>
      </c>
      <c r="C793" s="6" t="s">
        <v>6851</v>
      </c>
      <c r="D793" s="7" t="s">
        <v>9752</v>
      </c>
      <c r="E793" s="1" t="s">
        <v>1251</v>
      </c>
      <c r="F793" s="1" t="s">
        <v>4515</v>
      </c>
      <c r="G793" s="1"/>
      <c r="J793" s="1" t="s">
        <v>9753</v>
      </c>
      <c r="K793" s="2"/>
      <c r="L793" s="2" t="s">
        <v>8825</v>
      </c>
      <c r="P793" s="7" t="s">
        <v>1241</v>
      </c>
      <c r="AU793" s="15"/>
      <c r="AV793" s="1" t="s">
        <v>1502</v>
      </c>
      <c r="BG793" s="7" t="s">
        <v>1503</v>
      </c>
      <c r="BH793" s="1" t="s">
        <v>1947</v>
      </c>
      <c r="BI793" s="2" t="s">
        <v>8826</v>
      </c>
      <c r="BJ793" s="1" t="s">
        <v>1877</v>
      </c>
      <c r="BK793" s="2" t="s">
        <v>4516</v>
      </c>
    </row>
    <row r="794" spans="1:67" ht="126" x14ac:dyDescent="0.45">
      <c r="A794" s="5">
        <v>793</v>
      </c>
      <c r="B794" s="8" t="s">
        <v>558</v>
      </c>
      <c r="C794" s="6" t="s">
        <v>6851</v>
      </c>
      <c r="D794" s="7" t="s">
        <v>9752</v>
      </c>
      <c r="E794" s="1" t="s">
        <v>1689</v>
      </c>
      <c r="F794" s="1" t="s">
        <v>1541</v>
      </c>
      <c r="G794" s="1"/>
      <c r="J794" s="1" t="s">
        <v>9753</v>
      </c>
      <c r="K794" s="2" t="s">
        <v>8827</v>
      </c>
      <c r="L794" s="2" t="s">
        <v>8828</v>
      </c>
      <c r="P794" s="7" t="s">
        <v>1241</v>
      </c>
      <c r="Q794" s="13" t="str">
        <f>INDEX($L:$L, MATCH("contemporary", $B:$B, 0))</f>
        <v>&lt;span class="w"&gt;&lt;b&gt;【487.contemporary：現代の, 同時代の】&lt;/b&gt;&lt;/span&gt;
&lt;span class="ml"&gt;ラテン語に由来する語で、以下の3つの要素から成る。
&lt;span class="spacer"&gt;&lt;/span&gt;com（共に）
tempus（時間）
arius（形容詞化）
&lt;span class="spacer"&gt;&lt;/span&gt;このまま日本語にすると「共通の時間の」となる。つまり、同じ時間を共にしていることから「同時代の」という意味になる。また、いま現在の時間を共にしていることから「現代の」という意味にもなる。&lt;/span&gt;</v>
      </c>
      <c r="AU794" s="15"/>
      <c r="AV794" s="1" t="s">
        <v>1502</v>
      </c>
      <c r="BG794" s="7" t="s">
        <v>1503</v>
      </c>
      <c r="BH794" s="1" t="s">
        <v>1947</v>
      </c>
      <c r="BI794" s="2" t="s">
        <v>4517</v>
      </c>
      <c r="BJ794" s="1" t="s">
        <v>1877</v>
      </c>
      <c r="BK794" s="2" t="s">
        <v>4518</v>
      </c>
    </row>
    <row r="795" spans="1:67" ht="90" x14ac:dyDescent="0.45">
      <c r="A795" s="5">
        <v>794</v>
      </c>
      <c r="B795" s="8" t="s">
        <v>559</v>
      </c>
      <c r="C795" s="6" t="s">
        <v>6851</v>
      </c>
      <c r="D795" s="7" t="s">
        <v>9752</v>
      </c>
      <c r="E795" s="1" t="s">
        <v>1945</v>
      </c>
      <c r="F795" s="1" t="s">
        <v>1946</v>
      </c>
      <c r="G795" s="1"/>
      <c r="J795" s="1" t="s">
        <v>9753</v>
      </c>
      <c r="K795" s="2" t="s">
        <v>8829</v>
      </c>
      <c r="L795" s="2" t="s">
        <v>8830</v>
      </c>
      <c r="P795" s="7" t="s">
        <v>1241</v>
      </c>
      <c r="AU795" s="15"/>
      <c r="AV795" s="1" t="s">
        <v>1502</v>
      </c>
      <c r="BG795" s="7" t="s">
        <v>1503</v>
      </c>
      <c r="BH795" s="1" t="s">
        <v>1872</v>
      </c>
      <c r="BI795" s="2" t="s">
        <v>4519</v>
      </c>
      <c r="BJ795" s="1" t="s">
        <v>1875</v>
      </c>
      <c r="BK795" s="2" t="s">
        <v>4520</v>
      </c>
      <c r="BL795" s="1" t="s">
        <v>1877</v>
      </c>
      <c r="BM795" s="2" t="s">
        <v>4521</v>
      </c>
    </row>
    <row r="796" spans="1:67" ht="108" x14ac:dyDescent="0.45">
      <c r="A796" s="5">
        <v>795</v>
      </c>
      <c r="B796" s="6" t="s">
        <v>560</v>
      </c>
      <c r="C796" s="6" t="s">
        <v>6851</v>
      </c>
      <c r="D796" s="7" t="s">
        <v>9752</v>
      </c>
      <c r="E796" s="1" t="s">
        <v>4522</v>
      </c>
      <c r="F796" s="1" t="s">
        <v>49</v>
      </c>
      <c r="G796" s="1"/>
      <c r="J796" s="1" t="s">
        <v>9753</v>
      </c>
      <c r="K796" s="2" t="s">
        <v>8831</v>
      </c>
      <c r="L796" s="2" t="s">
        <v>8832</v>
      </c>
      <c r="P796" s="7" t="s">
        <v>1241</v>
      </c>
      <c r="AU796" s="15"/>
      <c r="AV796" s="1" t="s">
        <v>1502</v>
      </c>
      <c r="BG796" s="7" t="s">
        <v>1503</v>
      </c>
      <c r="BH796" s="1" t="s">
        <v>1976</v>
      </c>
      <c r="BI796" s="2" t="s">
        <v>4523</v>
      </c>
      <c r="BJ796" s="1" t="s">
        <v>1947</v>
      </c>
      <c r="BK796" s="2" t="s">
        <v>4524</v>
      </c>
      <c r="BL796" s="1" t="s">
        <v>1959</v>
      </c>
      <c r="BM796" s="1" t="s">
        <v>4525</v>
      </c>
      <c r="BN796" s="1" t="s">
        <v>1875</v>
      </c>
      <c r="BO796" s="2" t="s">
        <v>4526</v>
      </c>
    </row>
    <row r="797" spans="1:67" ht="108" x14ac:dyDescent="0.45">
      <c r="A797" s="5">
        <v>796</v>
      </c>
      <c r="B797" s="6" t="s">
        <v>561</v>
      </c>
      <c r="C797" s="6" t="s">
        <v>6851</v>
      </c>
      <c r="D797" s="7" t="s">
        <v>9752</v>
      </c>
      <c r="E797" s="1" t="s">
        <v>561</v>
      </c>
      <c r="F797" s="1"/>
      <c r="G797" s="1"/>
      <c r="J797" s="1" t="s">
        <v>9753</v>
      </c>
      <c r="K797" s="2" t="s">
        <v>8833</v>
      </c>
      <c r="L797" s="2" t="s">
        <v>8834</v>
      </c>
      <c r="P797" s="7" t="s">
        <v>1241</v>
      </c>
      <c r="AV797" s="1" t="s">
        <v>1502</v>
      </c>
      <c r="BG797" s="7" t="s">
        <v>1503</v>
      </c>
      <c r="BH797" s="1" t="s">
        <v>1947</v>
      </c>
      <c r="BI797" s="1" t="s">
        <v>4527</v>
      </c>
      <c r="BJ797" s="1" t="s">
        <v>1959</v>
      </c>
      <c r="BK797" s="1" t="s">
        <v>4528</v>
      </c>
      <c r="BL797" s="1" t="s">
        <v>1875</v>
      </c>
      <c r="BM797" s="2" t="s">
        <v>4529</v>
      </c>
    </row>
    <row r="798" spans="1:67" ht="126" x14ac:dyDescent="0.45">
      <c r="A798" s="5">
        <v>797</v>
      </c>
      <c r="B798" s="8" t="s">
        <v>562</v>
      </c>
      <c r="C798" s="6" t="s">
        <v>6851</v>
      </c>
      <c r="D798" s="7" t="s">
        <v>9752</v>
      </c>
      <c r="E798" s="1" t="s">
        <v>27</v>
      </c>
      <c r="F798" s="1" t="s">
        <v>4530</v>
      </c>
      <c r="G798" s="1" t="s">
        <v>4531</v>
      </c>
      <c r="J798" s="1" t="s">
        <v>9753</v>
      </c>
      <c r="K798" s="2"/>
      <c r="L798" s="2" t="s">
        <v>8835</v>
      </c>
      <c r="P798" s="7" t="s">
        <v>1241</v>
      </c>
      <c r="Q798" s="13" t="str">
        <f>INDEX($L:$L, MATCH("grant", $B:$B, 0))</f>
        <v>&lt;span class="w"&gt;&lt;b&gt;【511.grant：（人）に（許可・権利など）を与える, 〜を認める】&lt;/b&gt;&lt;/span&gt;
&lt;span class="ml"&gt;ラテン語credere（信じる）に由来する。
&lt;span class="spacer"&gt;&lt;/span&gt;相手を信用するから「許可や権利を与える, 認める」という意味になる。
&lt;span class="spacer"&gt;&lt;/span&gt;［take A for granted］
これはtake A for B（AをBと受け取る）のBにgrantedが入っている形。grantedは「すでに与えられているもの, 認められているもの」から「当然のもの」を意味する。ここから「Aを当然のこととして受け取る」となる。
&lt;div class="sample_image grant"&gt;&lt;/div&gt;&lt;/span&gt;</v>
      </c>
      <c r="R798" s="13" t="str">
        <f>INDEX($L:$L, MATCH("credit", $B:$B, 0))</f>
        <v>&lt;span class="w"&gt;&lt;b&gt;【518.credit：〜を信じる, （功績などを）〜に帰属させる】&lt;/b&gt;&lt;/span&gt;
&lt;span class="ml"&gt;ラテン語credere（信じる）に由来する。
&lt;span class="spacer"&gt;&lt;/span&gt;「対象を信じる」という意味はラテン語と変わらない。しかし英語では、ここから発展して、信頼によって功績と人や物を結びつける、つまり「（功績などを）〜に帰属させる」という意味にもなった。&lt;/span&gt;</v>
      </c>
      <c r="AV798" s="1" t="s">
        <v>1502</v>
      </c>
      <c r="BG798" s="7" t="s">
        <v>1503</v>
      </c>
      <c r="BH798" s="1" t="s">
        <v>1976</v>
      </c>
      <c r="BI798" s="1" t="s">
        <v>4532</v>
      </c>
      <c r="BJ798" s="1" t="s">
        <v>1947</v>
      </c>
      <c r="BK798" s="2" t="s">
        <v>4533</v>
      </c>
      <c r="BL798" s="1" t="s">
        <v>1875</v>
      </c>
      <c r="BM798" s="2" t="s">
        <v>4534</v>
      </c>
    </row>
    <row r="799" spans="1:67" ht="126" x14ac:dyDescent="0.45">
      <c r="A799" s="5">
        <v>798</v>
      </c>
      <c r="B799" s="6" t="s">
        <v>563</v>
      </c>
      <c r="C799" s="6" t="s">
        <v>6851</v>
      </c>
      <c r="D799" s="7" t="s">
        <v>9752</v>
      </c>
      <c r="E799" s="1" t="s">
        <v>563</v>
      </c>
      <c r="F799" s="1"/>
      <c r="G799" s="1"/>
      <c r="J799" s="1" t="s">
        <v>9753</v>
      </c>
      <c r="K799" s="2"/>
      <c r="L799" s="2" t="s">
        <v>8836</v>
      </c>
      <c r="P799" s="7" t="s">
        <v>1241</v>
      </c>
      <c r="Q799" s="13" t="str">
        <f>INDEX($L:$L, MATCH("acute", $B:$B, 0))</f>
        <v>&lt;span class="w"&gt;&lt;b&gt;【1486.acute：痛みや感情などが激しい, 知覚などが鋭い, 急性の】&lt;/b&gt;&lt;/span&gt;
&lt;span class="ml"&gt;ラテン語acuere（鋭くする）の過去分詞actus（鋭い, 尖った）に由来する。
&lt;span class="spacer"&gt;&lt;/span&gt;この語の核は「鋭い」。物理的に鋭い・尖っているということから比喩的に、病気が一気に進展する様子を表して「急性の」という意味になった。
&lt;span class="spacer"&gt;&lt;/span&gt;また、知覚や洞察などが「鋭い」、痛みや感情が尖っていて「激しい」という意味になった。
&lt;div class="sample_image acute"&gt;&lt;/div&gt;&lt;/span&gt;</v>
      </c>
      <c r="AV799" s="1" t="s">
        <v>1502</v>
      </c>
      <c r="BG799" s="7" t="s">
        <v>1503</v>
      </c>
      <c r="BH799" s="1" t="s">
        <v>1947</v>
      </c>
      <c r="BI799" s="1" t="s">
        <v>4535</v>
      </c>
      <c r="BJ799" s="1" t="s">
        <v>2026</v>
      </c>
      <c r="BK799" s="1" t="s">
        <v>4536</v>
      </c>
      <c r="BL799" s="1" t="s">
        <v>1959</v>
      </c>
      <c r="BM799" s="1" t="s">
        <v>4537</v>
      </c>
      <c r="BN799" s="1" t="s">
        <v>1875</v>
      </c>
      <c r="BO799" s="2" t="s">
        <v>4538</v>
      </c>
    </row>
    <row r="800" spans="1:67" ht="270" x14ac:dyDescent="0.45">
      <c r="A800" s="5">
        <v>799</v>
      </c>
      <c r="B800" s="8" t="s">
        <v>564</v>
      </c>
      <c r="C800" s="6" t="s">
        <v>6851</v>
      </c>
      <c r="D800" s="7" t="s">
        <v>9752</v>
      </c>
      <c r="E800" s="1" t="s">
        <v>1459</v>
      </c>
      <c r="F800" s="1" t="s">
        <v>4539</v>
      </c>
      <c r="G800" s="1"/>
      <c r="J800" s="1" t="s">
        <v>9753</v>
      </c>
      <c r="K800" s="2" t="s">
        <v>8837</v>
      </c>
      <c r="L800" s="2" t="s">
        <v>10357</v>
      </c>
      <c r="M800" s="1" t="s">
        <v>12190</v>
      </c>
      <c r="P800" s="7" t="s">
        <v>1241</v>
      </c>
      <c r="Q800" s="13" t="str">
        <f>INDEX($L:$L, MATCH("equal", $B:$B, 0))</f>
        <v>&lt;span class="w"&gt;&lt;b&gt;【290.equal：等しい, 匹敵する】&lt;/b&gt;&lt;/span&gt;
&lt;span class="ml"&gt;ラテン語に由来する語で、以下の2つの要素から成る。
&lt;span class="spacer"&gt;&lt;/span&gt;aequus（平らな, 均一な）
alis（形容詞）
&lt;span class="spacer"&gt;&lt;/span&gt;「平らな, 均一な」つまり比較したときに同じ高さであるイメージから「等しい, 匹敵する」という意味になる。&lt;/span&gt;</v>
      </c>
      <c r="R800" s="13" t="str">
        <f>INDEX($L:$L, MATCH("inequality", $B:$B, 0))</f>
        <v>&lt;span class="w"&gt;&lt;b&gt;【767.inequality：不平等】&lt;/b&gt;&lt;/span&gt;
&lt;span class="ml"&gt;ラテン語に由来する語で、以下の4つの要素から成る。
&lt;span class="spacer"&gt;&lt;/span&gt;in（否定）
aequus（平らな, 均一な）
alis（形容詞化）
itas（名詞化）
&lt;span class="spacer"&gt;&lt;/span&gt;このまま日本語にすると「平らではないこと, 均一ではないこと」となる。そこから「不平等」という意味になる｡&lt;/span&gt;</v>
      </c>
      <c r="AU800" s="15"/>
      <c r="AV800" s="1" t="s">
        <v>1502</v>
      </c>
      <c r="BG800" s="7" t="s">
        <v>1503</v>
      </c>
      <c r="BH800" s="1" t="s">
        <v>1947</v>
      </c>
      <c r="BI800" s="2" t="s">
        <v>8838</v>
      </c>
      <c r="BJ800" s="1" t="s">
        <v>1877</v>
      </c>
      <c r="BK800" s="2" t="s">
        <v>4540</v>
      </c>
    </row>
    <row r="801" spans="1:71" ht="72" x14ac:dyDescent="0.45">
      <c r="A801" s="5">
        <v>800</v>
      </c>
      <c r="B801" s="8" t="s">
        <v>565</v>
      </c>
      <c r="C801" s="6" t="s">
        <v>6852</v>
      </c>
      <c r="D801" s="7" t="s">
        <v>9752</v>
      </c>
      <c r="E801" s="1" t="s">
        <v>565</v>
      </c>
      <c r="F801" s="1"/>
      <c r="G801" s="1"/>
      <c r="J801" s="1" t="s">
        <v>9753</v>
      </c>
      <c r="K801" s="2"/>
      <c r="L801" s="2" t="s">
        <v>8839</v>
      </c>
      <c r="M801" s="1" t="s">
        <v>12188</v>
      </c>
      <c r="P801" s="7" t="s">
        <v>1241</v>
      </c>
      <c r="Q801" s="13" t="str">
        <f>INDEX($L:$L, MATCH("obvious", $B:$B, 0))</f>
        <v>&lt;span class="w"&gt;&lt;b&gt;【287.obvious：明らかな】&lt;/b&gt;&lt;/span&gt;
&lt;span class="ml"&gt;ラテン語に由来する語で、以下の3つの要素から成る。
&lt;span class="spacer"&gt;&lt;/span&gt;ob（前に, ～に対して）
via（道）
us（形容詞化）
&lt;span class="spacer"&gt;&lt;/span&gt;このまま日本語にすると「道に, 行く手に」となる。道の上に何かが置かれているイメージから、一目見てわかる＝「明らかな, はっきり見える」という意味になる。
&lt;div class="sample_image obvious"&gt;&lt;/div&gt;&lt;/span&gt;</v>
      </c>
      <c r="R801" s="13" t="str">
        <f>INDEX($L:$L, MATCH("previous", $B:$B, 0))</f>
        <v>&lt;span class="w"&gt;&lt;b&gt;【291.previous：以前の, 前の】&lt;/b&gt;&lt;/span&gt;
&lt;span class="ml"&gt;ラテン語に由来する語で、以下の3つの要素から成る。
&lt;span class="spacer"&gt;&lt;/span&gt;prae（前に, 以前に）
via（道）
us（形容詞化）
&lt;span class="spacer"&gt;&lt;/span&gt;このまま日本語にすると「道の前」となる。これは道の先を行くイメージ。時間を道にたとえると、未来が現在を通過して過去になる。道の先を行くということは、先に現在を通過しているということなので、時系列において既に起こっている。ここから「以前の, 前の」という意味になる。
&lt;div class="sample_image previous"&gt;&lt;/div&gt;&lt;/span&gt;</v>
      </c>
      <c r="S801" s="13" t="str">
        <f>INDEX($L:$L, MATCH("convey", $B:$B, 0))</f>
        <v>&lt;span class="w"&gt;&lt;b&gt;【621.convey：〜を伝える, 〜を運ぶ】&lt;/b&gt;&lt;/span&gt;
&lt;span class="ml"&gt;ラテン語に由来する語で、以下の2つの要素から成る。
&lt;span class="spacer"&gt;&lt;/span&gt;com（共に）
via（道）
&lt;span class="spacer"&gt;&lt;/span&gt;このまま日本語にすると「道を共に」となる。もともとは、誰かに付き添って同行することを表したが、そこから人や物を伴って移動する、つまり「運ぶ」という意味になった。さらに抽象化して、具体的な物ではなく、情報や感情を「伝える」という意味になった。&lt;/span&gt;</v>
      </c>
      <c r="T801" s="13" t="str">
        <f>INDEX($L:$L, MATCH("trivial", $B:$B, 0))</f>
        <v>&lt;span class="w"&gt;&lt;b&gt;【1297.trivial：ささいな, 取るに足りない】&lt;/b&gt;&lt;/span&gt;
&lt;span class="ml"&gt;ラテン語に由来する語で、以下の2つの要素から成る。
&lt;span class="spacer"&gt;&lt;/span&gt;tri（3）
via（道）
alis（形容詞化）
&lt;span class="spacer"&gt;&lt;/span&gt;もともとは、3つの道が交わる場所（三叉路）を表した。古代ローマにおいて、三叉路は人々が行き交う非常に公共性の高い場所で、自然と立ち話や情報交換の場になった。そこで話される内容は、たいして重要ではない日常の噂話やありふれた世間話ばかりだったことから「ささいな, 取るに足りない」という意味になった。&lt;/span&gt;</v>
      </c>
      <c r="AV801" s="1" t="s">
        <v>1502</v>
      </c>
      <c r="BG801" s="7" t="s">
        <v>1503</v>
      </c>
      <c r="BH801" s="1" t="s">
        <v>1976</v>
      </c>
      <c r="BI801" s="1" t="s">
        <v>4541</v>
      </c>
      <c r="BJ801" s="1" t="s">
        <v>1947</v>
      </c>
      <c r="BK801" s="1" t="s">
        <v>4542</v>
      </c>
      <c r="BL801" s="1" t="s">
        <v>1877</v>
      </c>
      <c r="BM801" s="2" t="s">
        <v>4543</v>
      </c>
    </row>
    <row r="802" spans="1:71" ht="180" x14ac:dyDescent="0.45">
      <c r="A802" s="5">
        <v>801</v>
      </c>
      <c r="B802" s="8" t="s">
        <v>566</v>
      </c>
      <c r="C802" s="6" t="s">
        <v>1816</v>
      </c>
      <c r="D802" s="7" t="s">
        <v>9752</v>
      </c>
      <c r="E802" s="1" t="s">
        <v>1392</v>
      </c>
      <c r="F802" s="1" t="s">
        <v>4544</v>
      </c>
      <c r="G802" s="1"/>
      <c r="J802" s="1" t="s">
        <v>9753</v>
      </c>
      <c r="K802" s="2"/>
      <c r="L802" s="3" t="s">
        <v>9042</v>
      </c>
      <c r="M802" s="1" t="s">
        <v>12198</v>
      </c>
      <c r="P802" s="7" t="s">
        <v>1241</v>
      </c>
      <c r="Q802" s="13" t="str">
        <f>INDEX($L:$L, MATCH("possess", $B:$B, 0))</f>
        <v>&lt;span class="w"&gt;&lt;b&gt;【701.possess：〜を所有する, 心をとらえる】&lt;/b&gt;&lt;/span&gt;
&lt;span class="ml"&gt;ラテン語に由来する語で、以下の2つの要素から成る。
&lt;span class="spacer"&gt;&lt;/span&gt;potis（力をもつ, 可能な）
sedere（座る）
&lt;span class="spacer"&gt;&lt;/span&gt;このまま日本語にすると「力をもった状態で座る」となる。ある場所に支配的に居座るイメージから、その場所を占有する、そして何かのものを「所有する」という意味になる。
&lt;span class="spacer"&gt;&lt;/span&gt;また比喩的に、相手の心を所有することから「心をとらえる」という意味にもなる。
&lt;div class="sample_image possess"&gt;&lt;/div&gt;&lt;/span&gt;</v>
      </c>
      <c r="R802" s="13" t="str">
        <f>INDEX($L:$L, MATCH("session", $B:$B, 0))</f>
        <v>&lt;span class="w"&gt;&lt;b&gt;【758.session：集まり, 会期, 議会】&lt;/b&gt;&lt;/span&gt;
&lt;span class="ml"&gt;ラテン語に由来する語で、以下の2つの要素から成る。
&lt;span class="spacer"&gt;&lt;/span&gt;sedere（座る）
io（名詞化）
&lt;span class="spacer"&gt;&lt;/span&gt;このまま日本語にすると「座ること」となる。この語の核は「集まって座って何かをすること」。
&lt;span class="spacer"&gt;&lt;/span&gt;もともとは、古代ローマなどにおいて裁判官や議員などの公職者が、話し合いや審議のために所定の席に座ることを表した。そこから、何かの目的のための「集まり」や「議会」、またその期間である「会期」という意味になった。&lt;/span&gt;</v>
      </c>
      <c r="S802" s="13" t="str">
        <f>INDEX($L:$L, MATCH("resident", $B:$B, 0))</f>
        <v>&lt;span class="w"&gt;&lt;b&gt;【353.resident：居住者, 住民】&lt;/b&gt;&lt;/span&gt;
&lt;span class="ml"&gt;ラテン語に由来する語で、以下の2つの要素から成る。
&lt;span class="spacer"&gt;&lt;/span&gt;re（再び）
sedere（座る）
&lt;span class="spacer"&gt;&lt;/span&gt;このまま日本語にすると「再び座る」となる。これは何度も同じ場所に座るということから、ある場所に留まっている＝定住している「居住者, 住民」という意味になる。
&lt;div class="sample_image resident"&gt;&lt;/div&gt;&lt;/span&gt;</v>
      </c>
      <c r="T802" s="13" t="str">
        <f>INDEX($L:$L, MATCH("settle", $B:$B, 0))</f>
        <v>&lt;span class="w"&gt;&lt;b&gt;【411.settle：〜を解決する, 定住する, 〜を落ち着かせる】&lt;/b&gt;&lt;/span&gt;
&lt;span class="ml"&gt;古英語setl（座席）から派生した動詞setlan（座席に座らせる, 固定位置に置く）にさかのぼる。
&lt;span class="spacer"&gt;&lt;/span&gt;この語は、何かをある場所に置いて動かないようにするイメージ。そこから、人の気持ちを「落ち着かせる」、ある場所に落ち着く＝「定住する」、物事を落ち着かせる＝「解決する」という意味になる。
&lt;div class="sample_image settle"&gt;&lt;/div&gt;&lt;/span&gt;</v>
      </c>
      <c r="AU802" s="15"/>
      <c r="AV802" s="1" t="s">
        <v>1502</v>
      </c>
      <c r="BG802" s="7" t="s">
        <v>1503</v>
      </c>
      <c r="BH802" s="1" t="s">
        <v>1947</v>
      </c>
      <c r="BI802" s="2" t="s">
        <v>4545</v>
      </c>
      <c r="BJ802" s="1" t="s">
        <v>1967</v>
      </c>
      <c r="BK802" s="2" t="s">
        <v>4546</v>
      </c>
      <c r="BL802" s="1" t="s">
        <v>2114</v>
      </c>
      <c r="BM802" s="1" t="s">
        <v>4547</v>
      </c>
      <c r="BN802" s="1" t="s">
        <v>1875</v>
      </c>
      <c r="BO802" s="2" t="s">
        <v>4548</v>
      </c>
      <c r="BP802" s="1" t="s">
        <v>1877</v>
      </c>
      <c r="BQ802" s="2" t="s">
        <v>4549</v>
      </c>
      <c r="BR802" s="1" t="s">
        <v>3496</v>
      </c>
      <c r="BS802" s="2" t="s">
        <v>4550</v>
      </c>
    </row>
    <row r="803" spans="1:71" ht="198" x14ac:dyDescent="0.45">
      <c r="A803" s="5">
        <v>802</v>
      </c>
      <c r="B803" s="6" t="s">
        <v>567</v>
      </c>
      <c r="C803" s="6" t="s">
        <v>1816</v>
      </c>
      <c r="D803" s="7" t="s">
        <v>9752</v>
      </c>
      <c r="E803" s="1" t="s">
        <v>1329</v>
      </c>
      <c r="F803" s="1" t="s">
        <v>104</v>
      </c>
      <c r="G803" s="1"/>
      <c r="J803" s="1" t="s">
        <v>9753</v>
      </c>
      <c r="K803" s="2" t="s">
        <v>9043</v>
      </c>
      <c r="L803" s="3" t="s">
        <v>9044</v>
      </c>
      <c r="P803" s="7" t="s">
        <v>1241</v>
      </c>
      <c r="Q803" s="13" t="str">
        <f>INDEX($L:$L, MATCH("prove", $B:$B, 0))</f>
        <v>&lt;span class="w"&gt;&lt;b&gt;【126.prove：～を証明する, 判明する】&lt;/b&gt;&lt;/span&gt;
&lt;span class="ml"&gt;ラテン語probus（善良な, 立派な, 正直な）から派生したprobare（信頼できるものと示す, 試す）に由来する。
&lt;span class="spacer"&gt;&lt;/span&gt;試して示すことから何かを「証明する」という意味になる。またその結果「判明する」となる。&lt;/span&gt;</v>
      </c>
      <c r="R803" s="13" t="str">
        <f>INDEX($L:$L, MATCH("probable", $B:$B, 0))</f>
        <v>&lt;span class="w"&gt;&lt;b&gt;【1385.probable：十分にありそうな】&lt;/b&gt;&lt;/span&gt;
&lt;span class="ml"&gt;ラテン語に由来する語で、以下の2つの要素から成る。
&lt;span class="spacer"&gt;&lt;/span&gt;probare（試す, 証明する）
bilis（〜できる）
&lt;span class="spacer"&gt;&lt;/span&gt;もともとは、何かを試して実際に確かめることができる、正しいと認められるということを表した。たとえば、ある主張内容を確かめることができて、それが問題なく成立するということは、その主張は正しく妥当であると判断される。
&lt;span class="spacer"&gt;&lt;/span&gt;そこから、ある主張や予想に関して、それが妥当であると考えられる、つまり事実である可能性や現実に起こる可能性が高いということを表して「十分にありそうな」という意味になった。&lt;/span&gt;</v>
      </c>
      <c r="AU803" s="15"/>
      <c r="AV803" s="1" t="s">
        <v>1502</v>
      </c>
      <c r="BG803" s="7" t="s">
        <v>1503</v>
      </c>
      <c r="BH803" s="1" t="s">
        <v>1947</v>
      </c>
      <c r="BI803" s="2" t="s">
        <v>9045</v>
      </c>
      <c r="BJ803" s="1" t="s">
        <v>1959</v>
      </c>
      <c r="BK803" s="1" t="s">
        <v>4551</v>
      </c>
      <c r="BL803" s="1" t="s">
        <v>1875</v>
      </c>
      <c r="BM803" s="2" t="s">
        <v>4552</v>
      </c>
    </row>
    <row r="804" spans="1:71" ht="180" x14ac:dyDescent="0.45">
      <c r="A804" s="5">
        <v>803</v>
      </c>
      <c r="B804" s="8" t="s">
        <v>4553</v>
      </c>
      <c r="C804" s="6" t="s">
        <v>1816</v>
      </c>
      <c r="D804" s="7" t="s">
        <v>9752</v>
      </c>
      <c r="E804" s="1" t="s">
        <v>1251</v>
      </c>
      <c r="F804" s="1" t="s">
        <v>69</v>
      </c>
      <c r="G804" s="1"/>
      <c r="J804" s="1" t="s">
        <v>9753</v>
      </c>
      <c r="K804" s="2" t="s">
        <v>7147</v>
      </c>
      <c r="L804" s="3" t="s">
        <v>9046</v>
      </c>
      <c r="P804" s="7" t="s">
        <v>1241</v>
      </c>
      <c r="AU804" s="15"/>
      <c r="AV804" s="1" t="s">
        <v>1502</v>
      </c>
      <c r="BG804" s="7" t="s">
        <v>1503</v>
      </c>
      <c r="BH804" s="1" t="s">
        <v>2017</v>
      </c>
      <c r="BI804" s="2" t="s">
        <v>4554</v>
      </c>
      <c r="BJ804" s="1" t="s">
        <v>1883</v>
      </c>
      <c r="BK804" s="2" t="s">
        <v>4555</v>
      </c>
    </row>
    <row r="805" spans="1:71" ht="234" x14ac:dyDescent="0.45">
      <c r="A805" s="5">
        <v>804</v>
      </c>
      <c r="B805" s="8" t="s">
        <v>1320</v>
      </c>
      <c r="C805" s="6" t="s">
        <v>1816</v>
      </c>
      <c r="D805" s="7" t="s">
        <v>9752</v>
      </c>
      <c r="E805" s="1" t="s">
        <v>4639</v>
      </c>
      <c r="F805" s="1"/>
      <c r="G805" s="1"/>
      <c r="J805" s="1" t="s">
        <v>9753</v>
      </c>
      <c r="K805" s="2"/>
      <c r="L805" s="3" t="s">
        <v>9047</v>
      </c>
      <c r="M805" s="1" t="s">
        <v>12153</v>
      </c>
      <c r="P805" s="7" t="s">
        <v>1241</v>
      </c>
      <c r="Q805" s="13" t="str">
        <f>INDEX($L:$L, MATCH("expose", $B:$B, 0))</f>
        <v>&lt;span class="w"&gt;&lt;b&gt;【433.expose：～をさらす, 〜を暴露する】&lt;/b&gt;&lt;/span&gt;
&lt;span class="ml"&gt;ラテン語に由来する語で、以下の2つの要素から成る。
&lt;span class="spacer"&gt;&lt;/span&gt;ex（外に）
ponere（置く）
&lt;span class="spacer"&gt;&lt;/span&gt;このまま日本語にすると「外に置く」となる。これは、内側にあるものを外側に置くイメージ。そこから何かを「さらす, 暴露する」という意味になる。
&lt;div class="sample_image expose"&gt;&lt;/div&gt;&lt;/span&gt;</v>
      </c>
      <c r="R805" s="13" t="str">
        <f>INDEX($L:$L, MATCH("impose", $B:$B, 0))</f>
        <v>&lt;span class="w"&gt;&lt;b&gt;【826.impose：〜を課す, 〜を押し付ける】&lt;/b&gt;&lt;/span&gt;
&lt;span class="ml"&gt;古フランス語に由来する語で、以下の2つの要素から成る。
&lt;span class="spacer"&gt;&lt;/span&gt;in（中に）
poser（置く）
&lt;span class="spacer"&gt;&lt;/span&gt;このまま日本語にすると「中に置く」となる。相手の領域の中に押し込んで置くイメージから、対象に何かを「押し付ける, 課す」という意味になる。
&lt;div class="sample_image impose"&gt;&lt;/div&gt;&lt;/span&gt;</v>
      </c>
      <c r="S805" s="13" t="str">
        <f>INDEX($L:$L, MATCH("propose", $B:$B, 0))</f>
        <v>&lt;span class="w"&gt;&lt;b&gt;【436.propose：〜を提案する】&lt;/b&gt;&lt;/span&gt;
&lt;span class="ml"&gt;ラテン語に由来する語で、以下の2つの要素から成る。
&lt;span class="spacer"&gt;&lt;/span&gt;pro（前へ）
ponere（置く）
&lt;span class="spacer"&gt;&lt;/span&gt;このまま日本語にすると「前に置く」となる。意見や考えを相手の前に置くイメージから「提案する」という意味になる。&lt;/span&gt;</v>
      </c>
      <c r="T805" s="13" t="str">
        <f>INDEX($L:$L, MATCH("oppose", $B:$B, 0))</f>
        <v>&lt;span class="w"&gt;&lt;b&gt;【513.oppose：〜に反対する, 〜を対抗させる】&lt;/b&gt;&lt;/span&gt;
&lt;span class="ml"&gt;ラテン語に由来する語で、以下の2つの要素から成る。
&lt;span class="spacer"&gt;&lt;/span&gt;ob（〜に対して）
ponere（置く）
&lt;span class="spacer"&gt;&lt;/span&gt;このまま日本語にすると「～に対して置く」となる。相手に対して自分を置く、つまり相手と自分が向かい合うように置くイメージから「反対する, 対抗させる」という意味になる。
&lt;div class="sample_image oppose"&gt;&lt;/div&gt;&lt;/span&gt;</v>
      </c>
      <c r="U805" s="13" t="str">
        <f>INDEX($L:$L, MATCH("dispose", $B:$B, 0))</f>
        <v>&lt;span class="w"&gt;&lt;b&gt;【1435.dispose：（of ~）〜を処分する, （dispose ~ to do）〜する気にさせる】&lt;/b&gt;&lt;/span&gt;
&lt;span class="ml"&gt;ラテン語に由来する語で、以下の2つの要素から成る。
&lt;span class="spacer"&gt;&lt;/span&gt;dis（離れて）
ponere（置く）
&lt;span class="spacer"&gt;&lt;/span&gt;このまま日本語にすると「離して置く」となるが、この語の核は「ごちゃごちゃしたものをそれぞれ離して整理し、あるべき位置へ置く」イメージ。
&lt;span class="spacer"&gt;&lt;/span&gt;不要なもの・問題などを整理して、それがあるべき場所へ置くことから「処分する」という意味になる。
&lt;span class="spacer"&gt;&lt;/span&gt;また相手の気持ちを整理して進むべき方向へ置くことから「何かをする気にさせる」となる。
&lt;span class="spacer"&gt;&lt;/span&gt;dispose 人 to do
人 be disposed to do
&lt;div class="sample_image dispose"&gt;&lt;/div&gt;&lt;/span&gt;</v>
      </c>
      <c r="V805" s="13" t="str">
        <f>INDEX($L:$L, MATCH("compose", $B:$B, 0))</f>
        <v>&lt;span class="w"&gt;&lt;b&gt;【833.compose：～を構成する, ～を創作する】&lt;/b&gt;&lt;/span&gt;
&lt;span class="ml"&gt;ラテン語に由来する語で、以下の2つの要素から成る。
&lt;span class="spacer"&gt;&lt;/span&gt;com（共に）
ponere（置く）
&lt;span class="spacer"&gt;&lt;/span&gt;このまま日本語にすると「共に置く」となる。2つ以上のものを一緒に置いて全体を形作ることから、構成要素となって全体を作り上げる＝「構成する, 創作する」という意味になる。
&lt;div class="sample_image compose"&gt;&lt;/div&gt;&lt;/span&gt;</v>
      </c>
      <c r="W805" s="13" t="str">
        <f>INDEX($L:$L, MATCH("suppose", $B:$B, 0))</f>
        <v>&lt;span class="w"&gt;&lt;b&gt;【121.suppose：～と仮定する, と思う】&lt;/b&gt;&lt;/span&gt;
&lt;span class="ml"&gt;ラテン語に由来する語で、以下の2つの要素から成る。
&lt;span class="spacer"&gt;&lt;/span&gt;sub（下に）
ponere（置く）
&lt;span class="spacer"&gt;&lt;/span&gt;このまま日本語にすると「下に置く」となる。思考において、何かを既にあるものとして土台に置くイメージから、何かを前提として置く＝「仮定する」という意味になる。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&lt;div class="sample_image suppose"&gt;&lt;/div&gt;
&lt;span class="spacer"&gt;&lt;/span&gt;supposeを「前提に置く」というイメージで覚えておけば、be supposed to do A（Aすることになっている）は、要は「Aするということが前提として置かれている」だけだと理解できる。&lt;/span&gt;</v>
      </c>
      <c r="X805" s="13" t="str">
        <f>INDEX($L:$L, MATCH("positive", $B:$B, 0))</f>
        <v>&lt;span class="w"&gt;&lt;b&gt;【179.positive：肯定的な, 確信して, （検査で）陽性の】&lt;/b&gt;&lt;/span&gt;
&lt;span class="ml"&gt;ラテン語に由来する語で、以下の2つの要素から成る。
&lt;span class="spacer"&gt;&lt;/span&gt;ponere（置く）の過去分詞positus（置かれる）
ivus（形容詞化）
&lt;span class="spacer"&gt;&lt;/span&gt;もともとは法律用語。法や権威あるものによって置かれる、つまり法や権威によって定められて否定のしようがないという意味で使われた。ここから「肯定的な, 確信して, 陽性の」という意味になる。&lt;/span&gt;</v>
      </c>
      <c r="Y805" s="13" t="str">
        <f>INDEX($L:$L, MATCH("deposit", $B:$B, 0))</f>
        <v>&lt;span class="w"&gt;&lt;b&gt;【1315.deposit：〜を置く, 〜を預ける】&lt;/b&gt;&lt;/span&gt;
&lt;span class="ml"&gt;ラテン語に由来する語で、以下の2つの要素から成る。
&lt;span class="spacer"&gt;&lt;/span&gt;de（離れて, 下に）
ponere（置く）
&lt;span class="spacer"&gt;&lt;/span&gt;このまま日本語にすると「離れて置く, 下に置く」となる。物理的に何かを「置く」という意味もあるが、金銭や貴重品を離れた場所に「預ける」という意味にもなる。
&lt;span class="spacer"&gt;&lt;/span&gt;depositのposit部分は、positionと同じなので、そこから「置く」というイメージ持っておくとよい。
&lt;div class="sample_image deposit"&gt;&lt;/div&gt;&lt;/span&gt;</v>
      </c>
      <c r="Z805" s="13" t="str">
        <f>INDEX($L:$L, MATCH("compound", $B:$B, 0))</f>
        <v>&lt;span class="w"&gt;&lt;b&gt;【1129.compound：〜を悪化させる, 〜を合成する, 〜を混合する】&lt;/b&gt;&lt;/span&gt;
&lt;span class="ml"&gt;ラテン語に由来する語で、以下の2つの要素から成る。
&lt;span class="spacer"&gt;&lt;/span&gt;com（共に）
ponere（置く）
&lt;span class="spacer"&gt;&lt;/span&gt;このまま日本語にすると「共に置く」となる。複数のものを一緒にすることから、何かを「合成する, 混合する, 調合する」といった意味になる。さらに、問題や困難などがどんどん一緒に置かれて積もっていくことから、状況や問題などを「悪化させる」という意味にもなる。
&lt;div class="sample_image compound"&gt;&lt;/div&gt;&lt;/span&gt;</v>
      </c>
      <c r="AA805" s="13" t="str">
        <f>INDEX($L:$L, MATCH("postpone", $B:$B, 0))</f>
        <v>&lt;span class="w"&gt;&lt;b&gt;【1134.postpone：〜を延期する】&lt;/b&gt;&lt;/span&gt;
&lt;span class="ml"&gt;ラテン語に由来する語で、以下の2つの要素から成る。
&lt;span class="spacer"&gt;&lt;/span&gt;post（後に）
ponere（置く）
&lt;span class="spacer"&gt;&lt;/span&gt;このまま日本語にすると「後に置く」となる。予定や物事を時間的に後に置くことから「延期する」という意味になる。&lt;/span&gt;
&lt;div class="animation postpone"&gt;&lt;/div&gt;</v>
      </c>
      <c r="AB805" s="13" t="str">
        <f>INDEX($L:$L, MATCH("component", $B:$B, 0))</f>
        <v>&lt;span class="w"&gt;&lt;b&gt;【677.component：構成要素, 部品】&lt;/b&gt;&lt;/span&gt;
&lt;span class="ml"&gt;ラテン語に由来する語で、以下の2つの要素から成る。
&lt;span class="spacer"&gt;&lt;/span&gt;com（共に）
ponere（置く）
&lt;span class="spacer"&gt;&lt;/span&gt;このまま日本語にすると「共に置く」となる。いくつかの部分を一緒に置くことで全体が構成されることから、全体の「構成要素, 部品」という意味になる。
&lt;div class="sample_image component"&gt;&lt;/div&gt;&lt;/span&gt;</v>
      </c>
      <c r="AC805" s="13" t="str">
        <f>INDEX($L:$L, MATCH("opponent", $B:$B, 0))</f>
        <v>&lt;span class="w"&gt;&lt;b&gt;【762.opponent：（試合や論争などの）相手, 反対者】&lt;/b&gt;&lt;/span&gt;
&lt;span class="ml"&gt;ラテン語に由来する語で、以下の3つの要素から成る。
&lt;span class="spacer"&gt;&lt;/span&gt;ob（前に, 対して）
ponere（置く）
ens（現在分詞を作る：〜しているもの）
&lt;span class="spacer"&gt;&lt;/span&gt;この語の核は「何かに対立する位置に置いてあるもの」。ここから「対戦相手, 反対者」という意味になる。
&lt;div class="sample_image opponent"&gt;&lt;/div&gt;&lt;/span&gt;</v>
      </c>
      <c r="AD805" s="13" t="str">
        <f>INDEX($L:$L, MATCH("posture", $B:$B, 0))</f>
        <v>&lt;span class="w"&gt;&lt;b&gt;【1451.posture：姿勢, 心構え】&lt;/b&gt;&lt;/span&gt;
&lt;span class="ml"&gt;ラテン語に由来する語で、以下の2つの要素から成る。
&lt;span class="spacer"&gt;&lt;/span&gt;ponere（置く）の過去分詞positus
ura（名詞化）
&lt;span class="spacer"&gt;&lt;/span&gt;このまま日本語にすると「置かれた状態」となる。これは何かの位置や配置を表したが、特に身体の各パーツの位置を指すようになり、そこから身体のポジション＝「姿勢」という意味になった。
&lt;span class="spacer"&gt;&lt;/span&gt;さらにそこから比喩的に、状況に対する心理的な姿勢＝「心構え」という意味にもなった。&lt;/span&gt;</v>
      </c>
      <c r="AE805" s="13" t="str">
        <f>INDEX($L:$L, MATCH("puzzle", $B:$B, 0))</f>
        <v>&lt;span class="w"&gt;&lt;b&gt;【624.puzzle：〜を当惑させる, 〜を困惑させる】&lt;/b&gt;&lt;/span&gt;
&lt;span class="ml"&gt;近代英語pose（難しい問題や質問で当惑させる）にさかのぼる。
&lt;span class="spacer"&gt;&lt;/span&gt;この語はパズルのように「頭に引っかかって前に進めない状態にする」というイメージ。ここから「当惑させる, 困惑させる」という意味になる。
&lt;span class="spacer"&gt;&lt;/span&gt;もともとはposeという形だったが、反復・継続を表すpuzzleという形になった。これにより困惑や当惑が反復・継続している状態、つまり頭の中がぐるぐる回るような状態を表した。&lt;/span&gt;</v>
      </c>
      <c r="AU805" s="15"/>
      <c r="AV805" s="1" t="s">
        <v>1502</v>
      </c>
      <c r="BG805" s="7" t="s">
        <v>1503</v>
      </c>
      <c r="BH805" s="1" t="s">
        <v>2034</v>
      </c>
      <c r="BI805" s="2" t="s">
        <v>4556</v>
      </c>
      <c r="BJ805" s="1" t="s">
        <v>2147</v>
      </c>
      <c r="BK805" s="1" t="s">
        <v>4557</v>
      </c>
      <c r="BL805" s="1" t="s">
        <v>1504</v>
      </c>
      <c r="BM805" s="2" t="s">
        <v>9048</v>
      </c>
      <c r="BN805" s="1" t="s">
        <v>2044</v>
      </c>
      <c r="BO805" s="2" t="s">
        <v>4558</v>
      </c>
      <c r="BP805" s="1" t="s">
        <v>1883</v>
      </c>
      <c r="BQ805" s="2" t="s">
        <v>4559</v>
      </c>
    </row>
    <row r="806" spans="1:71" ht="108" x14ac:dyDescent="0.45">
      <c r="A806" s="5">
        <v>805</v>
      </c>
      <c r="B806" s="6" t="s">
        <v>4560</v>
      </c>
      <c r="C806" s="6" t="s">
        <v>1816</v>
      </c>
      <c r="D806" s="7" t="s">
        <v>9752</v>
      </c>
      <c r="E806" s="1" t="s">
        <v>568</v>
      </c>
      <c r="F806" s="1"/>
      <c r="G806" s="1"/>
      <c r="J806" s="1" t="s">
        <v>9753</v>
      </c>
      <c r="K806" s="2"/>
      <c r="L806" s="2" t="s">
        <v>9049</v>
      </c>
      <c r="P806" s="7" t="s">
        <v>1241</v>
      </c>
      <c r="AU806" s="15"/>
      <c r="AV806" s="1" t="s">
        <v>1502</v>
      </c>
      <c r="BG806" s="7" t="s">
        <v>1503</v>
      </c>
      <c r="BH806" s="1" t="s">
        <v>2129</v>
      </c>
      <c r="BI806" s="2" t="s">
        <v>9050</v>
      </c>
      <c r="BJ806" s="1" t="s">
        <v>2044</v>
      </c>
      <c r="BK806" s="2" t="s">
        <v>4561</v>
      </c>
    </row>
    <row r="807" spans="1:71" ht="126" x14ac:dyDescent="0.45">
      <c r="A807" s="5">
        <v>806</v>
      </c>
      <c r="B807" s="8" t="s">
        <v>569</v>
      </c>
      <c r="C807" s="6" t="s">
        <v>1816</v>
      </c>
      <c r="D807" s="7" t="s">
        <v>9752</v>
      </c>
      <c r="E807" s="1" t="s">
        <v>1413</v>
      </c>
      <c r="F807" s="1" t="s">
        <v>4564</v>
      </c>
      <c r="G807" s="1"/>
      <c r="J807" s="1" t="s">
        <v>9753</v>
      </c>
      <c r="K807" s="2" t="s">
        <v>9051</v>
      </c>
      <c r="L807" s="2" t="s">
        <v>9052</v>
      </c>
      <c r="M807" s="1" t="s">
        <v>12170</v>
      </c>
      <c r="P807" s="7" t="s">
        <v>1241</v>
      </c>
      <c r="Q807" s="13" t="str">
        <f>INDEX($L:$L, MATCH("habit", $B:$B, 0))</f>
        <v>&lt;span class="w"&gt;&lt;b&gt;【176.habit：習慣, 癖】&lt;/b&gt;&lt;/span&gt;
&lt;span class="ml"&gt;ラテン語habere（持つ）の過去分詞habitusに由来する。
&lt;span class="spacer"&gt;&lt;/span&gt;「持たれているもの」から自分の内部にずっと持っている「癖」や、日常的に続けている「習慣」という意味になる。&lt;/span&gt;</v>
      </c>
      <c r="R807" s="13" t="str">
        <f>INDEX($L:$L, MATCH("inhabit", $B:$B, 0))</f>
        <v>&lt;span class="w"&gt;&lt;b&gt;【1418.inhabit：〜に住んでいる, 生息している】&lt;/b&gt;&lt;/span&gt;
&lt;span class="ml"&gt;ラテン語に由来する語で、以下の2つの要素から成る。
&lt;span class="spacer"&gt;&lt;/span&gt;in（中に）
habere（持つ）の反復形habitare（持ち続ける, 住む）
&lt;span class="spacer"&gt;&lt;/span&gt;この語の核は「ある空間を自分のものとして持ち続ける」。一時的に滞在するのではなく、一定の期間その場所を自分の居場所として持ち続けるということから、人が「〜に住む」や動物が「生息する」という意味になる。
&lt;span class="spacer"&gt;&lt;/span&gt;単に生きている、生活していることを表すlive inよりも、場所との結びつきが強い。
&lt;div class="sample_image inhabit"&gt;&lt;/div&gt;&lt;/span&gt;</v>
      </c>
      <c r="S807" s="13" t="str">
        <f>INDEX($L:$L, MATCH("habitat", $B:$B, 0))</f>
        <v>&lt;span class="w"&gt;&lt;b&gt;【664.habitat：生息地, 居住地】&lt;/b&gt;&lt;/span&gt;
&lt;span class="ml"&gt;ラテン語habēre（持つ, 所有する）から派生した反復形habitāre（持ち続ける, 占有する, 住む）に由来する。
&lt;span class="spacer"&gt;&lt;/span&gt;何かをずっと持ち続けることから、ある場所を占有する、つまり住むという意味になった。
&lt;span class="spacer"&gt;&lt;/span&gt;さらに近代英語期には、動植物が生活する場所を指す専門用語として用いられるようになり、そこから「生息地」という意味が成立した。その後、この語は人間の「居住地」を表す場合にも用いられるようになった。&lt;/span&gt;</v>
      </c>
      <c r="T807" s="13" t="str">
        <f>INDEX($L:$L, MATCH("prohibit", $B:$B, 0))</f>
        <v>&lt;span class="w"&gt;&lt;b&gt;【832.prohibit：〜を禁止する】&lt;/b&gt;&lt;/span&gt;
&lt;span class="ml"&gt;ラテン語に由来する語で、以下の2つの要素から成る。
&lt;span class="spacer"&gt;&lt;/span&gt;pro（前方に）
habere（持つ）
&lt;span class="spacer"&gt;&lt;/span&gt;この語の核は「前方に出て対象を持つ」。前方で対象をつかんで近づけないように引きとめることから、何かを遠ざけて防ぐイメージになる。そこから何かを「禁止する」という意味になる。
&lt;div class="sample_image prohibit"&gt;&lt;/div&gt;&lt;/span&gt;</v>
      </c>
      <c r="AU807" s="15"/>
      <c r="AV807" s="1" t="s">
        <v>1502</v>
      </c>
      <c r="BG807" s="7" t="s">
        <v>1503</v>
      </c>
      <c r="BH807" s="1" t="s">
        <v>2034</v>
      </c>
      <c r="BI807" s="2" t="s">
        <v>4565</v>
      </c>
      <c r="BJ807" s="1" t="s">
        <v>1875</v>
      </c>
      <c r="BK807" s="2" t="s">
        <v>4566</v>
      </c>
    </row>
    <row r="808" spans="1:71" ht="162" x14ac:dyDescent="0.45">
      <c r="A808" s="5">
        <v>807</v>
      </c>
      <c r="B808" s="8" t="s">
        <v>570</v>
      </c>
      <c r="C808" s="6" t="s">
        <v>1816</v>
      </c>
      <c r="D808" s="7" t="s">
        <v>9752</v>
      </c>
      <c r="E808" s="1" t="s">
        <v>1505</v>
      </c>
      <c r="F808" s="1" t="s">
        <v>1412</v>
      </c>
      <c r="G808" s="1"/>
      <c r="J808" s="1" t="s">
        <v>9753</v>
      </c>
      <c r="K808" s="2"/>
      <c r="L808" s="3" t="s">
        <v>9053</v>
      </c>
      <c r="M808" s="1" t="s">
        <v>12179</v>
      </c>
      <c r="P808" s="7" t="s">
        <v>1241</v>
      </c>
      <c r="Q808" s="13" t="str">
        <f>INDEX($L:$L, MATCH("tribe", $B:$B, 0))</f>
        <v>&lt;span class="w"&gt;&lt;b&gt;【473.tribe：部族, 仲間】&lt;/b&gt;&lt;/span&gt;
&lt;span class="ml"&gt;ラテン語tribus（古代ローマの3つの政治的・民族的区分）に由来する。
&lt;span class="spacer"&gt;&lt;/span&gt;ラテン語tribusは、初期のローマ社会を構成する、ラムネス・ティテス・ルケレスという3つの政治的・民族的区分を表した。
&lt;span class="spacer"&gt;&lt;/span&gt;&lt;span class="obsolete"&gt;ラテン語tribusのtriは「3」を意味する。これは英語のtriple（トリプル）やtriangle（トライアングル）にも見られる。&lt;/span&gt;
&lt;span class="spacer"&gt;&lt;/span&gt;中英語では、キリスト教における古代ヘブライ人の12部族を表すようになる。ここから首長がまとめる同族の集団である「部族」という意味になった。&lt;/span&gt;</v>
      </c>
      <c r="R808" s="13" t="str">
        <f>INDEX($L:$L, MATCH("attribute", $B:$B, 0))</f>
        <v>&lt;span class="w"&gt;&lt;b&gt;【723.attribute：Aを（Bに）帰する】&lt;/b&gt;&lt;/span&gt;
&lt;span class="ml"&gt;ラテン語に由来する語で、以下の2つの要素から成る。
&lt;span class="spacer"&gt;&lt;/span&gt;ad（〜へ）
tribus（部族）から派生したtribuere（割り当てる）
&lt;span class="spacer"&gt;&lt;/span&gt;このまま日本語にすると「〜へ割り当てる」となる。①はこの部族に、②はこの部族に…というように、何かを特定の部族に割り当てることから、比喩的に、この成功は〜に、この失敗は〜に、というように結果や性質を何かに「帰する」という意味になった。
&lt;div class="sample_image attribute"&gt;&lt;/div&gt;&lt;/span&gt;</v>
      </c>
      <c r="S808" s="13" t="str">
        <f>INDEX($L:$L, MATCH("contribute", $B:$B, 0))</f>
        <v>&lt;span class="w"&gt;&lt;b&gt;【228.contribute：寄付する, 貢献する, 一因となる】&lt;/b&gt;&lt;/span&gt;
&lt;span class="ml"&gt;ラテン語に由来する語で、以下の2つの要素から成る。
&lt;span class="spacer"&gt;&lt;/span&gt;com（共に）
tribuere（割り当てる, 与える）
&lt;span class="spacer"&gt;&lt;/span&gt;このまま日本語にすると「共に割り当てる, 与える」となる。他人と一緒に何かを与えるイメージから、みんなで「寄付する, 貢献する」という意味になる。また結果に貢献した場合は、結果の「一因となる」と表現できる。
&lt;div class="sample_image contribute"&gt;&lt;/div&gt;&lt;/span&gt;</v>
      </c>
      <c r="AU808" s="15"/>
      <c r="AV808" s="1" t="s">
        <v>1502</v>
      </c>
      <c r="BG808" s="7" t="s">
        <v>1503</v>
      </c>
      <c r="BH808" s="1" t="s">
        <v>2034</v>
      </c>
      <c r="BI808" s="2" t="s">
        <v>4567</v>
      </c>
      <c r="BJ808" s="1" t="s">
        <v>1875</v>
      </c>
      <c r="BK808" s="2" t="s">
        <v>4568</v>
      </c>
    </row>
    <row r="809" spans="1:71" ht="216" x14ac:dyDescent="0.45">
      <c r="A809" s="5">
        <v>808</v>
      </c>
      <c r="B809" s="8" t="s">
        <v>571</v>
      </c>
      <c r="C809" s="6" t="s">
        <v>1816</v>
      </c>
      <c r="D809" s="7" t="s">
        <v>9752</v>
      </c>
      <c r="E809" s="1" t="s">
        <v>1467</v>
      </c>
      <c r="F809" s="1" t="s">
        <v>1932</v>
      </c>
      <c r="G809" s="1" t="s">
        <v>1819</v>
      </c>
      <c r="J809" s="1" t="s">
        <v>9753</v>
      </c>
      <c r="K809" s="2" t="s">
        <v>9054</v>
      </c>
      <c r="L809" s="3" t="s">
        <v>9055</v>
      </c>
      <c r="P809" s="7" t="s">
        <v>1241</v>
      </c>
      <c r="Q809" s="13" t="str">
        <f>INDEX($L:$L, MATCH("manage", $B:$B, 0))</f>
        <v>&lt;span class="w"&gt;&lt;b&gt;【204.manage：～をなんとか成し遂げる, ～を管理する, （to do）なんとかやっていく】&lt;/b&gt;&lt;/span&gt;
&lt;span class="ml"&gt;ラテン語manus（手）に由来する。
&lt;span class="spacer"&gt;&lt;/span&gt;何かを手で扱うことからコントロールする＝「管理する」という意味になる。
&lt;span class="spacer"&gt;&lt;/span&gt;またなんとか管理して事を運ぶことから「なんとかやっていく」、その結果「なんとか成し遂げる」という意味になる（manage to do）。&lt;/span&gt;</v>
      </c>
      <c r="R809" s="13" t="str">
        <f>INDEX($L:$L, MATCH("manner", $B:$B, 0))</f>
        <v>&lt;span class="w"&gt;&lt;b&gt;【351.manner：作法, 方法】&lt;/b&gt;&lt;/span&gt;
&lt;span class="ml"&gt;ラテン語manus（手）に由来する。
&lt;span class="spacer"&gt;&lt;/span&gt;「手」というのは、何らかの作業や何かを扱うことと結びつきやすい。いまのような機械がなく、手作業・手仕事だったからである。
&lt;span class="spacer"&gt;&lt;/span&gt;こうした手作業においては、そのやり方や扱い方が固定化していく。ここから何かの「方法, 作法」という意味になる。&lt;/span&gt;</v>
      </c>
      <c r="S809" s="13" t="str">
        <f>INDEX($L:$L, MATCH("manual", $B:$B, 0))</f>
        <v>&lt;span class="w"&gt;&lt;b&gt;【889.manual：手（体）を使う, 手の, 手動の】&lt;/b&gt;&lt;/span&gt;
&lt;span class="ml"&gt;ラテン語に由来する語で、以下の2つの要素から成る。
&lt;span class="spacer"&gt;&lt;/span&gt;manus（手）
alis（形容詞化）
&lt;span class="spacer"&gt;&lt;/span&gt;このまま日本語にすると「手の, 手を使う, 手動の」という意味になる。&lt;/span&gt;</v>
      </c>
      <c r="T809" s="13" t="str">
        <f>INDEX($L:$L, MATCH("manufacture", $B:$B, 0))</f>
        <v>&lt;span class="w"&gt;&lt;b&gt;【536.manufacture：製造する, でっちあげる】&lt;/b&gt;&lt;/span&gt;
&lt;span class="ml"&gt;ラテン語に由来する語で、以下の2つの要素から成る。
&lt;span class="spacer"&gt;&lt;/span&gt;manus（手）
facere（作る, する）
&lt;span class="spacer"&gt;&lt;/span&gt;このまま日本語にすると「手で作る」となる。もともとは手作業で作ることを表したが、工業化が進む中で、手や機械をつかって「製造する」という意味になった。また人工的に作り出すことから発展して、「でっちあげる」という意味にもなった。&lt;/span&gt;</v>
      </c>
      <c r="U809" s="13" t="str">
        <f>INDEX($L:$L, MATCH("manipulate", $B:$B, 0))</f>
        <v>&lt;span class="w"&gt;&lt;b&gt;【1310.manipulate：〜を（巧みに）操る】&lt;/b&gt;&lt;/span&gt;
&lt;span class="ml"&gt;ラテン語に由来する語で、以下の2つの要素から成る。
&lt;span class="spacer"&gt;&lt;/span&gt;manus（手）
plere（満たす）
&lt;span class="spacer"&gt;&lt;/span&gt;このまま日本語にすると「手を満たす」となる。もともとは一握りでつかめる量を表し、薬の計量単位としても使われた。そこから何かを手で扱うということへと発展し、何かを巧みに「操る」という意味になった。
&lt;span class="spacer"&gt;&lt;/span&gt;このmani部分は、manual（手の, 取扱説明書, 手引書, 操作手順書）のmanuと同じで「手」を意味することを覚えておく。&lt;/span&gt;</v>
      </c>
      <c r="V809" s="13" t="str">
        <f>INDEX($L:$L, MATCH("maintain", $B:$B, 0))</f>
        <v>&lt;span class="w"&gt;&lt;b&gt;【206.maintain：～を維持する, ～を主張する】&lt;/b&gt;&lt;/span&gt;
&lt;span class="ml"&gt;ラテン語に由来する語で、以下の2つの要素から成る。
&lt;span class="spacer"&gt;&lt;/span&gt;manus（手）
tenere（保つ, 握る）
&lt;span class="spacer"&gt;&lt;/span&gt;このまま日本語にすると「手で保つ」となる。手を使って何かを支えるイメージから、状態が続くように支える＝「維持する」という意味になる。手ではなく発言で誰かを支えるとなれば「主張する」という意味になる。&lt;/span&gt;</v>
      </c>
      <c r="AU809" s="15"/>
      <c r="AV809" s="1" t="s">
        <v>1502</v>
      </c>
      <c r="BG809" s="7" t="s">
        <v>1503</v>
      </c>
      <c r="BH809" s="1" t="s">
        <v>2034</v>
      </c>
      <c r="BI809" s="2" t="s">
        <v>4569</v>
      </c>
      <c r="BJ809" s="1" t="s">
        <v>2026</v>
      </c>
      <c r="BK809" s="1" t="s">
        <v>4570</v>
      </c>
      <c r="BL809" s="1" t="s">
        <v>1959</v>
      </c>
      <c r="BM809" s="2" t="s">
        <v>4571</v>
      </c>
      <c r="BN809" s="1" t="s">
        <v>1875</v>
      </c>
      <c r="BO809" s="2" t="s">
        <v>4572</v>
      </c>
      <c r="BP809" s="1" t="s">
        <v>1877</v>
      </c>
      <c r="BQ809" s="2" t="s">
        <v>4573</v>
      </c>
    </row>
    <row r="810" spans="1:71" ht="126" x14ac:dyDescent="0.45">
      <c r="A810" s="5">
        <v>809</v>
      </c>
      <c r="B810" s="8" t="s">
        <v>572</v>
      </c>
      <c r="C810" s="6" t="s">
        <v>1816</v>
      </c>
      <c r="D810" s="7" t="s">
        <v>9752</v>
      </c>
      <c r="E810" s="1" t="s">
        <v>1665</v>
      </c>
      <c r="F810" s="1" t="s">
        <v>4574</v>
      </c>
      <c r="G810" s="1"/>
      <c r="J810" s="1" t="s">
        <v>9753</v>
      </c>
      <c r="K810" s="2"/>
      <c r="L810" s="3" t="s">
        <v>9056</v>
      </c>
      <c r="P810" s="7" t="s">
        <v>1241</v>
      </c>
      <c r="AU810" s="15"/>
      <c r="AV810" s="1" t="s">
        <v>1502</v>
      </c>
      <c r="BG810" s="7" t="s">
        <v>1503</v>
      </c>
      <c r="BH810" s="1" t="s">
        <v>2034</v>
      </c>
      <c r="BI810" s="2" t="s">
        <v>4575</v>
      </c>
      <c r="BJ810" s="1" t="s">
        <v>1959</v>
      </c>
      <c r="BK810" s="2" t="s">
        <v>4576</v>
      </c>
      <c r="BL810" s="1" t="s">
        <v>1875</v>
      </c>
      <c r="BM810" s="2" t="s">
        <v>4577</v>
      </c>
    </row>
    <row r="811" spans="1:71" ht="90" x14ac:dyDescent="0.45">
      <c r="A811" s="5">
        <v>810</v>
      </c>
      <c r="B811" s="6" t="s">
        <v>573</v>
      </c>
      <c r="C811" s="6" t="s">
        <v>1816</v>
      </c>
      <c r="D811" s="7" t="s">
        <v>9752</v>
      </c>
      <c r="E811" s="1" t="s">
        <v>573</v>
      </c>
      <c r="F811" s="1"/>
      <c r="G811" s="1"/>
      <c r="J811" s="1" t="s">
        <v>9753</v>
      </c>
      <c r="K811" s="2" t="s">
        <v>4578</v>
      </c>
      <c r="L811" s="2" t="s">
        <v>9057</v>
      </c>
      <c r="P811" s="7" t="s">
        <v>1241</v>
      </c>
      <c r="AU811" s="15"/>
      <c r="AV811" s="1" t="s">
        <v>1502</v>
      </c>
      <c r="BG811" s="7" t="s">
        <v>1503</v>
      </c>
      <c r="BH811" s="1" t="s">
        <v>1875</v>
      </c>
      <c r="BI811" s="2" t="s">
        <v>4579</v>
      </c>
      <c r="BJ811" s="1" t="s">
        <v>1877</v>
      </c>
      <c r="BK811" s="2" t="s">
        <v>4580</v>
      </c>
    </row>
    <row r="812" spans="1:71" ht="90" x14ac:dyDescent="0.45">
      <c r="A812" s="5">
        <v>811</v>
      </c>
      <c r="B812" s="6" t="s">
        <v>574</v>
      </c>
      <c r="C812" s="6" t="s">
        <v>1816</v>
      </c>
      <c r="D812" s="7" t="s">
        <v>9752</v>
      </c>
      <c r="E812" s="1" t="s">
        <v>574</v>
      </c>
      <c r="F812" s="1"/>
      <c r="G812" s="1"/>
      <c r="J812" s="1" t="s">
        <v>9753</v>
      </c>
      <c r="K812" s="2"/>
      <c r="L812" s="3" t="s">
        <v>9058</v>
      </c>
      <c r="P812" s="7" t="s">
        <v>1241</v>
      </c>
      <c r="AU812" s="15"/>
      <c r="AV812" s="1" t="s">
        <v>1502</v>
      </c>
      <c r="BG812" s="7" t="s">
        <v>1503</v>
      </c>
      <c r="BH812" s="1" t="s">
        <v>2034</v>
      </c>
      <c r="BI812" s="2" t="s">
        <v>4581</v>
      </c>
      <c r="BJ812" s="1" t="s">
        <v>1959</v>
      </c>
      <c r="BK812" s="1" t="s">
        <v>4582</v>
      </c>
      <c r="BL812" s="1" t="s">
        <v>1875</v>
      </c>
      <c r="BM812" s="2" t="s">
        <v>4583</v>
      </c>
    </row>
    <row r="813" spans="1:71" ht="72" x14ac:dyDescent="0.45">
      <c r="A813" s="5">
        <v>812</v>
      </c>
      <c r="B813" s="6" t="s">
        <v>575</v>
      </c>
      <c r="C813" s="6" t="s">
        <v>1816</v>
      </c>
      <c r="D813" s="7" t="s">
        <v>9752</v>
      </c>
      <c r="E813" s="1" t="s">
        <v>575</v>
      </c>
      <c r="F813" s="1"/>
      <c r="G813" s="1"/>
      <c r="J813" s="1" t="s">
        <v>9753</v>
      </c>
      <c r="K813" s="1" t="s">
        <v>4584</v>
      </c>
      <c r="L813" s="2" t="s">
        <v>9059</v>
      </c>
      <c r="P813" s="7" t="s">
        <v>1241</v>
      </c>
      <c r="AU813" s="15"/>
      <c r="AV813" s="1" t="s">
        <v>1502</v>
      </c>
      <c r="BG813" s="7" t="s">
        <v>1503</v>
      </c>
      <c r="BH813" s="1" t="s">
        <v>1872</v>
      </c>
      <c r="BI813" s="2" t="s">
        <v>4585</v>
      </c>
    </row>
    <row r="814" spans="1:71" ht="198" x14ac:dyDescent="0.45">
      <c r="A814" s="5">
        <v>813</v>
      </c>
      <c r="B814" s="8" t="s">
        <v>576</v>
      </c>
      <c r="C814" s="6" t="s">
        <v>1816</v>
      </c>
      <c r="D814" s="7" t="s">
        <v>9752</v>
      </c>
      <c r="E814" s="1" t="s">
        <v>4586</v>
      </c>
      <c r="F814" s="1" t="s">
        <v>766</v>
      </c>
      <c r="G814" s="1" t="s">
        <v>1519</v>
      </c>
      <c r="J814" s="1" t="s">
        <v>9753</v>
      </c>
      <c r="K814" s="2" t="s">
        <v>9060</v>
      </c>
      <c r="L814" s="2" t="s">
        <v>9061</v>
      </c>
      <c r="M814" s="1" t="s">
        <v>12212</v>
      </c>
      <c r="P814" s="7" t="s">
        <v>1241</v>
      </c>
      <c r="Q814" s="14" t="str">
        <f>INDEX($L:$L, MATCH("logic", $B:$B, 0))</f>
        <v>&lt;span class="w"&gt;&lt;b&gt;【652.logic：論理, 論理学】&lt;/b&gt;&lt;/span&gt;
&lt;span class="ml"&gt;ギリシャ語に由来する語で、以下の2つの要素から成る。
&lt;span class="spacer"&gt;&lt;/span&gt;logos（理性, 思考, 言葉, ロゴス）
ikos（形容詞化）
&lt;span class="spacer"&gt;&lt;/span&gt;古代ギリシャにおけるロゴスとは、混沌としているように見える世界の背後にある秩序や法則。人々は理性によってその秩序を理解し、言葉によってその法則を表現・説明した。ここから秩序・法則・理性・言葉という概念が「ロゴス」という言葉で結びつく。
&lt;span class="spacer"&gt;&lt;/span&gt;一貫した秩序（ロゴス）に従って正しく考え、矛盾なく言葉で表現するための方法がロジック＝「論理」という意味になる。&lt;/span&gt;</v>
      </c>
      <c r="R814" s="13" t="str">
        <f>INDEX($L:$L, MATCH("dialogue", $B:$B, 0))</f>
        <v>&lt;span class="w"&gt;&lt;b&gt;【676.dialogue：対話, 会話】&lt;/b&gt;&lt;/span&gt;
&lt;span class="ml"&gt;ギリシャ語に由来する語で、以下の2つの要素から成る。
&lt;span class="spacer"&gt;&lt;/span&gt;dia（横切って, 間に）
logos（言葉）
&lt;span class="spacer"&gt;&lt;/span&gt;このまま日本語にすると「言葉が横切る」となる。2人以上の人物の間で言葉が飛び交う様子から「会話, 対話」という意味になる。
&lt;div class="sample_image dialogue"&gt;&lt;/div&gt;
&lt;span class="spacer"&gt;&lt;/span&gt;monos（単独の）logos（言葉）なら
monologue（独白, 1人の長話, モノローグ）
&lt;span class="spacer"&gt;&lt;/span&gt;pro（前の）logos（言葉）なら
prologue（物語の本編が始まる前の序章）
&lt;span class="spacer"&gt;&lt;/span&gt;epi（追加の）logos（言葉）なら
epilogue（物語の本編が終わった後の後日談）&lt;/span&gt;</v>
      </c>
      <c r="AU814" s="15"/>
      <c r="AV814" s="1" t="s">
        <v>1502</v>
      </c>
      <c r="BG814" s="7" t="s">
        <v>1503</v>
      </c>
      <c r="BH814" s="1" t="s">
        <v>2458</v>
      </c>
      <c r="BI814" s="2" t="s">
        <v>4587</v>
      </c>
      <c r="BJ814" s="1" t="s">
        <v>2036</v>
      </c>
      <c r="BK814" s="1" t="s">
        <v>4588</v>
      </c>
      <c r="BL814" s="1" t="s">
        <v>1875</v>
      </c>
      <c r="BM814" s="2" t="s">
        <v>4589</v>
      </c>
      <c r="BN814" s="1" t="s">
        <v>1877</v>
      </c>
      <c r="BO814" s="2" t="s">
        <v>4590</v>
      </c>
    </row>
    <row r="815" spans="1:71" ht="108" x14ac:dyDescent="0.45">
      <c r="A815" s="5">
        <v>814</v>
      </c>
      <c r="B815" s="6" t="s">
        <v>577</v>
      </c>
      <c r="C815" s="6" t="s">
        <v>1816</v>
      </c>
      <c r="D815" s="7" t="s">
        <v>9752</v>
      </c>
      <c r="E815" s="1" t="s">
        <v>577</v>
      </c>
      <c r="F815" s="1"/>
      <c r="G815" s="1"/>
      <c r="J815" s="1" t="s">
        <v>9753</v>
      </c>
      <c r="K815" s="2"/>
      <c r="L815" s="2" t="s">
        <v>9062</v>
      </c>
      <c r="P815" s="7" t="s">
        <v>1241</v>
      </c>
      <c r="AU815" s="15"/>
      <c r="AV815" s="1" t="s">
        <v>1502</v>
      </c>
      <c r="BG815" s="7" t="s">
        <v>1503</v>
      </c>
      <c r="BH815" s="1" t="s">
        <v>1947</v>
      </c>
      <c r="BI815" s="2" t="s">
        <v>4591</v>
      </c>
      <c r="BJ815" s="1" t="s">
        <v>1875</v>
      </c>
      <c r="BK815" s="2" t="s">
        <v>4592</v>
      </c>
    </row>
    <row r="816" spans="1:71" ht="180" x14ac:dyDescent="0.45">
      <c r="A816" s="5">
        <v>815</v>
      </c>
      <c r="B816" s="6" t="s">
        <v>578</v>
      </c>
      <c r="C816" s="6" t="s">
        <v>1816</v>
      </c>
      <c r="D816" s="7" t="s">
        <v>9752</v>
      </c>
      <c r="E816" s="1" t="s">
        <v>1251</v>
      </c>
      <c r="F816" s="1" t="s">
        <v>4593</v>
      </c>
      <c r="G816" s="1"/>
      <c r="J816" s="1" t="s">
        <v>9753</v>
      </c>
      <c r="K816" s="2" t="s">
        <v>9063</v>
      </c>
      <c r="L816" s="3" t="s">
        <v>9064</v>
      </c>
      <c r="P816" s="7" t="s">
        <v>1241</v>
      </c>
      <c r="Q816" s="13" t="str">
        <f>INDEX($L:$L, MATCH("relevant", $B:$B, 0))</f>
        <v>&lt;span class="w"&gt;&lt;b&gt;【687.relevant：関係のある, 適切な】&lt;/b&gt;&lt;/span&gt;
&lt;span class="ml"&gt;ラテン語に由来する語で、以下の2つの要素から成る。
&lt;span class="spacer"&gt;&lt;/span&gt;re（強意）
levare（持ち上げる, 軽くする）
&lt;span class="spacer"&gt;&lt;/span&gt;このまま日本語にすると「しっかり持ち上げる」となる。&lt;span class="obsolete"&gt;この持ち上げるという意味は、同じくラテン語levareに由来する、英語elevator（エレベーター）のleva部分に残っている。&lt;/span&gt;
&lt;span class="spacer"&gt;&lt;/span&gt;何かを持ち上げるということは、負担を軽減する、そして人の苦痛を和らげて助けとなるという意味へと発展していく。
&lt;span class="spacer"&gt;&lt;/span&gt;そこから近代英語期、スコットランドの法律分野で、裁判において自分の主張を助けてくれる証拠や情報をrelevantと呼ぶようになった。
&lt;span class="spacer"&gt;&lt;/span&gt;議論において助けとなる情報は、その事柄に直接関係している情報なので、現代英語の「関係のある,（当面の問題に対して）適切な」という意味になった。&lt;/span&gt;</v>
      </c>
      <c r="R816" s="13" t="str">
        <f>INDEX($L:$L, MATCH("irrelevant", $B:$B, 0))</f>
        <v>&lt;span class="w"&gt;&lt;b&gt;【1194.irrelevant：無関係の】&lt;/b&gt;&lt;/span&gt;
&lt;span class="ml"&gt;近代英語にさかのぼり、以下の2つの要素から成る。
&lt;span class="spacer"&gt;&lt;/span&gt;in（否定）
relevant（関連のある）
&lt;span class="spacer"&gt;&lt;/span&gt;このまま日本語にすれば関連がない＝「無関係の」という意味になる。relevantの語源は関連語を参照。&lt;/span&gt;</v>
      </c>
      <c r="AU816" s="15"/>
      <c r="AV816" s="1" t="s">
        <v>1502</v>
      </c>
      <c r="BG816" s="7" t="s">
        <v>1503</v>
      </c>
      <c r="BH816" s="1" t="s">
        <v>1947</v>
      </c>
      <c r="BI816" s="2" t="s">
        <v>4594</v>
      </c>
      <c r="BJ816" s="1" t="s">
        <v>1959</v>
      </c>
      <c r="BK816" s="2" t="s">
        <v>4595</v>
      </c>
      <c r="BL816" s="1" t="s">
        <v>1875</v>
      </c>
      <c r="BM816" s="2" t="s">
        <v>4596</v>
      </c>
    </row>
    <row r="817" spans="1:69" ht="126" x14ac:dyDescent="0.45">
      <c r="A817" s="5">
        <v>816</v>
      </c>
      <c r="B817" s="6" t="s">
        <v>579</v>
      </c>
      <c r="C817" s="6" t="s">
        <v>1816</v>
      </c>
      <c r="D817" s="7" t="s">
        <v>9752</v>
      </c>
      <c r="E817" s="1" t="s">
        <v>1327</v>
      </c>
      <c r="F817" s="1" t="s">
        <v>4597</v>
      </c>
      <c r="G817" s="1"/>
      <c r="J817" s="1" t="s">
        <v>9753</v>
      </c>
      <c r="K817" s="2"/>
      <c r="L817" s="2" t="s">
        <v>9065</v>
      </c>
      <c r="P817" s="7" t="s">
        <v>1241</v>
      </c>
      <c r="AU817" s="15"/>
      <c r="AV817" s="1" t="s">
        <v>1502</v>
      </c>
      <c r="BG817" s="7" t="s">
        <v>1503</v>
      </c>
      <c r="BH817" s="1" t="s">
        <v>1947</v>
      </c>
      <c r="BI817" s="2" t="s">
        <v>4598</v>
      </c>
      <c r="BJ817" s="1" t="s">
        <v>2036</v>
      </c>
      <c r="BK817" s="1" t="s">
        <v>4599</v>
      </c>
      <c r="BL817" s="1" t="s">
        <v>1959</v>
      </c>
      <c r="BM817" s="1" t="s">
        <v>4600</v>
      </c>
      <c r="BN817" s="1" t="s">
        <v>1875</v>
      </c>
      <c r="BO817" s="2" t="s">
        <v>4601</v>
      </c>
      <c r="BP817" s="1" t="s">
        <v>1877</v>
      </c>
      <c r="BQ817" s="2" t="s">
        <v>4602</v>
      </c>
    </row>
    <row r="818" spans="1:69" ht="144" x14ac:dyDescent="0.45">
      <c r="A818" s="5">
        <v>817</v>
      </c>
      <c r="B818" s="6" t="s">
        <v>580</v>
      </c>
      <c r="C818" s="6" t="s">
        <v>1816</v>
      </c>
      <c r="D818" s="7" t="s">
        <v>9752</v>
      </c>
      <c r="E818" s="1" t="s">
        <v>1327</v>
      </c>
      <c r="F818" s="1" t="s">
        <v>1398</v>
      </c>
      <c r="G818" s="1"/>
      <c r="J818" s="1" t="s">
        <v>9753</v>
      </c>
      <c r="K818" s="2" t="s">
        <v>9066</v>
      </c>
      <c r="L818" s="3" t="s">
        <v>9067</v>
      </c>
      <c r="P818" s="7" t="s">
        <v>1241</v>
      </c>
      <c r="Q818" s="19" t="str">
        <f>INDEX($L:$L, MATCH("sort", $B:$B, 0))</f>
        <v>&lt;span class="w"&gt;&lt;b&gt;【209.sort：〜を分類する】&lt;/b&gt;&lt;/span&gt;
&lt;span class="ml"&gt;ラテン語sors（くじ, 運命, 割り当て）に由来する。
&lt;span class="spacer"&gt;&lt;/span&gt;くじの結果のように、運命によって人に割り当てられたものという意味から、運命が人に割り当てた現在の地位・階級といった意味へと発展した。
&lt;span class="spacer"&gt;&lt;/span&gt;そこから、Aは貴族に、Bは中流に、Cは労働者に、Dは奴隷に…といったように、ある対象を何かに割り当てて分けるという動詞になり、「分類する」という意味になった。&lt;/span&gt;</v>
      </c>
      <c r="R818" s="19" t="str">
        <f>INDEX($L:$L, MATCH("preserve", $B:$B, 0))</f>
        <v>&lt;span class="w"&gt;&lt;b&gt;【327.preserve：～を保存する, ～を保持する, ～を保護する】&lt;/b&gt;&lt;/span&gt;
&lt;span class="ml"&gt;ラテン語に由来する語で、以下の2つの要素から成る。
&lt;span class="spacer"&gt;&lt;/span&gt;prae（前もって）
servare（守る, 安全に保つ）
&lt;span class="spacer"&gt;&lt;/span&gt;このまま日本語にすると「前もって安全に保つ」となる。変化や劣化が起こる前に安全に保つということから「保存する, 保持する, 保護する」という意味になる。
&lt;div class="sample_image preserve"&gt;&lt;/div&gt;&lt;/span&gt;</v>
      </c>
      <c r="S818" s="19" t="str">
        <f>INDEX($L:$L, MATCH("desert", $B:$B, 0))</f>
        <v>&lt;span class="w"&gt;&lt;b&gt;【373.desert：砂漠, 不毛な土地】&lt;/b&gt;&lt;/span&gt;
&lt;span class="ml"&gt;ラテン語に由来する語で、以下の2つの要素から成る。
&lt;span class="spacer"&gt;&lt;/span&gt;de（離れて）
serere（結びつける）
&lt;span class="spacer"&gt;&lt;/span&gt;このまま日本語にすると「結びつきを離す」となる。持ち主との結びつきが離れた、つまり放棄された土地を指し、「不毛な土地, 砂漠」という意味になる。&lt;/span&gt;</v>
      </c>
      <c r="T818" s="19" t="str">
        <f>INDEX($L:$L, MATCH("reserve", $B:$B, 0))</f>
        <v>&lt;span class="w"&gt;&lt;b&gt;【617.reserve：〜を予約する, 〜を取っておく】&lt;/b&gt;&lt;/span&gt;
&lt;span class="ml"&gt;ラテン語に由来する語で、以下の2つの要素から成る。
&lt;span class="spacer"&gt;&lt;/span&gt;re（後ろへ）
servare（保つ, 守る）
&lt;span class="spacer"&gt;&lt;/span&gt;このまま日本語にすると「後ろへ保つ」となる。何かを後ろに置いて保っておくイメージから「取っておく, 予約する」という意味になる。
&lt;div class="sample_image reserve"&gt;&lt;/div&gt;&lt;/span&gt;</v>
      </c>
      <c r="U818" s="19" t="str">
        <f>INDEX($L:$L, MATCH("conservation", $B:$B, 0))</f>
        <v>&lt;span class="w"&gt;&lt;b&gt;【666.conservation：保護, 保存】&lt;/b&gt;&lt;/span&gt;
&lt;span class="ml"&gt;ラテン語に由来する語で、以下の2つの要素から成る。
&lt;span class="spacer"&gt;&lt;/span&gt;com（強意）
servare（見守る, 保つ）
&lt;span class="spacer"&gt;&lt;/span&gt;このまま日本語にすると「しっかり保つ」となる。そこから、資源や自然、動物などの減少・損失を防ぐこと、つまり「保護, 保存」という意味になる。&lt;/span&gt;</v>
      </c>
      <c r="V818" s="19" t="str">
        <f>INDEX($L:$L, MATCH("assert", $B:$B, 0))</f>
        <v>&lt;span class="w"&gt;&lt;b&gt;【1325.assert：〜を主張する】&lt;/b&gt;&lt;/span&gt;
&lt;span class="ml"&gt;ラテン語に由来する語で、以下の2つの要素から成る。
&lt;span class="spacer"&gt;&lt;/span&gt;ad（〜へ）
serere（結びつける）
&lt;span class="spacer"&gt;&lt;/span&gt;この語の核は「自分の側へ結びつける」。古代ローマでは、法的文脈において、ある人や物を自分の権利に属するものとして主張するという意味で用いられた。
&lt;span class="spacer"&gt;&lt;/span&gt;この自分の側に結びつけて権利や立場を認めさせるという感覚から、現代でも、権利や立場を「主張する」や、ある事柄を強く断言して「主張する」という意味になった。
&lt;span class="spacer"&gt;&lt;/span&gt;assertのsert部分は、間に入れて結びつけるinsert（挿入する）や、人や植物との結びつきが話されたdesert（砂漠, 見捨てる）にも含まれている。&lt;/span&gt;</v>
      </c>
      <c r="AU818" s="15"/>
      <c r="AV818" s="1" t="s">
        <v>1502</v>
      </c>
      <c r="BG818" s="7" t="s">
        <v>1503</v>
      </c>
      <c r="BH818" s="1" t="s">
        <v>1947</v>
      </c>
      <c r="BI818" s="2" t="s">
        <v>9068</v>
      </c>
      <c r="BJ818" s="1" t="s">
        <v>2036</v>
      </c>
      <c r="BK818" s="1" t="s">
        <v>4603</v>
      </c>
      <c r="BL818" s="1" t="s">
        <v>1959</v>
      </c>
      <c r="BM818" s="1" t="s">
        <v>4604</v>
      </c>
      <c r="BN818" s="1" t="s">
        <v>1875</v>
      </c>
      <c r="BO818" s="2" t="s">
        <v>4605</v>
      </c>
    </row>
    <row r="819" spans="1:69" ht="72" x14ac:dyDescent="0.45">
      <c r="A819" s="5">
        <v>818</v>
      </c>
      <c r="B819" s="6" t="s">
        <v>581</v>
      </c>
      <c r="C819" s="6" t="s">
        <v>1816</v>
      </c>
      <c r="D819" s="7" t="s">
        <v>9752</v>
      </c>
      <c r="E819" s="1" t="s">
        <v>581</v>
      </c>
      <c r="F819" s="1"/>
      <c r="G819" s="1"/>
      <c r="J819" s="1" t="s">
        <v>9753</v>
      </c>
      <c r="K819" s="2" t="s">
        <v>4606</v>
      </c>
      <c r="L819" s="2" t="s">
        <v>9069</v>
      </c>
      <c r="M819" s="1" t="s">
        <v>12217</v>
      </c>
      <c r="P819" s="7" t="s">
        <v>1241</v>
      </c>
      <c r="Q819" s="13" t="str">
        <f>INDEX($L:$L, MATCH("apparent", $B:$B, 0))</f>
        <v>&lt;span class="w"&gt;&lt;b&gt;【791.apparent：明白な, 一見〜らしい】&lt;/b&gt;&lt;/span&gt;
&lt;span class="ml"&gt;ラテン語に由来する語で、以下の2つの要素から成る。
&lt;span class="spacer"&gt;&lt;/span&gt;ad（〜へ）
parere（目にみえる, 出現する）
&lt;span class="spacer"&gt;&lt;/span&gt;このまま日本語にすると「〜へ現れる」となる。これはappear（現れる）の語源でもある。何かが視界に入るイメージから、目に見えて「明白な」という意味になる。
&lt;span class="spacer"&gt;&lt;/span&gt;また感覚や認識で見えたものが、本当に見えた通りであるとは限らない。ここから「一見〜らしい」という意味になる。&lt;/span&gt;</v>
      </c>
      <c r="R819" s="13" t="str">
        <f>INDEX($L:$L, MATCH("transparent", $B:$B, 0))</f>
        <v>&lt;span class="w"&gt;&lt;b&gt;【1285.transparent：透明な】&lt;/b&gt;&lt;/span&gt;
&lt;span class="ml"&gt;ラテン語に由来する語で、以下の2つの要素から成る。
&lt;span class="spacer"&gt;&lt;/span&gt;trans（越えて, 通り抜けて）
parere（現れる）
&lt;span class="spacer"&gt;&lt;/span&gt;このまま日本語にすると「通り抜けて現れる」となる。ふつうは、ある物体Aの手前に別の物Bがあると、奥にあるAはBに遮られて見えなくなる。だがtransparentは、光が透けて奥にある物Aが現れることから「透明な」という意味になる。
&lt;span class="spacer"&gt;&lt;/span&gt;transparentのparent部分は、appearのpear部分と同じ。どちらもラテン語parere（現れる）に由来する。&lt;/span&gt;
&lt;div class="animation transparent"&gt;&lt;/div&gt;</v>
      </c>
      <c r="AU819" s="15"/>
      <c r="AV819" s="1" t="s">
        <v>1502</v>
      </c>
      <c r="BG819" s="7" t="s">
        <v>1503</v>
      </c>
      <c r="BH819" s="1" t="s">
        <v>1875</v>
      </c>
      <c r="BI819" s="2" t="s">
        <v>4607</v>
      </c>
      <c r="BJ819" s="1" t="s">
        <v>1877</v>
      </c>
      <c r="BK819" s="2" t="s">
        <v>4608</v>
      </c>
    </row>
    <row r="820" spans="1:69" ht="144" x14ac:dyDescent="0.45">
      <c r="A820" s="5">
        <v>819</v>
      </c>
      <c r="B820" s="6" t="s">
        <v>582</v>
      </c>
      <c r="C820" s="6" t="s">
        <v>1816</v>
      </c>
      <c r="D820" s="7" t="s">
        <v>9752</v>
      </c>
      <c r="E820" s="1" t="s">
        <v>1327</v>
      </c>
      <c r="F820" s="1" t="s">
        <v>4609</v>
      </c>
      <c r="G820" s="1"/>
      <c r="J820" s="1" t="s">
        <v>9753</v>
      </c>
      <c r="K820" s="2"/>
      <c r="L820" s="3" t="s">
        <v>9070</v>
      </c>
      <c r="P820" s="7" t="s">
        <v>1241</v>
      </c>
      <c r="AV820" s="1" t="s">
        <v>1502</v>
      </c>
      <c r="BG820" s="7" t="s">
        <v>1503</v>
      </c>
      <c r="BH820" s="1" t="s">
        <v>1947</v>
      </c>
      <c r="BI820" s="1" t="s">
        <v>4610</v>
      </c>
      <c r="BJ820" s="1" t="s">
        <v>2026</v>
      </c>
      <c r="BK820" s="1" t="s">
        <v>4611</v>
      </c>
      <c r="BL820" s="1" t="s">
        <v>1959</v>
      </c>
      <c r="BM820" s="2" t="s">
        <v>4612</v>
      </c>
      <c r="BN820" s="1" t="s">
        <v>1875</v>
      </c>
      <c r="BO820" s="2" t="s">
        <v>4613</v>
      </c>
      <c r="BP820" s="1" t="s">
        <v>1877</v>
      </c>
      <c r="BQ820" s="2" t="s">
        <v>4614</v>
      </c>
    </row>
    <row r="821" spans="1:69" ht="162" x14ac:dyDescent="0.45">
      <c r="A821" s="5">
        <v>820</v>
      </c>
      <c r="B821" s="8" t="s">
        <v>4615</v>
      </c>
      <c r="C821" s="6" t="s">
        <v>1816</v>
      </c>
      <c r="D821" s="7" t="s">
        <v>9752</v>
      </c>
      <c r="E821" s="1" t="s">
        <v>46</v>
      </c>
      <c r="F821" s="1" t="s">
        <v>4616</v>
      </c>
      <c r="G821" s="1"/>
      <c r="J821" s="1" t="s">
        <v>9753</v>
      </c>
      <c r="K821" s="2"/>
      <c r="L821" s="3" t="s">
        <v>9071</v>
      </c>
      <c r="M821" s="1" t="s">
        <v>12186</v>
      </c>
      <c r="P821" s="7" t="s">
        <v>1241</v>
      </c>
      <c r="Q821" s="13" t="str">
        <f>INDEX($L:$L, MATCH("universal", $B:$B, 0))</f>
        <v>&lt;span class="w"&gt;&lt;b&gt;【282.universal：普遍的な, 宇宙の】&lt;/b&gt;&lt;/span&gt;
&lt;span class="ml"&gt;ラテン語に由来する語で、以下の3つの要素から成る。
&lt;span class="spacer"&gt;&lt;/span&gt;unus（1つ）
vertere（回す, 向きを変える）
alis（形容詞化）
&lt;span class="spacer"&gt;&lt;/span&gt;このまま日本語にすると「ひとつに回す」となる。回転することで中心に巻き込まれていって全体がひとつになるイメージから、世界全体や宇宙全体に関わる＝「普遍的な, 宇宙の」という意味になる。
普遍的とは広く全体に当てはまるということ。&lt;/span&gt;</v>
      </c>
      <c r="R821" s="13" t="str">
        <f>INDEX($L:$L, MATCH("advertise", $B:$B, 0))</f>
        <v>&lt;span class="w"&gt;&lt;b&gt;【414.advertise：〜を宣伝する】&lt;/b&gt;&lt;/span&gt;
&lt;span class="ml"&gt;ラテン語に由来する語で、以下の2つの要素から成る。
&lt;span class="spacer"&gt;&lt;/span&gt;ad（〜へ）
vertere（回す, 向ける）
&lt;span class="spacer"&gt;&lt;/span&gt;この語の核は「注意をある方向へ向けさせる」ということ。人の注意を特定の対象に向けさせることから、商品などに目を向けさせる＝「何かを宣伝する」という意味になる。
&lt;div class="sample_image advertise"&gt;&lt;/div&gt;&lt;/span&gt;</v>
      </c>
      <c r="S821" s="13" t="str">
        <f>INDEX($L:$L, MATCH("diversity", $B:$B, 0))</f>
        <v>&lt;span class="w"&gt;&lt;b&gt;【456.diversity：多様性, 相違点】&lt;/b&gt;&lt;/span&gt;
&lt;span class="ml"&gt;ラテン語に由来する語で、以下の3つの要素から成る。
&lt;span class="spacer"&gt;&lt;/span&gt;dis（離れて）
vertere（回す, 向ける）
tas（名詞化）
&lt;span class="spacer"&gt;&lt;/span&gt;このまま日本語にすると「離れた（異なる）方向に向けること」となる。これは、それぞれが異なる方向を向いているイメージ。そこから、物事がさまざまに分かれている状態を表し、「多様性, 相違点」という意味になる。&lt;/span&gt;</v>
      </c>
      <c r="T821" s="13" t="str">
        <f>INDEX($L:$L, MATCH("reverse", $B:$B, 0))</f>
        <v>&lt;span class="w"&gt;&lt;b&gt;【726.reverse：〜を逆転させる, 〜を反対にする】&lt;/b&gt;&lt;/span&gt;
&lt;span class="ml"&gt;ラテン語に由来する語で、以下の2つの要素から成る。
&lt;span class="spacer"&gt;&lt;/span&gt;re（再び, 後ろへ）
vertere（回す, 向ける）
&lt;span class="spacer"&gt;&lt;/span&gt;このまま日本語にすると「後ろへ向ける」や「再び回す」となる。このような向きを変える、ひっくり返す動きから、何かを「逆転させる, 反対にする」という意味になる。&lt;/span&gt;</v>
      </c>
      <c r="U821" s="13" t="str">
        <f>INDEX($L:$L, MATCH("divorce", $B:$B, 0))</f>
        <v>&lt;span class="w"&gt;&lt;b&gt;【764.divorce：離婚, 分離】&lt;/b&gt;&lt;/span&gt;
&lt;span class="ml"&gt;ラテン語に由来する語で、以下の2つの要素から成る。
&lt;span class="spacer"&gt;&lt;/span&gt;dis（離れて）
vertere（向ける）
&lt;span class="spacer"&gt;&lt;/span&gt;このまま日本語にすると「離れた方向に向ける」となる。もともとは何かの「分離」を意味した。そして、人生という道を共にする夫婦が離れた方を向いて行くことから「離婚」という意味になった。
&lt;div class="sample_image divorce"&gt;&lt;/div&gt;&lt;/span&gt;</v>
      </c>
      <c r="V821" s="13" t="str">
        <f>INDEX($L:$L, MATCH("controversy", $B:$B, 0))</f>
        <v>&lt;span class="w"&gt;&lt;b&gt;【1152.controversy：論争】&lt;/b&gt;&lt;/span&gt;
&lt;span class="ml"&gt;ラテン語に由来する語で、以下の3つの要素から成る。
&lt;span class="spacer"&gt;&lt;/span&gt;contra（反対に）
versus（〜の方に向けられた)
ia（名詞化）
&lt;span class="spacer"&gt;&lt;/span&gt;この語の核は「相手と同じ方向ではなく反対に向いていること、向き合っていること」。つまり考えや立場が対立して争っていることを表し、そこから 「論争」という意味になる。
&lt;div class="sample_image controversy"&gt;&lt;/div&gt;&lt;/span&gt;</v>
      </c>
      <c r="W821" s="13" t="str">
        <f>INDEX($L:$L, MATCH("anniversary", $B:$B, 0))</f>
        <v>&lt;span class="w"&gt;&lt;b&gt;【1245.anniversary：〜周年の記念日】&lt;/b&gt;&lt;/span&gt;
&lt;span class="ml"&gt;ラテン語に由来する語で、以下の4つの要素から成る。
&lt;span class="spacer"&gt;&lt;/span&gt;annus（年）
vertere（回す）の過去分詞versus（回された）
arius（形容詞化）
um（名詞化）
&lt;span class="spacer"&gt;&lt;/span&gt;この語の核は「毎年回ってくる日」。
そこから「周年の記念日」という意味になる。&lt;/span&gt;</v>
      </c>
      <c r="X821" s="13" t="str">
        <f>INDEX($L:$L, MATCH("version", $B:$B, 0))</f>
        <v>&lt;span class="w"&gt;&lt;b&gt;【364.version：〜版】&lt;/b&gt;&lt;/span&gt;
&lt;span class="ml"&gt;ラテン語に由来する語で、以下の2つの要素から成る。
&lt;span class="spacer"&gt;&lt;/span&gt;vertere（回す, 向ける）
io（名詞化）
&lt;span class="spacer"&gt;&lt;/span&gt;このまま日本語にすると「回すこと, 向けること」となる。あるものの向きを別の方へ変えるイメージから、既にあるものを元に別の形へ変えること＝「〜版」という意味になる。&lt;/span&gt;</v>
      </c>
      <c r="Y821" s="13" t="str">
        <f>INDEX($L:$L, MATCH("versus", $B:$B, 0))</f>
        <v>&lt;span class="w"&gt;&lt;b&gt;【1100.versus：（A versus B）A対B】&lt;/b&gt;&lt;/span&gt;
&lt;span class="ml"&gt;ラテン語vertere（回す, 向ける）の過去分詞versus（〜の方に向けられた, 〜に対して）に由来する。
&lt;span class="spacer"&gt;&lt;/span&gt;何かの方に向けられていることから「対する, A対B」という意味になる。A versus BはAがBの方に向けられているというイメージ。&lt;/span&gt;</v>
      </c>
      <c r="Z821" s="13" t="str">
        <f>INDEX($L:$L, MATCH("vertical", $B:$B, 0))</f>
        <v>&lt;span class="w"&gt;&lt;b&gt;【1188.vertical：垂直の】&lt;/b&gt;&lt;/span&gt;
&lt;span class="ml"&gt;ラテン語に由来する語で、以下の2つの要素から成る。
&lt;span class="spacer"&gt;&lt;/span&gt;vertere（回す）から派生したvertex（回転, 渦, 頂点）
alis（形容詞化）
&lt;span class="spacer"&gt;&lt;/span&gt;この語の核は「回転」。物体の回転や天体の回転、水の渦、髪の渦（つむじ）など、あらゆる回転には中心を通る上下に伸びる軸がある。たとえば天体の回転も、観察者の真上に中心があり、そこを軸として空全体が回転しているように見える。
&lt;span class="spacer"&gt;&lt;/span&gt;そこから、天頂から地平線に対してまっすぐ下ろした線、つまり真上にある頂点から真下へと直角に交わる線へと繋がって「垂直な」という意味になった。
&lt;div class="sample_image vertical"&gt;&lt;/div&gt;&lt;/span&gt;</v>
      </c>
      <c r="AU821" s="15"/>
      <c r="AV821" s="1" t="s">
        <v>1502</v>
      </c>
      <c r="BG821" s="7" t="s">
        <v>1503</v>
      </c>
      <c r="BH821" s="1" t="s">
        <v>1947</v>
      </c>
      <c r="BI821" s="2" t="s">
        <v>4617</v>
      </c>
      <c r="BJ821" s="1" t="s">
        <v>2026</v>
      </c>
      <c r="BK821" s="1" t="s">
        <v>4618</v>
      </c>
      <c r="BL821" s="1" t="s">
        <v>1959</v>
      </c>
      <c r="BM821" s="2" t="s">
        <v>4619</v>
      </c>
      <c r="BN821" s="1" t="s">
        <v>1875</v>
      </c>
      <c r="BO821" s="2" t="s">
        <v>4620</v>
      </c>
    </row>
    <row r="822" spans="1:69" ht="72" x14ac:dyDescent="0.45">
      <c r="A822" s="5">
        <v>821</v>
      </c>
      <c r="B822" s="6" t="s">
        <v>583</v>
      </c>
      <c r="C822" s="6" t="s">
        <v>1816</v>
      </c>
      <c r="D822" s="7" t="s">
        <v>9752</v>
      </c>
      <c r="E822" s="1" t="s">
        <v>583</v>
      </c>
      <c r="F822" s="1"/>
      <c r="G822" s="1"/>
      <c r="J822" s="1" t="s">
        <v>9753</v>
      </c>
      <c r="K822" s="1" t="s">
        <v>4621</v>
      </c>
      <c r="L822" s="2" t="s">
        <v>9072</v>
      </c>
      <c r="P822" s="7" t="s">
        <v>1241</v>
      </c>
      <c r="AV822" s="1" t="s">
        <v>1502</v>
      </c>
      <c r="BG822" s="7" t="s">
        <v>1503</v>
      </c>
      <c r="BH822" s="1" t="s">
        <v>1947</v>
      </c>
      <c r="BI822" s="1" t="s">
        <v>4622</v>
      </c>
      <c r="BJ822" s="1" t="s">
        <v>1875</v>
      </c>
      <c r="BK822" s="1" t="s">
        <v>4623</v>
      </c>
    </row>
    <row r="823" spans="1:69" ht="126" x14ac:dyDescent="0.45">
      <c r="A823" s="5">
        <v>822</v>
      </c>
      <c r="B823" s="6" t="s">
        <v>584</v>
      </c>
      <c r="C823" s="6" t="s">
        <v>1816</v>
      </c>
      <c r="D823" s="7" t="s">
        <v>9752</v>
      </c>
      <c r="E823" s="1" t="s">
        <v>1327</v>
      </c>
      <c r="F823" s="1" t="s">
        <v>4624</v>
      </c>
      <c r="G823" s="1"/>
      <c r="J823" s="1" t="s">
        <v>9753</v>
      </c>
      <c r="K823" s="2" t="s">
        <v>9073</v>
      </c>
      <c r="L823" s="2" t="s">
        <v>9074</v>
      </c>
      <c r="P823" s="7" t="s">
        <v>1241</v>
      </c>
      <c r="AU823" s="15"/>
      <c r="AV823" s="1" t="s">
        <v>1502</v>
      </c>
      <c r="BG823" s="7" t="s">
        <v>1503</v>
      </c>
      <c r="BH823" s="1" t="s">
        <v>1947</v>
      </c>
      <c r="BI823" s="2" t="s">
        <v>4625</v>
      </c>
      <c r="BJ823" s="1" t="s">
        <v>1959</v>
      </c>
      <c r="BK823" s="2" t="s">
        <v>4626</v>
      </c>
      <c r="BL823" s="1" t="s">
        <v>1875</v>
      </c>
      <c r="BM823" s="2" t="s">
        <v>4627</v>
      </c>
    </row>
    <row r="824" spans="1:69" ht="54" x14ac:dyDescent="0.45">
      <c r="A824" s="5">
        <v>823</v>
      </c>
      <c r="B824" s="6" t="s">
        <v>585</v>
      </c>
      <c r="C824" s="6" t="s">
        <v>1816</v>
      </c>
      <c r="D824" s="7" t="s">
        <v>9752</v>
      </c>
      <c r="E824" s="1" t="s">
        <v>585</v>
      </c>
      <c r="F824" s="1"/>
      <c r="G824" s="1"/>
      <c r="J824" s="1" t="s">
        <v>9753</v>
      </c>
      <c r="K824" s="1" t="s">
        <v>4628</v>
      </c>
      <c r="L824" s="2" t="s">
        <v>9075</v>
      </c>
      <c r="P824" s="7" t="s">
        <v>1241</v>
      </c>
      <c r="AU824" s="15"/>
      <c r="AV824" s="1" t="s">
        <v>1502</v>
      </c>
      <c r="BG824" s="7" t="s">
        <v>1503</v>
      </c>
      <c r="BH824" s="1" t="s">
        <v>1877</v>
      </c>
      <c r="BI824" s="2" t="s">
        <v>4629</v>
      </c>
    </row>
    <row r="825" spans="1:69" ht="198" x14ac:dyDescent="0.45">
      <c r="A825" s="5">
        <v>824</v>
      </c>
      <c r="B825" s="6" t="s">
        <v>586</v>
      </c>
      <c r="C825" s="6" t="s">
        <v>1816</v>
      </c>
      <c r="D825" s="7" t="s">
        <v>9752</v>
      </c>
      <c r="E825" s="1" t="s">
        <v>1447</v>
      </c>
      <c r="F825" s="1" t="s">
        <v>4630</v>
      </c>
      <c r="G825" s="1"/>
      <c r="J825" s="1" t="s">
        <v>9753</v>
      </c>
      <c r="K825" s="2"/>
      <c r="L825" s="3" t="s">
        <v>9076</v>
      </c>
      <c r="P825" s="7" t="s">
        <v>1241</v>
      </c>
      <c r="AU825" s="15"/>
      <c r="AV825" s="1" t="s">
        <v>1502</v>
      </c>
      <c r="BG825" s="7" t="s">
        <v>1503</v>
      </c>
      <c r="BH825" s="1" t="s">
        <v>1947</v>
      </c>
      <c r="BI825" s="2" t="s">
        <v>4631</v>
      </c>
      <c r="BJ825" s="1" t="s">
        <v>2036</v>
      </c>
      <c r="BK825" s="1" t="s">
        <v>4632</v>
      </c>
      <c r="BL825" s="1" t="s">
        <v>1959</v>
      </c>
      <c r="BM825" s="2" t="s">
        <v>4633</v>
      </c>
      <c r="BN825" s="1" t="s">
        <v>1875</v>
      </c>
      <c r="BO825" s="2" t="s">
        <v>4634</v>
      </c>
    </row>
    <row r="826" spans="1:69" ht="234" x14ac:dyDescent="0.45">
      <c r="A826" s="5">
        <v>825</v>
      </c>
      <c r="B826" s="8" t="s">
        <v>587</v>
      </c>
      <c r="C826" s="6" t="s">
        <v>1816</v>
      </c>
      <c r="D826" s="7" t="s">
        <v>9752</v>
      </c>
      <c r="E826" s="1" t="s">
        <v>1859</v>
      </c>
      <c r="F826" s="1" t="s">
        <v>1251</v>
      </c>
      <c r="G826" s="1" t="s">
        <v>1416</v>
      </c>
      <c r="J826" s="1" t="s">
        <v>9753</v>
      </c>
      <c r="K826" s="2"/>
      <c r="L826" s="3" t="s">
        <v>9077</v>
      </c>
      <c r="P826" s="7" t="s">
        <v>1241</v>
      </c>
      <c r="Q826" s="13" t="str">
        <f>INDEX($L:$L, MATCH("respond", $B:$B, 0))</f>
        <v>&lt;span class="w"&gt;&lt;b&gt;【231.respond：～に反応する, ～に答える】&lt;/b&gt;&lt;/span&gt;
&lt;span class="ml"&gt;ラテン語に由来する語で、以下の2つの要素から成る。
&lt;span class="spacer"&gt;&lt;/span&gt;re（戻る）
spondere（約束する）
&lt;span class="spacer"&gt;&lt;/span&gt;これは「相手が言ったことに自分も約束を返す（戻す）」というイメージ。ここから相手に「答える」や、こちらに来るものに「反応する」という意味になる。&lt;/span&gt;</v>
      </c>
      <c r="AU826" s="15"/>
      <c r="AV826" s="1" t="s">
        <v>1502</v>
      </c>
      <c r="BG826" s="7" t="s">
        <v>1503</v>
      </c>
      <c r="BH826" s="1" t="s">
        <v>1947</v>
      </c>
      <c r="BI826" s="2" t="s">
        <v>4635</v>
      </c>
      <c r="BJ826" s="1" t="s">
        <v>1967</v>
      </c>
      <c r="BK826" s="2" t="s">
        <v>4636</v>
      </c>
      <c r="BL826" s="1" t="s">
        <v>1996</v>
      </c>
      <c r="BM826" s="2" t="s">
        <v>4637</v>
      </c>
      <c r="BN826" s="1" t="s">
        <v>1877</v>
      </c>
      <c r="BO826" s="2" t="s">
        <v>4638</v>
      </c>
    </row>
    <row r="827" spans="1:69" ht="144" x14ac:dyDescent="0.45">
      <c r="A827" s="5">
        <v>826</v>
      </c>
      <c r="B827" s="8" t="s">
        <v>588</v>
      </c>
      <c r="C827" s="6" t="s">
        <v>1816</v>
      </c>
      <c r="D827" s="7" t="s">
        <v>9752</v>
      </c>
      <c r="E827" s="1" t="s">
        <v>29</v>
      </c>
      <c r="F827" s="1" t="s">
        <v>4639</v>
      </c>
      <c r="G827" s="1"/>
      <c r="J827" s="1" t="s">
        <v>9753</v>
      </c>
      <c r="K827" s="2"/>
      <c r="L827" s="3" t="s">
        <v>9078</v>
      </c>
      <c r="M827" s="1" t="s">
        <v>12153</v>
      </c>
      <c r="P827" s="7" t="s">
        <v>1241</v>
      </c>
      <c r="Q827" s="13" t="str">
        <f>INDEX($L:$L, MATCH("pose", $B:$B, 0))</f>
        <v>&lt;span class="w"&gt;&lt;b&gt;【804.pose：（危険）を引き起こす, （問題など）を提起する, ポーズをとる, 装う】&lt;/b&gt;&lt;/span&gt;
&lt;span class="ml"&gt;ラテン語に由来する語で、以下の2つの要素から成る。
&lt;span class="spacer"&gt;&lt;/span&gt;pausere（止まる, 休む, 休ませる）
ponere（置く）
&lt;span class="spacer"&gt;&lt;/span&gt;この語の核は「何かを置く」。問題や危険を置くことから「問題を提起する, 危険を引き起こす」という意味になる。またある態度や性格に身を置くことから、態度や性格を「装う」、またモデルなどが「ポーズをとる」という意味になる。
&lt;span class="spacer"&gt;&lt;/span&gt;poseの目的語にくるものを「置く」ことから文に合った訳を考えればよい。
&lt;div class="sample_image pose"&gt;&lt;/div&gt;&lt;/span&gt;</v>
      </c>
      <c r="R827" s="13" t="str">
        <f>INDEX($L:$L, MATCH("expose", $B:$B, 0))</f>
        <v>&lt;span class="w"&gt;&lt;b&gt;【433.expose：～をさらす, 〜を暴露する】&lt;/b&gt;&lt;/span&gt;
&lt;span class="ml"&gt;ラテン語に由来する語で、以下の2つの要素から成る。
&lt;span class="spacer"&gt;&lt;/span&gt;ex（外に）
ponere（置く）
&lt;span class="spacer"&gt;&lt;/span&gt;このまま日本語にすると「外に置く」となる。これは、内側にあるものを外側に置くイメージ。そこから何かを「さらす, 暴露する」という意味になる。
&lt;div class="sample_image expose"&gt;&lt;/div&gt;&lt;/span&gt;</v>
      </c>
      <c r="S827" s="13" t="str">
        <f>INDEX($L:$L, MATCH("propose", $B:$B, 0))</f>
        <v>&lt;span class="w"&gt;&lt;b&gt;【436.propose：〜を提案する】&lt;/b&gt;&lt;/span&gt;
&lt;span class="ml"&gt;ラテン語に由来する語で、以下の2つの要素から成る。
&lt;span class="spacer"&gt;&lt;/span&gt;pro（前へ）
ponere（置く）
&lt;span class="spacer"&gt;&lt;/span&gt;このまま日本語にすると「前に置く」となる。意見や考えを相手の前に置くイメージから「提案する」という意味になる。&lt;/span&gt;</v>
      </c>
      <c r="T827" s="13" t="str">
        <f>INDEX($L:$L, MATCH("oppose", $B:$B, 0))</f>
        <v>&lt;span class="w"&gt;&lt;b&gt;【513.oppose：〜に反対する, 〜を対抗させる】&lt;/b&gt;&lt;/span&gt;
&lt;span class="ml"&gt;ラテン語に由来する語で、以下の2つの要素から成る。
&lt;span class="spacer"&gt;&lt;/span&gt;ob（〜に対して）
ponere（置く）
&lt;span class="spacer"&gt;&lt;/span&gt;このまま日本語にすると「～に対して置く」となる。相手に対して自分を置く、つまり相手と自分が向かい合うように置くイメージから「反対する, 対抗させる」という意味になる。
&lt;div class="sample_image oppose"&gt;&lt;/div&gt;&lt;/span&gt;</v>
      </c>
      <c r="U827" s="13" t="str">
        <f>INDEX($L:$L, MATCH("dispose", $B:$B, 0))</f>
        <v>&lt;span class="w"&gt;&lt;b&gt;【1435.dispose：（of ~）〜を処分する, （dispose ~ to do）〜する気にさせる】&lt;/b&gt;&lt;/span&gt;
&lt;span class="ml"&gt;ラテン語に由来する語で、以下の2つの要素から成る。
&lt;span class="spacer"&gt;&lt;/span&gt;dis（離れて）
ponere（置く）
&lt;span class="spacer"&gt;&lt;/span&gt;このまま日本語にすると「離して置く」となるが、この語の核は「ごちゃごちゃしたものをそれぞれ離して整理し、あるべき位置へ置く」イメージ。
&lt;span class="spacer"&gt;&lt;/span&gt;不要なもの・問題などを整理して、それがあるべき場所へ置くことから「処分する」という意味になる。
&lt;span class="spacer"&gt;&lt;/span&gt;また相手の気持ちを整理して進むべき方向へ置くことから「何かをする気にさせる」となる。
&lt;span class="spacer"&gt;&lt;/span&gt;dispose 人 to do
人 be disposed to do
&lt;div class="sample_image dispose"&gt;&lt;/div&gt;&lt;/span&gt;</v>
      </c>
      <c r="V827" s="13" t="str">
        <f>INDEX($L:$L, MATCH("compose", $B:$B, 0))</f>
        <v>&lt;span class="w"&gt;&lt;b&gt;【833.compose：～を構成する, ～を創作する】&lt;/b&gt;&lt;/span&gt;
&lt;span class="ml"&gt;ラテン語に由来する語で、以下の2つの要素から成る。
&lt;span class="spacer"&gt;&lt;/span&gt;com（共に）
ponere（置く）
&lt;span class="spacer"&gt;&lt;/span&gt;このまま日本語にすると「共に置く」となる。2つ以上のものを一緒に置いて全体を形作ることから、構成要素となって全体を作り上げる＝「構成する, 創作する」という意味になる。
&lt;div class="sample_image compose"&gt;&lt;/div&gt;&lt;/span&gt;</v>
      </c>
      <c r="W827" s="13" t="str">
        <f>INDEX($L:$L, MATCH("suppose", $B:$B, 0))</f>
        <v>&lt;span class="w"&gt;&lt;b&gt;【121.suppose：～と仮定する, と思う】&lt;/b&gt;&lt;/span&gt;
&lt;span class="ml"&gt;ラテン語に由来する語で、以下の2つの要素から成る。
&lt;span class="spacer"&gt;&lt;/span&gt;sub（下に）
ponere（置く）
&lt;span class="spacer"&gt;&lt;/span&gt;このまま日本語にすると「下に置く」となる。思考において、何かを既にあるものとして土台に置くイメージから、何かを前提として置く＝「仮定する」という意味になる。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&lt;div class="sample_image suppose"&gt;&lt;/div&gt;
&lt;span class="spacer"&gt;&lt;/span&gt;supposeを「前提に置く」というイメージで覚えておけば、be supposed to do A（Aすることになっている）は、要は「Aするということが前提として置かれている」だけだと理解できる。&lt;/span&gt;</v>
      </c>
      <c r="X827" s="13" t="str">
        <f>INDEX($L:$L, MATCH("positive", $B:$B, 0))</f>
        <v>&lt;span class="w"&gt;&lt;b&gt;【179.positive：肯定的な, 確信して, （検査で）陽性の】&lt;/b&gt;&lt;/span&gt;
&lt;span class="ml"&gt;ラテン語に由来する語で、以下の2つの要素から成る。
&lt;span class="spacer"&gt;&lt;/span&gt;ponere（置く）の過去分詞positus（置かれる）
ivus（形容詞化）
&lt;span class="spacer"&gt;&lt;/span&gt;もともとは法律用語。法や権威あるものによって置かれる、つまり法や権威によって定められて否定のしようがないという意味で使われた。ここから「肯定的な, 確信して, 陽性の」という意味になる。&lt;/span&gt;</v>
      </c>
      <c r="Y827" s="13" t="str">
        <f>INDEX($L:$L, MATCH("deposit", $B:$B, 0))</f>
        <v>&lt;span class="w"&gt;&lt;b&gt;【1315.deposit：〜を置く, 〜を預ける】&lt;/b&gt;&lt;/span&gt;
&lt;span class="ml"&gt;ラテン語に由来する語で、以下の2つの要素から成る。
&lt;span class="spacer"&gt;&lt;/span&gt;de（離れて, 下に）
ponere（置く）
&lt;span class="spacer"&gt;&lt;/span&gt;このまま日本語にすると「離れて置く, 下に置く」となる。物理的に何かを「置く」という意味もあるが、金銭や貴重品を離れた場所に「預ける」という意味にもなる。
&lt;span class="spacer"&gt;&lt;/span&gt;depositのposit部分は、positionと同じなので、そこから「置く」というイメージ持っておくとよい。
&lt;div class="sample_image deposit"&gt;&lt;/div&gt;&lt;/span&gt;</v>
      </c>
      <c r="Z827" s="13" t="str">
        <f>INDEX($L:$L, MATCH("compound", $B:$B, 0))</f>
        <v>&lt;span class="w"&gt;&lt;b&gt;【1129.compound：〜を悪化させる, 〜を合成する, 〜を混合する】&lt;/b&gt;&lt;/span&gt;
&lt;span class="ml"&gt;ラテン語に由来する語で、以下の2つの要素から成る。
&lt;span class="spacer"&gt;&lt;/span&gt;com（共に）
ponere（置く）
&lt;span class="spacer"&gt;&lt;/span&gt;このまま日本語にすると「共に置く」となる。複数のものを一緒にすることから、何かを「合成する, 混合する, 調合する」といった意味になる。さらに、問題や困難などがどんどん一緒に置かれて積もっていくことから、状況や問題などを「悪化させる」という意味にもなる。
&lt;div class="sample_image compound"&gt;&lt;/div&gt;&lt;/span&gt;</v>
      </c>
      <c r="AA827" s="13" t="str">
        <f>INDEX($L:$L, MATCH("postpone", $B:$B, 0))</f>
        <v>&lt;span class="w"&gt;&lt;b&gt;【1134.postpone：〜を延期する】&lt;/b&gt;&lt;/span&gt;
&lt;span class="ml"&gt;ラテン語に由来する語で、以下の2つの要素から成る。
&lt;span class="spacer"&gt;&lt;/span&gt;post（後に）
ponere（置く）
&lt;span class="spacer"&gt;&lt;/span&gt;このまま日本語にすると「後に置く」となる。予定や物事を時間的に後に置くことから「延期する」という意味になる。&lt;/span&gt;
&lt;div class="animation postpone"&gt;&lt;/div&gt;</v>
      </c>
      <c r="AB827" s="13" t="str">
        <f>INDEX($L:$L, MATCH("component", $B:$B, 0))</f>
        <v>&lt;span class="w"&gt;&lt;b&gt;【677.component：構成要素, 部品】&lt;/b&gt;&lt;/span&gt;
&lt;span class="ml"&gt;ラテン語に由来する語で、以下の2つの要素から成る。
&lt;span class="spacer"&gt;&lt;/span&gt;com（共に）
ponere（置く）
&lt;span class="spacer"&gt;&lt;/span&gt;このまま日本語にすると「共に置く」となる。いくつかの部分を一緒に置くことで全体が構成されることから、全体の「構成要素, 部品」という意味になる。
&lt;div class="sample_image component"&gt;&lt;/div&gt;&lt;/span&gt;</v>
      </c>
      <c r="AC827" s="13" t="str">
        <f>INDEX($L:$L, MATCH("opponent", $B:$B, 0))</f>
        <v>&lt;span class="w"&gt;&lt;b&gt;【762.opponent：（試合や論争などの）相手, 反対者】&lt;/b&gt;&lt;/span&gt;
&lt;span class="ml"&gt;ラテン語に由来する語で、以下の3つの要素から成る。
&lt;span class="spacer"&gt;&lt;/span&gt;ob（前に, 対して）
ponere（置く）
ens（現在分詞を作る：〜しているもの）
&lt;span class="spacer"&gt;&lt;/span&gt;この語の核は「何かに対立する位置に置いてあるもの」。ここから「対戦相手, 反対者」という意味になる。
&lt;div class="sample_image opponent"&gt;&lt;/div&gt;&lt;/span&gt;</v>
      </c>
      <c r="AD827" s="13" t="str">
        <f>INDEX($L:$L, MATCH("posture", $B:$B, 0))</f>
        <v>&lt;span class="w"&gt;&lt;b&gt;【1451.posture：姿勢, 心構え】&lt;/b&gt;&lt;/span&gt;
&lt;span class="ml"&gt;ラテン語に由来する語で、以下の2つの要素から成る。
&lt;span class="spacer"&gt;&lt;/span&gt;ponere（置く）の過去分詞positus
ura（名詞化）
&lt;span class="spacer"&gt;&lt;/span&gt;このまま日本語にすると「置かれた状態」となる。これは何かの位置や配置を表したが、特に身体の各パーツの位置を指すようになり、そこから身体のポジション＝「姿勢」という意味になった。
&lt;span class="spacer"&gt;&lt;/span&gt;さらにそこから比喩的に、状況に対する心理的な姿勢＝「心構え」という意味にもなった。&lt;/span&gt;</v>
      </c>
      <c r="AE827" s="13" t="str">
        <f>INDEX($L:$L, MATCH("puzzle", $B:$B, 0))</f>
        <v>&lt;span class="w"&gt;&lt;b&gt;【624.puzzle：〜を当惑させる, 〜を困惑させる】&lt;/b&gt;&lt;/span&gt;
&lt;span class="ml"&gt;近代英語pose（難しい問題や質問で当惑させる）にさかのぼる。
&lt;span class="spacer"&gt;&lt;/span&gt;この語はパズルのように「頭に引っかかって前に進めない状態にする」というイメージ。ここから「当惑させる, 困惑させる」という意味になる。
&lt;span class="spacer"&gt;&lt;/span&gt;もともとはposeという形だったが、反復・継続を表すpuzzleという形になった。これにより困惑や当惑が反復・継続している状態、つまり頭の中がぐるぐる回るような状態を表した。&lt;/span&gt;</v>
      </c>
      <c r="AU827" s="15"/>
      <c r="AV827" s="1" t="s">
        <v>1502</v>
      </c>
      <c r="BG827" s="7" t="s">
        <v>1503</v>
      </c>
      <c r="BH827" s="1" t="s">
        <v>1959</v>
      </c>
      <c r="BI827" s="2" t="s">
        <v>4640</v>
      </c>
      <c r="BJ827" s="1" t="s">
        <v>1875</v>
      </c>
      <c r="BK827" s="2" t="s">
        <v>4641</v>
      </c>
      <c r="BL827" s="1" t="s">
        <v>1877</v>
      </c>
      <c r="BM827" s="2" t="s">
        <v>4642</v>
      </c>
    </row>
    <row r="828" spans="1:69" ht="126" x14ac:dyDescent="0.45">
      <c r="A828" s="5">
        <v>827</v>
      </c>
      <c r="B828" s="6" t="s">
        <v>589</v>
      </c>
      <c r="C828" s="6" t="s">
        <v>1816</v>
      </c>
      <c r="D828" s="7" t="s">
        <v>9752</v>
      </c>
      <c r="E828" s="1" t="s">
        <v>1251</v>
      </c>
      <c r="F828" s="1" t="s">
        <v>4643</v>
      </c>
      <c r="G828" s="1" t="s">
        <v>880</v>
      </c>
      <c r="J828" s="1" t="s">
        <v>9753</v>
      </c>
      <c r="K828" s="2" t="s">
        <v>9079</v>
      </c>
      <c r="L828" s="2" t="s">
        <v>9080</v>
      </c>
      <c r="P828" s="7" t="s">
        <v>1241</v>
      </c>
      <c r="AU828" s="15"/>
      <c r="AV828" s="1" t="s">
        <v>1502</v>
      </c>
      <c r="BG828" s="7" t="s">
        <v>1503</v>
      </c>
      <c r="BH828" s="1" t="s">
        <v>1947</v>
      </c>
      <c r="BI828" s="2" t="s">
        <v>4644</v>
      </c>
      <c r="BJ828" s="1" t="s">
        <v>1959</v>
      </c>
      <c r="BK828" s="2" t="s">
        <v>4645</v>
      </c>
      <c r="BL828" s="1" t="s">
        <v>2114</v>
      </c>
      <c r="BM828" s="2" t="s">
        <v>4646</v>
      </c>
      <c r="BN828" s="1" t="s">
        <v>1875</v>
      </c>
      <c r="BO828" s="2" t="s">
        <v>4647</v>
      </c>
    </row>
    <row r="829" spans="1:69" ht="162" x14ac:dyDescent="0.45">
      <c r="A829" s="5">
        <v>828</v>
      </c>
      <c r="B829" s="8" t="s">
        <v>590</v>
      </c>
      <c r="C829" s="6" t="s">
        <v>1816</v>
      </c>
      <c r="D829" s="7" t="s">
        <v>9752</v>
      </c>
      <c r="E829" s="1" t="s">
        <v>1251</v>
      </c>
      <c r="F829" s="1" t="s">
        <v>4648</v>
      </c>
      <c r="G829" s="1"/>
      <c r="J829" s="1" t="s">
        <v>9753</v>
      </c>
      <c r="K829" s="2"/>
      <c r="L829" s="2" t="s">
        <v>9081</v>
      </c>
      <c r="M829" s="1" t="s">
        <v>12149</v>
      </c>
      <c r="P829" s="7" t="s">
        <v>1241</v>
      </c>
      <c r="Q829" s="13" t="str">
        <f>INDEX($L:$L, MATCH("solve", $B:$B, 0))</f>
        <v>&lt;span class="w"&gt;&lt;b&gt;【107.solve：～を解く, ～を解決する】&lt;/b&gt;&lt;/span&gt;
&lt;span class="ml"&gt;ラテン語solvere（ゆるめる, ほどく, 解放する）に由来する。
&lt;span class="spacer"&gt;&lt;/span&gt;「ゆるめる, ほどく」から複雑にからまった問題をほどく＝「（問題を）解く, 解決する」という意味になる。
&lt;div class="sample_image solve"&gt;&lt;/div&gt;&lt;/span&gt;</v>
      </c>
      <c r="R829" s="13" t="str">
        <f>INDEX($L:$L, MATCH("absolute", $B:$B, 0))</f>
        <v>&lt;span class="w"&gt;&lt;b&gt;【688.absolute：絶対的な】&lt;/b&gt;&lt;/span&gt;
&lt;span class="ml"&gt;ラテン語に由来する語で、以下の2つの要素から成る。
&lt;span class="spacer"&gt;&lt;/span&gt;ab（離れて）
solvere（緩める, ほどく, 解放する）
&lt;span class="spacer"&gt;&lt;/span&gt;このまま日本語にすると「ほどいて離す」となる。他のものから分離していることから、他のものとの関係がなく（相対ではなく）「絶対的な」という意味になる。
&lt;div class="sample_image absolute"&gt;&lt;/div&gt;&lt;/span&gt;</v>
      </c>
      <c r="AU829" s="15"/>
      <c r="AV829" s="1" t="s">
        <v>1502</v>
      </c>
      <c r="BG829" s="7" t="s">
        <v>1503</v>
      </c>
      <c r="BH829" s="1" t="s">
        <v>1947</v>
      </c>
      <c r="BI829" s="2" t="s">
        <v>4649</v>
      </c>
      <c r="BJ829" s="1" t="s">
        <v>1959</v>
      </c>
      <c r="BK829" s="1" t="s">
        <v>4650</v>
      </c>
      <c r="BL829" s="1" t="s">
        <v>1875</v>
      </c>
      <c r="BM829" s="2" t="s">
        <v>4651</v>
      </c>
      <c r="BN829" s="1" t="s">
        <v>1877</v>
      </c>
      <c r="BO829" s="2" t="s">
        <v>4652</v>
      </c>
    </row>
    <row r="830" spans="1:69" ht="126" x14ac:dyDescent="0.45">
      <c r="A830" s="5">
        <v>829</v>
      </c>
      <c r="B830" s="8" t="s">
        <v>591</v>
      </c>
      <c r="C830" s="6" t="s">
        <v>1816</v>
      </c>
      <c r="D830" s="7" t="s">
        <v>9752</v>
      </c>
      <c r="E830" s="1" t="s">
        <v>1251</v>
      </c>
      <c r="F830" s="1" t="s">
        <v>4653</v>
      </c>
      <c r="G830" s="1"/>
      <c r="J830" s="1" t="s">
        <v>9753</v>
      </c>
      <c r="K830" s="2" t="s">
        <v>9082</v>
      </c>
      <c r="L830" s="2" t="s">
        <v>9083</v>
      </c>
      <c r="P830" s="7" t="s">
        <v>1241</v>
      </c>
      <c r="Q830" s="13" t="str">
        <f>INDEX($L:$L, MATCH("suggest", $B:$B, 0))</f>
        <v>&lt;span class="w"&gt;&lt;b&gt;【9.suggest：～を提案する, ～を示唆する】&lt;/b&gt;&lt;/span&gt; 
&lt;span class="ml"&gt;ラテン語に由来する語で、以下の2つの要素から成る。
&lt;span class="spacer"&gt;&lt;/span&gt;sub（下に, 下から）
gerere（運ぶ）
&lt;span class="spacer"&gt;&lt;/span&gt;このまま日本語にすると「下に運ぶ, 下から運ぶ」となる。これは火に薪をくべる（＝下に運ぶ）様子や、演劇で舞台の下からセリフを思い出させる（＝下から運ぶ）様子から、相手に何かを差し出すという意味になる。そしてアイデアを差し出す＝「提案する」となる。
&lt;span class="spacer"&gt;&lt;/span&gt;また相手に何かを差し出し、それによって別の何かを連想させたり気づかせたりする場合は「示唆する」となる。
&lt;div class="sample_image suggest"&gt;&lt;/div&gt;&lt;/span&gt;</v>
      </c>
      <c r="R830" s="13" t="str">
        <f>INDEX($L:$L, MATCH("exaggerate", $B:$B, 0))</f>
        <v>&lt;span class="w"&gt;&lt;b&gt;【1121.exaggerate：誇張する】&lt;/b&gt;&lt;/span&gt;
&lt;span class="ml"&gt;ラテン語に由来する語で、以下の3つの要素から成る。
&lt;span class="spacer"&gt;&lt;/span&gt;ex（完全に）
ad（〜へ）
gerere（運ぶ）
&lt;span class="spacer"&gt;&lt;/span&gt;このまま日本語にすると「〜へ徹底的に運ぶ」となる。これはどんどん一箇所へ運んで積み上げるイメージ。そこから比喩的に、話を盛る＝「誇張する」という意味になった。
&lt;div class="sample_image exaggerate"&gt;&lt;/div&gt;&lt;/span&gt;</v>
      </c>
      <c r="AU830" s="15"/>
      <c r="AV830" s="1" t="s">
        <v>1502</v>
      </c>
      <c r="BG830" s="7" t="s">
        <v>1503</v>
      </c>
      <c r="BH830" s="1" t="s">
        <v>1947</v>
      </c>
      <c r="BI830" s="2" t="s">
        <v>4654</v>
      </c>
      <c r="BJ830" s="1" t="s">
        <v>2036</v>
      </c>
      <c r="BK830" s="2" t="s">
        <v>4655</v>
      </c>
      <c r="BL830" s="1" t="s">
        <v>1967</v>
      </c>
      <c r="BM830" s="2" t="s">
        <v>4656</v>
      </c>
      <c r="BN830" s="1" t="s">
        <v>1959</v>
      </c>
      <c r="BO830" s="2" t="s">
        <v>4657</v>
      </c>
      <c r="BP830" s="1" t="s">
        <v>1875</v>
      </c>
      <c r="BQ830" s="2" t="s">
        <v>4658</v>
      </c>
    </row>
    <row r="831" spans="1:69" ht="144" x14ac:dyDescent="0.45">
      <c r="A831" s="5">
        <v>830</v>
      </c>
      <c r="B831" s="8" t="s">
        <v>592</v>
      </c>
      <c r="C831" s="6" t="s">
        <v>1816</v>
      </c>
      <c r="D831" s="7" t="s">
        <v>9752</v>
      </c>
      <c r="E831" s="1" t="s">
        <v>1730</v>
      </c>
      <c r="F831" s="1" t="s">
        <v>4659</v>
      </c>
      <c r="G831" s="1"/>
      <c r="J831" s="1" t="s">
        <v>9753</v>
      </c>
      <c r="K831" s="2" t="s">
        <v>9084</v>
      </c>
      <c r="L831" s="3" t="s">
        <v>9085</v>
      </c>
      <c r="M831" s="1" t="s">
        <v>12218</v>
      </c>
      <c r="P831" s="7" t="s">
        <v>1241</v>
      </c>
      <c r="Q831" s="13" t="str">
        <f>INDEX($L:$L, MATCH("disrupt", $B:$B, 0))</f>
        <v>&lt;span class="w"&gt;&lt;b&gt;【1414.disrupt：〜を混乱させる, 〜を分裂させる】&lt;/b&gt;&lt;/span&gt;
&lt;span class="ml"&gt;ラテン語に由来する語で、以下の2つの要素から成る。
&lt;span class="spacer"&gt;&lt;/span&gt;dis（離れて）
rumpere（壊す）
&lt;span class="spacer"&gt;&lt;/span&gt;このまま日本語にすると「壊して離す」となる。ひとつにまとまっている正常な状態から壊れてバラバラになるイメージから「分裂させる」という意味になる。
&lt;span class="spacer"&gt;&lt;/span&gt;また、秩序や機能などが壊れてバラバラになることから「混乱させる」という意味にもなる。
&lt;div class="sample_image disrupt"&gt;&lt;/div&gt;&lt;/span&gt;</v>
      </c>
      <c r="AU831" s="15"/>
      <c r="AV831" s="1" t="s">
        <v>1502</v>
      </c>
      <c r="BG831" s="7" t="s">
        <v>1503</v>
      </c>
      <c r="BH831" s="1" t="s">
        <v>1947</v>
      </c>
      <c r="BI831" s="2" t="s">
        <v>4660</v>
      </c>
      <c r="BJ831" s="1" t="s">
        <v>1875</v>
      </c>
      <c r="BK831" s="2" t="s">
        <v>4661</v>
      </c>
    </row>
    <row r="832" spans="1:69" ht="126" x14ac:dyDescent="0.45">
      <c r="A832" s="5">
        <v>831</v>
      </c>
      <c r="B832" s="6" t="s">
        <v>593</v>
      </c>
      <c r="C832" s="6" t="s">
        <v>1816</v>
      </c>
      <c r="D832" s="7" t="s">
        <v>9752</v>
      </c>
      <c r="E832" s="1" t="s">
        <v>593</v>
      </c>
      <c r="F832" s="1"/>
      <c r="G832" s="1"/>
      <c r="J832" s="1" t="s">
        <v>9753</v>
      </c>
      <c r="K832" s="1" t="s">
        <v>4662</v>
      </c>
      <c r="L832" s="2" t="s">
        <v>9086</v>
      </c>
      <c r="P832" s="7" t="s">
        <v>1241</v>
      </c>
      <c r="AU832" s="15"/>
      <c r="AV832" s="1" t="s">
        <v>1502</v>
      </c>
      <c r="BG832" s="7" t="s">
        <v>1503</v>
      </c>
      <c r="BH832" s="1" t="s">
        <v>1875</v>
      </c>
      <c r="BI832" s="2" t="s">
        <v>4663</v>
      </c>
      <c r="BJ832" s="1" t="s">
        <v>1877</v>
      </c>
      <c r="BK832" s="2" t="s">
        <v>4664</v>
      </c>
    </row>
    <row r="833" spans="1:69" ht="144" x14ac:dyDescent="0.45">
      <c r="A833" s="5">
        <v>832</v>
      </c>
      <c r="B833" s="6" t="s">
        <v>594</v>
      </c>
      <c r="C833" s="6" t="s">
        <v>1816</v>
      </c>
      <c r="D833" s="7" t="s">
        <v>9752</v>
      </c>
      <c r="E833" s="1" t="s">
        <v>31</v>
      </c>
      <c r="F833" s="1" t="s">
        <v>4564</v>
      </c>
      <c r="G833" s="1"/>
      <c r="J833" s="1" t="s">
        <v>9753</v>
      </c>
      <c r="K833" s="2" t="s">
        <v>9087</v>
      </c>
      <c r="L833" s="3" t="s">
        <v>9088</v>
      </c>
      <c r="M833" s="1" t="s">
        <v>12170</v>
      </c>
      <c r="P833" s="7" t="s">
        <v>1241</v>
      </c>
      <c r="Q833" s="13" t="str">
        <f>INDEX($L:$L, MATCH("habit", $B:$B, 0))</f>
        <v>&lt;span class="w"&gt;&lt;b&gt;【176.habit：習慣, 癖】&lt;/b&gt;&lt;/span&gt;
&lt;span class="ml"&gt;ラテン語habere（持つ）の過去分詞habitusに由来する。
&lt;span class="spacer"&gt;&lt;/span&gt;「持たれているもの」から自分の内部にずっと持っている「癖」や、日常的に続けている「習慣」という意味になる。&lt;/span&gt;</v>
      </c>
      <c r="R833" s="13" t="str">
        <f>INDEX($L:$L, MATCH("inhabit", $B:$B, 0))</f>
        <v>&lt;span class="w"&gt;&lt;b&gt;【1418.inhabit：〜に住んでいる, 生息している】&lt;/b&gt;&lt;/span&gt;
&lt;span class="ml"&gt;ラテン語に由来する語で、以下の2つの要素から成る。
&lt;span class="spacer"&gt;&lt;/span&gt;in（中に）
habere（持つ）の反復形habitare（持ち続ける, 住む）
&lt;span class="spacer"&gt;&lt;/span&gt;この語の核は「ある空間を自分のものとして持ち続ける」。一時的に滞在するのではなく、一定の期間その場所を自分の居場所として持ち続けるということから、人が「〜に住む」や動物が「生息する」という意味になる。
&lt;span class="spacer"&gt;&lt;/span&gt;単に生きている、生活していることを表すlive inよりも、場所との結びつきが強い。
&lt;div class="sample_image inhabit"&gt;&lt;/div&gt;&lt;/span&gt;</v>
      </c>
      <c r="S833" s="13" t="str">
        <f>INDEX($L:$L, MATCH("habitat", $B:$B, 0))</f>
        <v>&lt;span class="w"&gt;&lt;b&gt;【664.habitat：生息地, 居住地】&lt;/b&gt;&lt;/span&gt;
&lt;span class="ml"&gt;ラテン語habēre（持つ, 所有する）から派生した反復形habitāre（持ち続ける, 占有する, 住む）に由来する。
&lt;span class="spacer"&gt;&lt;/span&gt;何かをずっと持ち続けることから、ある場所を占有する、つまり住むという意味になった。
&lt;span class="spacer"&gt;&lt;/span&gt;さらに近代英語期には、動植物が生活する場所を指す専門用語として用いられるようになり、そこから「生息地」という意味が成立した。その後、この語は人間の「居住地」を表す場合にも用いられるようになった。&lt;/span&gt;</v>
      </c>
      <c r="T833" s="13" t="str">
        <f>INDEX($L:$L, MATCH("exhibit", $B:$B, 0))</f>
        <v>&lt;span class="w"&gt;&lt;b&gt;【806.exhibit：〜を示す, 〜を見せる, 〜を展示する】&lt;/b&gt;&lt;/span&gt;
&lt;span class="ml"&gt;ラテン語に由来する語で、以下の2つの要素から成る。
&lt;span class="spacer"&gt;&lt;/span&gt;ex（外に）
habere（持つ）
&lt;span class="spacer"&gt;&lt;/span&gt;このまま日本語にすると「何かを持って外へ」となる。何かを持ち出して見えるようにすることから、何かを「示す, 見せる, 展示する」という意味になる。&lt;/span&gt;</v>
      </c>
      <c r="AU833" s="15"/>
      <c r="AV833" s="1" t="s">
        <v>1502</v>
      </c>
      <c r="BG833" s="7" t="s">
        <v>1503</v>
      </c>
      <c r="BH833" s="1" t="s">
        <v>1947</v>
      </c>
      <c r="BI833" s="2" t="s">
        <v>4665</v>
      </c>
      <c r="BJ833" s="1" t="s">
        <v>1875</v>
      </c>
      <c r="BK833" s="2" t="s">
        <v>4666</v>
      </c>
    </row>
    <row r="834" spans="1:69" ht="144" x14ac:dyDescent="0.45">
      <c r="A834" s="5">
        <v>833</v>
      </c>
      <c r="B834" s="8" t="s">
        <v>4667</v>
      </c>
      <c r="C834" s="6" t="s">
        <v>1816</v>
      </c>
      <c r="D834" s="7" t="s">
        <v>9752</v>
      </c>
      <c r="E834" s="1" t="s">
        <v>1467</v>
      </c>
      <c r="F834" s="1" t="s">
        <v>4639</v>
      </c>
      <c r="G834" s="1"/>
      <c r="J834" s="1" t="s">
        <v>9753</v>
      </c>
      <c r="K834" s="2" t="s">
        <v>9089</v>
      </c>
      <c r="L834" s="3" t="s">
        <v>9090</v>
      </c>
      <c r="M834" s="1" t="s">
        <v>12153</v>
      </c>
      <c r="P834" s="7" t="s">
        <v>1241</v>
      </c>
      <c r="Q834" s="13" t="str">
        <f>INDEX($L:$L, MATCH("pose", $B:$B, 0))</f>
        <v>&lt;span class="w"&gt;&lt;b&gt;【804.pose：（危険）を引き起こす, （問題など）を提起する, ポーズをとる, 装う】&lt;/b&gt;&lt;/span&gt;
&lt;span class="ml"&gt;ラテン語に由来する語で、以下の2つの要素から成る。
&lt;span class="spacer"&gt;&lt;/span&gt;pausere（止まる, 休む, 休ませる）
ponere（置く）
&lt;span class="spacer"&gt;&lt;/span&gt;この語の核は「何かを置く」。問題や危険を置くことから「問題を提起する, 危険を引き起こす」という意味になる。またある態度や性格に身を置くことから、態度や性格を「装う」、またモデルなどが「ポーズをとる」という意味になる。
&lt;span class="spacer"&gt;&lt;/span&gt;poseの目的語にくるものを「置く」ことから文に合った訳を考えればよい。
&lt;div class="sample_image pose"&gt;&lt;/div&gt;&lt;/span&gt;</v>
      </c>
      <c r="R834" s="13" t="str">
        <f>INDEX($L:$L, MATCH("expose", $B:$B, 0))</f>
        <v>&lt;span class="w"&gt;&lt;b&gt;【433.expose：～をさらす, 〜を暴露する】&lt;/b&gt;&lt;/span&gt;
&lt;span class="ml"&gt;ラテン語に由来する語で、以下の2つの要素から成る。
&lt;span class="spacer"&gt;&lt;/span&gt;ex（外に）
ponere（置く）
&lt;span class="spacer"&gt;&lt;/span&gt;このまま日本語にすると「外に置く」となる。これは、内側にあるものを外側に置くイメージ。そこから何かを「さらす, 暴露する」という意味になる。
&lt;div class="sample_image expose"&gt;&lt;/div&gt;&lt;/span&gt;</v>
      </c>
      <c r="S834" s="13" t="str">
        <f>INDEX($L:$L, MATCH("impose", $B:$B, 0))</f>
        <v>&lt;span class="w"&gt;&lt;b&gt;【826.impose：〜を課す, 〜を押し付ける】&lt;/b&gt;&lt;/span&gt;
&lt;span class="ml"&gt;古フランス語に由来する語で、以下の2つの要素から成る。
&lt;span class="spacer"&gt;&lt;/span&gt;in（中に）
poser（置く）
&lt;span class="spacer"&gt;&lt;/span&gt;このまま日本語にすると「中に置く」となる。相手の領域の中に押し込んで置くイメージから、対象に何かを「押し付ける, 課す」という意味になる。
&lt;div class="sample_image impose"&gt;&lt;/div&gt;&lt;/span&gt;</v>
      </c>
      <c r="T834" s="13" t="str">
        <f>INDEX($L:$L, MATCH("propose", $B:$B, 0))</f>
        <v>&lt;span class="w"&gt;&lt;b&gt;【436.propose：〜を提案する】&lt;/b&gt;&lt;/span&gt;
&lt;span class="ml"&gt;ラテン語に由来する語で、以下の2つの要素から成る。
&lt;span class="spacer"&gt;&lt;/span&gt;pro（前へ）
ponere（置く）
&lt;span class="spacer"&gt;&lt;/span&gt;このまま日本語にすると「前に置く」となる。意見や考えを相手の前に置くイメージから「提案する」という意味になる。&lt;/span&gt;</v>
      </c>
      <c r="U834" s="13" t="str">
        <f>INDEX($L:$L, MATCH("oppose", $B:$B, 0))</f>
        <v>&lt;span class="w"&gt;&lt;b&gt;【513.oppose：〜に反対する, 〜を対抗させる】&lt;/b&gt;&lt;/span&gt;
&lt;span class="ml"&gt;ラテン語に由来する語で、以下の2つの要素から成る。
&lt;span class="spacer"&gt;&lt;/span&gt;ob（〜に対して）
ponere（置く）
&lt;span class="spacer"&gt;&lt;/span&gt;このまま日本語にすると「～に対して置く」となる。相手に対して自分を置く、つまり相手と自分が向かい合うように置くイメージから「反対する, 対抗させる」という意味になる。
&lt;div class="sample_image oppose"&gt;&lt;/div&gt;&lt;/span&gt;</v>
      </c>
      <c r="V834" s="13" t="str">
        <f>INDEX($L:$L, MATCH("dispose", $B:$B, 0))</f>
        <v>&lt;span class="w"&gt;&lt;b&gt;【1435.dispose：（of ~）〜を処分する, （dispose ~ to do）〜する気にさせる】&lt;/b&gt;&lt;/span&gt;
&lt;span class="ml"&gt;ラテン語に由来する語で、以下の2つの要素から成る。
&lt;span class="spacer"&gt;&lt;/span&gt;dis（離れて）
ponere（置く）
&lt;span class="spacer"&gt;&lt;/span&gt;このまま日本語にすると「離して置く」となるが、この語の核は「ごちゃごちゃしたものをそれぞれ離して整理し、あるべき位置へ置く」イメージ。
&lt;span class="spacer"&gt;&lt;/span&gt;不要なもの・問題などを整理して、それがあるべき場所へ置くことから「処分する」という意味になる。
&lt;span class="spacer"&gt;&lt;/span&gt;また相手の気持ちを整理して進むべき方向へ置くことから「何かをする気にさせる」となる。
&lt;span class="spacer"&gt;&lt;/span&gt;dispose 人 to do
人 be disposed to do
&lt;div class="sample_image dispose"&gt;&lt;/div&gt;&lt;/span&gt;</v>
      </c>
      <c r="W834" s="13" t="str">
        <f>INDEX($L:$L, MATCH("suppose", $B:$B, 0))</f>
        <v>&lt;span class="w"&gt;&lt;b&gt;【121.suppose：～と仮定する, と思う】&lt;/b&gt;&lt;/span&gt;
&lt;span class="ml"&gt;ラテン語に由来する語で、以下の2つの要素から成る。
&lt;span class="spacer"&gt;&lt;/span&gt;sub（下に）
ponere（置く）
&lt;span class="spacer"&gt;&lt;/span&gt;このまま日本語にすると「下に置く」となる。思考において、何かを既にあるものとして土台に置くイメージから、何かを前提として置く＝「仮定する」という意味になる。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&lt;div class="sample_image suppose"&gt;&lt;/div&gt;
&lt;span class="spacer"&gt;&lt;/span&gt;supposeを「前提に置く」というイメージで覚えておけば、be supposed to do A（Aすることになっている）は、要は「Aするということが前提として置かれている」だけだと理解できる。&lt;/span&gt;</v>
      </c>
      <c r="X834" s="13" t="str">
        <f>INDEX($L:$L, MATCH("positive", $B:$B, 0))</f>
        <v>&lt;span class="w"&gt;&lt;b&gt;【179.positive：肯定的な, 確信して, （検査で）陽性の】&lt;/b&gt;&lt;/span&gt;
&lt;span class="ml"&gt;ラテン語に由来する語で、以下の2つの要素から成る。
&lt;span class="spacer"&gt;&lt;/span&gt;ponere（置く）の過去分詞positus（置かれる）
ivus（形容詞化）
&lt;span class="spacer"&gt;&lt;/span&gt;もともとは法律用語。法や権威あるものによって置かれる、つまり法や権威によって定められて否定のしようがないという意味で使われた。ここから「肯定的な, 確信して, 陽性の」という意味になる。&lt;/span&gt;</v>
      </c>
      <c r="Y834" s="13" t="str">
        <f>INDEX($L:$L, MATCH("deposit", $B:$B, 0))</f>
        <v>&lt;span class="w"&gt;&lt;b&gt;【1315.deposit：〜を置く, 〜を預ける】&lt;/b&gt;&lt;/span&gt;
&lt;span class="ml"&gt;ラテン語に由来する語で、以下の2つの要素から成る。
&lt;span class="spacer"&gt;&lt;/span&gt;de（離れて, 下に）
ponere（置く）
&lt;span class="spacer"&gt;&lt;/span&gt;このまま日本語にすると「離れて置く, 下に置く」となる。物理的に何かを「置く」という意味もあるが、金銭や貴重品を離れた場所に「預ける」という意味にもなる。
&lt;span class="spacer"&gt;&lt;/span&gt;depositのposit部分は、positionと同じなので、そこから「置く」というイメージ持っておくとよい。
&lt;div class="sample_image deposit"&gt;&lt;/div&gt;&lt;/span&gt;</v>
      </c>
      <c r="Z834" s="13" t="str">
        <f>INDEX($L:$L, MATCH("compound", $B:$B, 0))</f>
        <v>&lt;span class="w"&gt;&lt;b&gt;【1129.compound：〜を悪化させる, 〜を合成する, 〜を混合する】&lt;/b&gt;&lt;/span&gt;
&lt;span class="ml"&gt;ラテン語に由来する語で、以下の2つの要素から成る。
&lt;span class="spacer"&gt;&lt;/span&gt;com（共に）
ponere（置く）
&lt;span class="spacer"&gt;&lt;/span&gt;このまま日本語にすると「共に置く」となる。複数のものを一緒にすることから、何かを「合成する, 混合する, 調合する」といった意味になる。さらに、問題や困難などがどんどん一緒に置かれて積もっていくことから、状況や問題などを「悪化させる」という意味にもなる。
&lt;div class="sample_image compound"&gt;&lt;/div&gt;&lt;/span&gt;</v>
      </c>
      <c r="AA834" s="13" t="str">
        <f>INDEX($L:$L, MATCH("postpone", $B:$B, 0))</f>
        <v>&lt;span class="w"&gt;&lt;b&gt;【1134.postpone：〜を延期する】&lt;/b&gt;&lt;/span&gt;
&lt;span class="ml"&gt;ラテン語に由来する語で、以下の2つの要素から成る。
&lt;span class="spacer"&gt;&lt;/span&gt;post（後に）
ponere（置く）
&lt;span class="spacer"&gt;&lt;/span&gt;このまま日本語にすると「後に置く」となる。予定や物事を時間的に後に置くことから「延期する」という意味になる。&lt;/span&gt;
&lt;div class="animation postpone"&gt;&lt;/div&gt;</v>
      </c>
      <c r="AB834" s="13" t="str">
        <f>INDEX($L:$L, MATCH("component", $B:$B, 0))</f>
        <v>&lt;span class="w"&gt;&lt;b&gt;【677.component：構成要素, 部品】&lt;/b&gt;&lt;/span&gt;
&lt;span class="ml"&gt;ラテン語に由来する語で、以下の2つの要素から成る。
&lt;span class="spacer"&gt;&lt;/span&gt;com（共に）
ponere（置く）
&lt;span class="spacer"&gt;&lt;/span&gt;このまま日本語にすると「共に置く」となる。いくつかの部分を一緒に置くことで全体が構成されることから、全体の「構成要素, 部品」という意味になる。
&lt;div class="sample_image component"&gt;&lt;/div&gt;&lt;/span&gt;</v>
      </c>
      <c r="AC834" s="13" t="str">
        <f>INDEX($L:$L, MATCH("opponent", $B:$B, 0))</f>
        <v>&lt;span class="w"&gt;&lt;b&gt;【762.opponent：（試合や論争などの）相手, 反対者】&lt;/b&gt;&lt;/span&gt;
&lt;span class="ml"&gt;ラテン語に由来する語で、以下の3つの要素から成る。
&lt;span class="spacer"&gt;&lt;/span&gt;ob（前に, 対して）
ponere（置く）
ens（現在分詞を作る：〜しているもの）
&lt;span class="spacer"&gt;&lt;/span&gt;この語の核は「何かに対立する位置に置いてあるもの」。ここから「対戦相手, 反対者」という意味になる。
&lt;div class="sample_image opponent"&gt;&lt;/div&gt;&lt;/span&gt;</v>
      </c>
      <c r="AD834" s="13" t="str">
        <f>INDEX($L:$L, MATCH("posture", $B:$B, 0))</f>
        <v>&lt;span class="w"&gt;&lt;b&gt;【1451.posture：姿勢, 心構え】&lt;/b&gt;&lt;/span&gt;
&lt;span class="ml"&gt;ラテン語に由来する語で、以下の2つの要素から成る。
&lt;span class="spacer"&gt;&lt;/span&gt;ponere（置く）の過去分詞positus
ura（名詞化）
&lt;span class="spacer"&gt;&lt;/span&gt;このまま日本語にすると「置かれた状態」となる。これは何かの位置や配置を表したが、特に身体の各パーツの位置を指すようになり、そこから身体のポジション＝「姿勢」という意味になった。
&lt;span class="spacer"&gt;&lt;/span&gt;さらにそこから比喩的に、状況に対する心理的な姿勢＝「心構え」という意味にもなった。&lt;/span&gt;</v>
      </c>
      <c r="AE834" s="13" t="str">
        <f>INDEX($L:$L, MATCH("puzzle", $B:$B, 0))</f>
        <v>&lt;span class="w"&gt;&lt;b&gt;【624.puzzle：〜を当惑させる, 〜を困惑させる】&lt;/b&gt;&lt;/span&gt;
&lt;span class="ml"&gt;近代英語pose（難しい問題や質問で当惑させる）にさかのぼる。
&lt;span class="spacer"&gt;&lt;/span&gt;この語はパズルのように「頭に引っかかって前に進めない状態にする」というイメージ。ここから「当惑させる, 困惑させる」という意味になる。
&lt;span class="spacer"&gt;&lt;/span&gt;もともとはposeという形だったが、反復・継続を表すpuzzleという形になった。これにより困惑や当惑が反復・継続している状態、つまり頭の中がぐるぐる回るような状態を表した。&lt;/span&gt;</v>
      </c>
      <c r="AU834" s="15"/>
      <c r="AV834" s="1" t="s">
        <v>1502</v>
      </c>
      <c r="BG834" s="7" t="s">
        <v>1503</v>
      </c>
      <c r="BH834" s="1" t="s">
        <v>1947</v>
      </c>
      <c r="BI834" s="2" t="s">
        <v>4668</v>
      </c>
      <c r="BJ834" s="1" t="s">
        <v>2147</v>
      </c>
      <c r="BK834" s="1" t="s">
        <v>4557</v>
      </c>
      <c r="BL834" s="1" t="s">
        <v>1504</v>
      </c>
      <c r="BM834" s="2" t="s">
        <v>4669</v>
      </c>
      <c r="BN834" s="1" t="s">
        <v>2044</v>
      </c>
      <c r="BO834" s="2" t="s">
        <v>4670</v>
      </c>
      <c r="BP834" s="1" t="s">
        <v>1883</v>
      </c>
      <c r="BQ834" s="2" t="s">
        <v>4671</v>
      </c>
    </row>
    <row r="835" spans="1:69" ht="108" x14ac:dyDescent="0.45">
      <c r="A835" s="5">
        <v>834</v>
      </c>
      <c r="B835" s="6" t="s">
        <v>4672</v>
      </c>
      <c r="C835" s="6" t="s">
        <v>1816</v>
      </c>
      <c r="D835" s="7" t="s">
        <v>9752</v>
      </c>
      <c r="E835" s="1" t="s">
        <v>5786</v>
      </c>
      <c r="F835" s="1" t="s">
        <v>5000</v>
      </c>
      <c r="G835" s="1" t="s">
        <v>8990</v>
      </c>
      <c r="J835" s="1" t="s">
        <v>9753</v>
      </c>
      <c r="K835" s="2" t="s">
        <v>4673</v>
      </c>
      <c r="L835" s="2" t="s">
        <v>9091</v>
      </c>
      <c r="P835" s="7" t="s">
        <v>1241</v>
      </c>
      <c r="Q835" s="13" t="str">
        <f>INDEX($L:$L, MATCH("outstanding", $B:$B, 0))</f>
        <v>&lt;span class="w"&gt;&lt;b&gt;【1379.outstanding：際立った, 未払いの, 未解決の】&lt;/b&gt;&lt;/span&gt;
&lt;span class="ml"&gt;近代英語にさかのぼり、以下の2つの要素から成る。
&lt;span class="spacer"&gt;&lt;/span&gt;out（外に）
standing（立っている）
&lt;span class="spacer"&gt;&lt;/span&gt;この語の核は「外に飛び出して立っている」。そこから周囲より目立っていて「際立った」という意味になる。
&lt;span class="spacer"&gt;&lt;/span&gt;また外に立っていることから、やるべきことが外に出たまま残っている（完了したものの中に入っていない）ことへとつながり、支払いや問題の処理が完了していない＝「未払いの, 未解決の」という意味にもなった。
&lt;div class="sample_image outstanding"&gt;&lt;/div&gt;&lt;/span&gt;</v>
      </c>
      <c r="AU835" s="15"/>
      <c r="AV835" s="1" t="s">
        <v>1502</v>
      </c>
      <c r="BG835" s="7" t="s">
        <v>1503</v>
      </c>
      <c r="BH835" s="1" t="s">
        <v>2129</v>
      </c>
      <c r="BI835" s="2" t="s">
        <v>4674</v>
      </c>
      <c r="BJ835" s="1" t="s">
        <v>2044</v>
      </c>
      <c r="BK835" s="2" t="s">
        <v>4675</v>
      </c>
    </row>
    <row r="836" spans="1:69" ht="90" x14ac:dyDescent="0.45">
      <c r="A836" s="5">
        <v>835</v>
      </c>
      <c r="B836" s="6" t="s">
        <v>4676</v>
      </c>
      <c r="C836" s="6" t="s">
        <v>1816</v>
      </c>
      <c r="D836" s="7" t="s">
        <v>9752</v>
      </c>
      <c r="E836" s="1" t="s">
        <v>595</v>
      </c>
      <c r="F836" s="1"/>
      <c r="G836" s="1"/>
      <c r="J836" s="1" t="s">
        <v>9753</v>
      </c>
      <c r="K836" s="2"/>
      <c r="L836" s="2" t="s">
        <v>10371</v>
      </c>
      <c r="P836" s="7" t="s">
        <v>1241</v>
      </c>
      <c r="AU836" s="15"/>
      <c r="AV836" s="1" t="s">
        <v>1502</v>
      </c>
      <c r="BG836" s="7" t="s">
        <v>1503</v>
      </c>
      <c r="BH836" s="1" t="s">
        <v>1947</v>
      </c>
      <c r="BI836" s="2" t="s">
        <v>4677</v>
      </c>
      <c r="BJ836" s="1" t="s">
        <v>1504</v>
      </c>
      <c r="BK836" s="2" t="s">
        <v>4678</v>
      </c>
      <c r="BL836" s="1" t="s">
        <v>2044</v>
      </c>
      <c r="BM836" s="2" t="s">
        <v>4679</v>
      </c>
    </row>
    <row r="837" spans="1:69" ht="126" x14ac:dyDescent="0.45">
      <c r="A837" s="5">
        <v>836</v>
      </c>
      <c r="B837" s="6" t="s">
        <v>4680</v>
      </c>
      <c r="C837" s="6" t="s">
        <v>1816</v>
      </c>
      <c r="D837" s="7" t="s">
        <v>9752</v>
      </c>
      <c r="E837" s="1" t="s">
        <v>596</v>
      </c>
      <c r="F837" s="1"/>
      <c r="G837" s="1"/>
      <c r="J837" s="1" t="s">
        <v>9753</v>
      </c>
      <c r="K837" s="2"/>
      <c r="L837" s="3" t="s">
        <v>9092</v>
      </c>
      <c r="P837" s="7" t="s">
        <v>1241</v>
      </c>
      <c r="AU837" s="15"/>
      <c r="AV837" s="1" t="s">
        <v>1502</v>
      </c>
      <c r="BG837" s="7" t="s">
        <v>1503</v>
      </c>
      <c r="BH837" s="1" t="s">
        <v>1947</v>
      </c>
      <c r="BI837" s="2" t="s">
        <v>4681</v>
      </c>
      <c r="BJ837" s="1" t="s">
        <v>1504</v>
      </c>
      <c r="BK837" s="2" t="s">
        <v>4682</v>
      </c>
      <c r="BL837" s="1" t="s">
        <v>1883</v>
      </c>
      <c r="BM837" s="2" t="s">
        <v>4683</v>
      </c>
    </row>
    <row r="838" spans="1:69" ht="126" x14ac:dyDescent="0.45">
      <c r="A838" s="5">
        <v>837</v>
      </c>
      <c r="B838" s="6" t="s">
        <v>4684</v>
      </c>
      <c r="C838" s="6" t="s">
        <v>1816</v>
      </c>
      <c r="D838" s="7" t="s">
        <v>9752</v>
      </c>
      <c r="E838" s="1" t="s">
        <v>1327</v>
      </c>
      <c r="F838" s="1" t="s">
        <v>6521</v>
      </c>
      <c r="G838" s="1"/>
      <c r="J838" s="1" t="s">
        <v>9753</v>
      </c>
      <c r="K838" s="2" t="s">
        <v>9093</v>
      </c>
      <c r="L838" s="2" t="s">
        <v>9094</v>
      </c>
      <c r="P838" s="7" t="s">
        <v>1241</v>
      </c>
      <c r="Q838" s="13" t="str">
        <f>INDEX($L:$L, MATCH("offend", $B:$B, 0))</f>
        <v>&lt;span class="w"&gt;&lt;b&gt;【1331.offend：〜を不愉快にする, 違反する】&lt;/b&gt;&lt;/span&gt;
&lt;span class="ml"&gt;ラテン語ラテン語に由来する語で、以下の2つの要素から成る。
&lt;span class="spacer"&gt;&lt;/span&gt;ob（〜に対して）
fendere（打つ）
&lt;span class="spacer"&gt;&lt;/span&gt;このまま日本語にすると「何かに対して打つ」となる。対象がルールであれば「違反する」という意味になり、対象が人であれば「不愉快にする」という意味になる。
&lt;span class="spacer"&gt;&lt;/span&gt;offendは、defend（守る）の反対と覚えればよい。&lt;/span&gt;</v>
      </c>
      <c r="AU838" s="15"/>
      <c r="AV838" s="1" t="s">
        <v>1502</v>
      </c>
      <c r="BG838" s="7" t="s">
        <v>1503</v>
      </c>
      <c r="BH838" s="1" t="s">
        <v>1947</v>
      </c>
      <c r="BI838" s="2" t="s">
        <v>4685</v>
      </c>
      <c r="BJ838" s="1" t="s">
        <v>1504</v>
      </c>
      <c r="BK838" s="2" t="s">
        <v>4686</v>
      </c>
      <c r="BL838" s="1" t="s">
        <v>2044</v>
      </c>
      <c r="BM838" s="2" t="s">
        <v>4687</v>
      </c>
    </row>
    <row r="839" spans="1:69" ht="144" x14ac:dyDescent="0.45">
      <c r="A839" s="5">
        <v>838</v>
      </c>
      <c r="B839" s="6" t="s">
        <v>4688</v>
      </c>
      <c r="C839" s="6" t="s">
        <v>1816</v>
      </c>
      <c r="D839" s="7" t="s">
        <v>9752</v>
      </c>
      <c r="E839" s="1" t="s">
        <v>1825</v>
      </c>
      <c r="F839" s="1" t="s">
        <v>8991</v>
      </c>
      <c r="G839" s="1"/>
      <c r="J839" s="1" t="s">
        <v>9753</v>
      </c>
      <c r="K839" s="2" t="s">
        <v>9095</v>
      </c>
      <c r="L839" s="2" t="s">
        <v>9096</v>
      </c>
      <c r="P839" s="7" t="s">
        <v>1241</v>
      </c>
      <c r="AU839" s="15"/>
      <c r="AV839" s="1" t="s">
        <v>1502</v>
      </c>
      <c r="BG839" s="7" t="s">
        <v>1503</v>
      </c>
      <c r="BH839" s="1" t="s">
        <v>2423</v>
      </c>
      <c r="BI839" s="2" t="s">
        <v>4689</v>
      </c>
      <c r="BJ839" s="1" t="s">
        <v>2034</v>
      </c>
      <c r="BK839" s="2" t="s">
        <v>4690</v>
      </c>
      <c r="BL839" s="1" t="s">
        <v>1504</v>
      </c>
      <c r="BM839" s="2" t="s">
        <v>4691</v>
      </c>
      <c r="BN839" s="1" t="s">
        <v>2044</v>
      </c>
      <c r="BO839" s="2" t="s">
        <v>4692</v>
      </c>
    </row>
    <row r="840" spans="1:69" ht="198" x14ac:dyDescent="0.45">
      <c r="A840" s="5">
        <v>839</v>
      </c>
      <c r="B840" s="8" t="s">
        <v>4693</v>
      </c>
      <c r="C840" s="6" t="s">
        <v>1816</v>
      </c>
      <c r="D840" s="7" t="s">
        <v>9752</v>
      </c>
      <c r="E840" s="1" t="s">
        <v>8992</v>
      </c>
      <c r="F840" s="1" t="s">
        <v>1422</v>
      </c>
      <c r="G840" s="1"/>
      <c r="J840" s="1" t="s">
        <v>9753</v>
      </c>
      <c r="K840" s="2"/>
      <c r="L840" s="3" t="s">
        <v>9097</v>
      </c>
      <c r="M840" s="1" t="s">
        <v>12165</v>
      </c>
      <c r="P840" s="7" t="s">
        <v>1241</v>
      </c>
      <c r="Q840" s="13" t="str">
        <f>INDEX($L:$L, MATCH("mode", $B:$B, 0))</f>
        <v>&lt;span class="w"&gt;&lt;b&gt;【844.mode：方式, 形態, モード】&lt;/b&gt;&lt;/span&gt;
&lt;span class="ml"&gt;ラテン語modus（尺度, 方法）に由来する。
&lt;span class="spacer"&gt;&lt;/span&gt;尺度とは物事を測るための基準であり、その基準に従って行動すると、自然と一定のやり方（方法）が定まってくる。その「基準に沿ったやり方」が固定化されて「方式, 形態」といった意味になる。&lt;/span&gt;</v>
      </c>
      <c r="R840" s="13" t="str">
        <f>INDEX($L:$L, MATCH("model", $B:$B, 0))</f>
        <v>&lt;span class="w"&gt;&lt;b&gt;【149.model：型, 模型, 模範】&lt;/b&gt;&lt;/span&gt;
&lt;span class="ml"&gt;ラテン語に由来する語で、以下の2つの要素から成る。
&lt;span class="spacer"&gt;&lt;/span&gt;modus（尺度）
ulus（小さいことを表す）
&lt;span class="spacer"&gt;&lt;/span&gt;このまま日本語にすると「小さな尺度」となる。小さな尺度とは、元のサイズから小さくした形の基準となるもの、つまり「型, 模型」のこと。何かのあり方の型なら「模範」という訳になる。&lt;/span&gt;</v>
      </c>
      <c r="S840" s="13" t="str">
        <f>INDEX($L:$L, MATCH("modest", $B:$B, 0))</f>
        <v>&lt;span class="w"&gt;&lt;b&gt;【998.modest：謙虚な, 適度な, 質素な】&lt;/b&gt;&lt;/span&gt;
&lt;span class="ml"&gt;ラテン語に由来する語で、以下の2つの要素から成る。
&lt;span class="spacer"&gt;&lt;/span&gt;modus（尺度, 方法）
tus（形容詞化）
&lt;span class="spacer"&gt;&lt;/span&gt;この語の核は「尺度の中に収まっている」。出過ぎることなくちょうどよい感じから「謙虚な, 適度な, 質素な」という意味になる。ラテン語modusは英語modelの語源でもあるため、モデル（基準）の中に収まっていて出過ぎていない、とイメージしてもよい。&lt;/span&gt;</v>
      </c>
      <c r="T840" s="13" t="str">
        <f>INDEX($L:$L, MATCH("moderate", $B:$B, 0))</f>
        <v>&lt;span class="w"&gt;&lt;b&gt;【1082.moderate：適度な, 穏健な】&lt;/b&gt;&lt;/span&gt;
&lt;span class="ml"&gt;ラテン語moderari（尺度を定める, 尺度内にとどめる）に由来する。
&lt;span class="spacer"&gt;&lt;/span&gt;この語の核は「尺度内にとどめる」。そこから程度が過度ではなく「適度な」という意味になる。また人の立場や考え方が過激でなく「穏健な」という意味にもなる。&lt;/span&gt;</v>
      </c>
      <c r="U840" s="13" t="str">
        <f>INDEX($L:$L, MATCH("commodity", $B:$B, 0))</f>
        <v>&lt;span class="w"&gt;&lt;b&gt;【1262.commodity：商品, 有用なもの】&lt;/b&gt;&lt;/span&gt;
&lt;span class="ml"&gt;ラテン語に由来する語で、以下の3つの要素から成る。
&lt;span class="spacer"&gt;&lt;/span&gt;com（強意）
modus（尺度, 方法）
tas（名詞化）
&lt;span class="spacer"&gt;&lt;/span&gt;もともとは、状況や目的といった尺度（基準）にピッタリ合っていることから、基準にあった「有用なもの」を意味した。
&lt;span class="spacer"&gt;&lt;/span&gt;そうした有用なものは価値があり、利益を生むことから、やがて市場で取引される「商品」を意味するようになった。&lt;/span&gt;</v>
      </c>
      <c r="AU840" s="15"/>
      <c r="AV840" s="1" t="s">
        <v>1502</v>
      </c>
      <c r="BG840" s="7" t="s">
        <v>1503</v>
      </c>
      <c r="BH840" s="1" t="s">
        <v>1947</v>
      </c>
      <c r="BI840" s="2" t="s">
        <v>4694</v>
      </c>
      <c r="BJ840" s="1" t="s">
        <v>1504</v>
      </c>
      <c r="BK840" s="2" t="s">
        <v>4695</v>
      </c>
      <c r="BL840" s="1" t="s">
        <v>2044</v>
      </c>
      <c r="BM840" s="2" t="s">
        <v>4696</v>
      </c>
    </row>
    <row r="841" spans="1:69" ht="252" x14ac:dyDescent="0.45">
      <c r="A841" s="5">
        <v>840</v>
      </c>
      <c r="B841" s="8" t="s">
        <v>4697</v>
      </c>
      <c r="C841" s="6" t="s">
        <v>1816</v>
      </c>
      <c r="D841" s="7" t="s">
        <v>9752</v>
      </c>
      <c r="E841" s="1" t="s">
        <v>8993</v>
      </c>
      <c r="F841" s="1" t="s">
        <v>1422</v>
      </c>
      <c r="G841" s="1"/>
      <c r="J841" s="1" t="s">
        <v>9753</v>
      </c>
      <c r="K841" s="2"/>
      <c r="L841" s="3" t="s">
        <v>9098</v>
      </c>
      <c r="P841" s="7" t="s">
        <v>1241</v>
      </c>
      <c r="Q841" s="16" t="str">
        <f>INDEX($L:$L, MATCH("quality", $B:$B, 0))</f>
        <v>&lt;span class="w"&gt;&lt;b&gt;【69.quality：質】&lt;/b&gt;&lt;/span&gt;
&lt;span class="ml"&gt;ラテン語に由来する語で、以下の2つの要素から成る。
&lt;span class="spacer"&gt;&lt;/span&gt;qualis（どんな種類の）
tas（名詞化）
&lt;span class="spacer"&gt;&lt;/span&gt;このまま日本語にすると「どんな種類かをす示すもの」となる。つまりそのものの「質」という意味になる。&lt;/span&gt;</v>
      </c>
      <c r="R841" s="19" t="str">
        <f>INDEX($L:$L, MATCH("require", $B:$B, 0))</f>
        <v>&lt;span class="w"&gt;&lt;b&gt;【13.require：～を要求する】&lt;/b&gt;&lt;/span&gt;
&lt;span class="ml"&gt;ラテン語に由来する語で、以下の2つの要素から成る。
&lt;span class="spacer"&gt;&lt;/span&gt;re（繰り返し）
quaerere（尋ねる, 求める, 探す）
&lt;span class="spacer"&gt;&lt;/span&gt;このまま日本語にすると「繰り返し求める」となり、ここから「要求する」という意味になる。
&lt;span class="spacer"&gt;&lt;/span&gt;requireはrequest（リクエスト）と同じ語源に遡るため、一緒に覚えておく。
request：依頼
require：規則や条件に基づく要求&lt;/span&gt;</v>
      </c>
      <c r="S841" s="19" t="str">
        <f>INDEX($L:$L, MATCH("whereas", $B:$B, 0))</f>
        <v>&lt;span class="w"&gt;&lt;b&gt;【300.whereas：〜するのに対し, 〜する一方】&lt;/b&gt;&lt;/span&gt;
&lt;span class="ml"&gt;中英語にさかのぼり、以下の2つの要素から成る。
&lt;span class="spacer"&gt;&lt;/span&gt;where（場所, 状況）
as（続く内容へ導く）
&lt;span class="spacer"&gt;&lt;/span&gt;whereasは「whereで場所（状況）を示し、asで続く内容へ導く」とイメージする。
&lt;span class="spacer"&gt;&lt;/span&gt;S V whereas S' V'
whereasは、S Vという状況のもとで、続いてS' V'へ導く。「S Vに対してS' V'」という対比になるのは、歴史的に対比で使われることが多かったことで慣習化したから。&lt;/span&gt;</v>
      </c>
      <c r="T841" s="19" t="str">
        <f>INDEX($L:$L, MATCH("quantity", $B:$B, 0))</f>
        <v>&lt;span class="w"&gt;&lt;b&gt;【471.quantity：量】&lt;/b&gt;&lt;/span&gt;
&lt;span class="ml"&gt;ラテン語に由来する語で、以下の2つの要素から成る。
&lt;span class="spacer"&gt;&lt;/span&gt;quantus（どれくらい大きいか, どれくらい多いか, どのくらいの量か）
tas（名詞化）
&lt;span class="spacer"&gt;&lt;/span&gt;英語で言えばhow muchやhow manyに近い、量・数・程度などを表すラテン語quantusが名詞化したことで、「量」という意味になった。&lt;/span&gt;</v>
      </c>
      <c r="U841" s="19" t="str">
        <f>INDEX($L:$L, MATCH("request", $B:$B, 0))</f>
        <v>&lt;span class="w"&gt;&lt;b&gt;【504.request：〜に（…するように）頼む, 〜を要請する】&lt;/b&gt;&lt;/span&gt;
&lt;span class="ml"&gt;ラテン語に由来する語で、以下の2つの要素から成る。
&lt;span class="spacer"&gt;&lt;/span&gt;re（再び）
quaerere（求める）
&lt;span class="spacer"&gt;&lt;/span&gt;このまま日本語にすると「再び求める」となる。相手に繰り返し求めることから、相手への依頼＝「〜に頼む, 要請する」という意味になる。
&lt;span class="spacer"&gt;&lt;/span&gt;requestとrequireは同じ語源に遡る。
&lt;span class="spacer"&gt;&lt;/span&gt;request：依頼
require：規則や条件に基づく要求&lt;/span&gt;</v>
      </c>
      <c r="V841" s="19" t="str">
        <f>INDEX($L:$L, MATCH("quote", $B:$B, 0))</f>
        <v>&lt;span class="w"&gt;&lt;b&gt;【1017.quote：〜（言葉）を引用する】&lt;/b&gt;&lt;/span&gt;
&lt;span class="ml"&gt;ラテン語quot（いくつ？）に由来する。
&lt;span class="spacer"&gt;&lt;/span&gt;もともとは番号で区別することを表した。そこから、文章を整理して後から参照しやすくするために◯章◯節という形で番号をつけたり、特定の箇所に関する注釈や参照すべき箇所を示したりすることを表すようになった。そうした文章の特定の箇所を指定する行為が、やがて文章の特定の箇所から正確に言葉を抜き出すことを指すようになり、ある言葉を「引用する」という意味になった。&lt;/span&gt;</v>
      </c>
      <c r="AU841" s="15"/>
      <c r="AV841" s="1" t="s">
        <v>1502</v>
      </c>
      <c r="BG841" s="7" t="s">
        <v>1503</v>
      </c>
      <c r="BH841" s="1" t="s">
        <v>1947</v>
      </c>
      <c r="BI841" s="2" t="s">
        <v>4698</v>
      </c>
      <c r="BJ841" s="1" t="s">
        <v>1980</v>
      </c>
      <c r="BK841" s="1" t="s">
        <v>9099</v>
      </c>
      <c r="BL841" s="1" t="s">
        <v>2017</v>
      </c>
      <c r="BM841" s="2" t="s">
        <v>4699</v>
      </c>
      <c r="BN841" s="1" t="s">
        <v>2044</v>
      </c>
      <c r="BO841" s="2" t="s">
        <v>4700</v>
      </c>
      <c r="BP841" s="1" t="s">
        <v>1883</v>
      </c>
      <c r="BQ841" s="2" t="s">
        <v>9100</v>
      </c>
    </row>
    <row r="842" spans="1:69" ht="216" x14ac:dyDescent="0.45">
      <c r="A842" s="5">
        <v>841</v>
      </c>
      <c r="B842" s="8" t="s">
        <v>597</v>
      </c>
      <c r="C842" s="6" t="s">
        <v>6850</v>
      </c>
      <c r="D842" s="7" t="s">
        <v>9752</v>
      </c>
      <c r="E842" s="1" t="s">
        <v>5295</v>
      </c>
      <c r="F842" s="1" t="s">
        <v>1584</v>
      </c>
      <c r="G842" s="1"/>
      <c r="J842" s="1" t="s">
        <v>9753</v>
      </c>
      <c r="K842" s="1" t="s">
        <v>9101</v>
      </c>
      <c r="L842" s="2" t="s">
        <v>9102</v>
      </c>
      <c r="M842" s="1" t="s">
        <v>12144</v>
      </c>
      <c r="P842" s="7" t="s">
        <v>1241</v>
      </c>
      <c r="Q842" s="13" t="str">
        <f>INDEX($L:$L, MATCH("patient", $B:$B, 0))</f>
        <v>&lt;span class="w"&gt;&lt;b&gt;【89.patient：忍耐強い】&lt;/b&gt;&lt;/span&gt;
&lt;span class="ml"&gt;ラテン語pati（耐える, 受ける）に由来する。
&lt;span class="spacer"&gt;&lt;/span&gt;「耐える」から、じっと耐えて「忍耐強い」という意味になる。
&lt;span class="spacer"&gt;&lt;/span&gt;ptientは名詞で「患者」という意味もある。これは病気や治療に耐えるというイメージ。&lt;/span&gt;</v>
      </c>
      <c r="R842" s="13" t="str">
        <f>INDEX($L:$L, MATCH("passive", $B:$B, 0))</f>
        <v>&lt;span class="w"&gt;&lt;b&gt;【990.passive：受動的な, 消極的な】&lt;/b&gt;&lt;/span&gt;
&lt;span class="ml"&gt;ラテン語に由来する語で、以下の2つの要素から成る。
&lt;span class="spacer"&gt;&lt;/span&gt;pati（苦しむ, 耐える）
ivus（形容詞化）
&lt;span class="spacer"&gt;&lt;/span&gt;この語の核は「外部から苦痛や困難を受ける」。これはpassion（情熱）やpatient（忍耐強い, 患者）といった語にも共通しており、自らの主体的行為ではなく、外部から何かを受けることを表す。そこから「受動的な」という意味になり、さらに積極的ではないため「消極的な」という意味になった。&lt;/span&gt;</v>
      </c>
      <c r="S842" s="13" t="str">
        <f>INDEX($L:$L, MATCH("compassion", $B:$B, 0))</f>
        <v>&lt;span class="w"&gt;&lt;b&gt;【1450.compassion：同情】&lt;/b&gt;&lt;/span&gt;
&lt;span class="ml"&gt;ラテン語に由来する語で、以下の3つの要素から成る。
&lt;span class="spacer"&gt;&lt;/span&gt;com（共に）
pati（苦しむ, 耐える）
io（名詞化）
&lt;span class="spacer"&gt;&lt;/span&gt;このまま日本語にすると「共に苦しむこと」となる。相手の苦しみに寄り添うことから「同情」という意味になる。
&lt;span class="spacer"&gt;&lt;/span&gt;ラテン語compassioは、キリスト教の文脈でギリシャ語sympatheia（sympathyの語源）を翻訳する際に用いられた。
&lt;span class="spacer"&gt;&lt;/span&gt;compassionはキリスト教的な慈悲や哀れみの文脈で発展したことから、単なる感情的な同情ではなく、相手の苦しみを共に感じ、助けたい・苦痛を和らげたいといった気持ちを含んだ同情となる。
&lt;div class="sample_image compassion"&gt;&lt;/div&gt;&lt;/span&gt;</v>
      </c>
      <c r="AV842" s="1" t="s">
        <v>1502</v>
      </c>
      <c r="BG842" s="7" t="s">
        <v>1503</v>
      </c>
      <c r="BH842" s="1" t="s">
        <v>2458</v>
      </c>
      <c r="BI842" s="1" t="s">
        <v>4701</v>
      </c>
      <c r="BJ842" s="1" t="s">
        <v>1947</v>
      </c>
      <c r="BK842" s="2" t="s">
        <v>4702</v>
      </c>
      <c r="BL842" s="1" t="s">
        <v>2036</v>
      </c>
      <c r="BM842" s="2" t="s">
        <v>4703</v>
      </c>
      <c r="BN842" s="1" t="s">
        <v>1959</v>
      </c>
      <c r="BO842" s="2" t="s">
        <v>4704</v>
      </c>
      <c r="BP842" s="1" t="s">
        <v>1875</v>
      </c>
      <c r="BQ842" s="2" t="s">
        <v>4705</v>
      </c>
    </row>
    <row r="843" spans="1:69" ht="162" x14ac:dyDescent="0.45">
      <c r="A843" s="5">
        <v>842</v>
      </c>
      <c r="B843" s="6" t="s">
        <v>598</v>
      </c>
      <c r="C843" s="6" t="s">
        <v>6850</v>
      </c>
      <c r="D843" s="7" t="s">
        <v>9752</v>
      </c>
      <c r="E843" s="1" t="s">
        <v>1447</v>
      </c>
      <c r="F843" s="1" t="s">
        <v>9103</v>
      </c>
      <c r="G843" s="1" t="s">
        <v>9104</v>
      </c>
      <c r="J843" s="1" t="s">
        <v>9753</v>
      </c>
      <c r="K843" s="2" t="s">
        <v>9105</v>
      </c>
      <c r="L843" s="2" t="s">
        <v>9106</v>
      </c>
      <c r="P843" s="7" t="s">
        <v>1241</v>
      </c>
      <c r="AU843" s="15"/>
      <c r="AV843" s="1" t="s">
        <v>1502</v>
      </c>
      <c r="BG843" s="7" t="s">
        <v>1503</v>
      </c>
      <c r="BH843" s="1" t="s">
        <v>2458</v>
      </c>
      <c r="BI843" s="2" t="s">
        <v>9107</v>
      </c>
      <c r="BJ843" s="1" t="s">
        <v>2036</v>
      </c>
      <c r="BK843" s="1" t="s">
        <v>4706</v>
      </c>
      <c r="BL843" s="1" t="s">
        <v>1996</v>
      </c>
      <c r="BM843" s="2" t="s">
        <v>4707</v>
      </c>
      <c r="BN843" s="1" t="s">
        <v>1877</v>
      </c>
      <c r="BO843" s="2" t="s">
        <v>4708</v>
      </c>
    </row>
    <row r="844" spans="1:69" ht="108" x14ac:dyDescent="0.45">
      <c r="A844" s="5">
        <v>843</v>
      </c>
      <c r="B844" s="6" t="s">
        <v>599</v>
      </c>
      <c r="C844" s="6" t="s">
        <v>6850</v>
      </c>
      <c r="D844" s="7" t="s">
        <v>9752</v>
      </c>
      <c r="E844" s="1" t="s">
        <v>599</v>
      </c>
      <c r="F844" s="1"/>
      <c r="G844" s="1"/>
      <c r="J844" s="1" t="s">
        <v>9753</v>
      </c>
      <c r="K844" s="2" t="s">
        <v>9108</v>
      </c>
      <c r="L844" s="2" t="s">
        <v>9109</v>
      </c>
      <c r="P844" s="7" t="s">
        <v>1241</v>
      </c>
      <c r="Q844" s="13" t="str">
        <f>INDEX($L:$L, MATCH("phenomenon", $B:$B, 0))</f>
        <v>&lt;span class="w"&gt;&lt;b&gt;【344.phenomenon：現象】&lt;/b&gt;&lt;/span&gt;
&lt;span class="ml"&gt;ギリシャ語phainein（明らかにする, 出現させる）の現在分詞phainomenon（現れるもの, 見えるもの）に由来する。
&lt;span class="spacer"&gt;&lt;/span&gt;目の前に現れるもの、つまり「現象」という意味になる。
&lt;span class="spacer"&gt;&lt;/span&gt;phenomenonのphe部分は、語源的に光・輝きを意味し、光や輝きのように何かが現れるというイメージになる。
光を取り込んで現像する写真＝photographのphoto部分も同じく光を意味する。&lt;/span&gt;</v>
      </c>
      <c r="R844" s="13" t="str">
        <f>INDEX($L:$L, MATCH("emphasize", $B:$B, 0))</f>
        <v>&lt;span class="w"&gt;&lt;b&gt;【516.emphasize：〜を強調する】&lt;/b&gt;&lt;/span&gt;
&lt;span class="ml"&gt;近代英語にさかのぼり、以下の2つの要素から成る。
&lt;span class="spacer"&gt;&lt;/span&gt;emphasis（強調）
ize（動詞化）
&lt;span class="spacer"&gt;&lt;/span&gt;［emphasisの語源］
ギリシャ語en（中に）＋phainein（示す）に由来する。これは「中にあるものを示す」というイメージで、言葉の中に含まれる重要な意味や内容をはっきり示すこと、つまり「強調」を意味した（例えば発音の強調など）。
&lt;span class="spacer"&gt;&lt;/span&gt;［emphasize］
近代英語において、emphasis（強調）に動詞を作る-izeが付いて「強調する」という意味になった。
&lt;div class="sample_image emphasize"&gt;&lt;/div&gt;&lt;/span&gt;</v>
      </c>
      <c r="S844" s="13" t="str">
        <f>INDEX($L:$L, MATCH("fantasy", $B:$B, 0))</f>
        <v>&lt;span class="w"&gt;&lt;b&gt;【1076.fantasy：空想, 幻想】&lt;/b&gt;&lt;/span&gt;
&lt;span class="ml"&gt;ギリシャ語phainesthai（現れる）に由来する。
&lt;span class="spacer"&gt;&lt;/span&gt;もともとは目に見えるように現れることを表した。そこから意味が抽象化し、心の中に現れる像を指すようになり、さらに発展して現実ではない「空想, 幻想」という意味になった。&lt;/span&gt;</v>
      </c>
      <c r="T844" s="13" t="str">
        <f>INDEX($L:$L, MATCH("fancy", $B:$B, 0))</f>
        <v>&lt;span class="w"&gt;&lt;b&gt;【1077.fancy：（気まぐれな）好み, 気分】&lt;/b&gt;&lt;/span&gt;
&lt;span class="ml"&gt;中英語においてfantasyが短縮されてできた語。
&lt;span class="spacer"&gt;&lt;/span&gt;fantasy（空想, 幻想）は、想像する人自身の心に形成されるため、その人が思いついた瞬間の好みや気分、欲望を反映している。
&lt;span class="spacer"&gt;&lt;/span&gt;fantasyが心の中に出来上がった空想や幻想を意味する語として使われるようになった一方で、fancyはその空想や幻想に含まれる「（気まぐれな）好み」や「そのときの気分」という意味で使われるようになった。&lt;/span&gt;</v>
      </c>
      <c r="AU844" s="15"/>
      <c r="AV844" s="1" t="s">
        <v>1502</v>
      </c>
      <c r="BG844" s="7" t="s">
        <v>1503</v>
      </c>
      <c r="BH844" s="1" t="s">
        <v>2458</v>
      </c>
      <c r="BI844" s="2" t="s">
        <v>9110</v>
      </c>
      <c r="BJ844" s="1" t="s">
        <v>3408</v>
      </c>
      <c r="BK844" s="1" t="s">
        <v>4709</v>
      </c>
      <c r="BL844" s="1" t="s">
        <v>1877</v>
      </c>
      <c r="BM844" s="2" t="s">
        <v>4710</v>
      </c>
    </row>
    <row r="845" spans="1:69" ht="90" x14ac:dyDescent="0.45">
      <c r="A845" s="5">
        <v>844</v>
      </c>
      <c r="B845" s="8" t="s">
        <v>600</v>
      </c>
      <c r="C845" s="6" t="s">
        <v>6850</v>
      </c>
      <c r="D845" s="7" t="s">
        <v>9752</v>
      </c>
      <c r="E845" s="1" t="s">
        <v>600</v>
      </c>
      <c r="F845" s="1"/>
      <c r="G845" s="1"/>
      <c r="J845" s="1" t="s">
        <v>9753</v>
      </c>
      <c r="K845" s="2" t="s">
        <v>9111</v>
      </c>
      <c r="L845" s="2" t="s">
        <v>9112</v>
      </c>
      <c r="M845" s="1" t="s">
        <v>12165</v>
      </c>
      <c r="P845" s="7" t="s">
        <v>1241</v>
      </c>
      <c r="Q845" s="13" t="str">
        <f>INDEX($L:$L, MATCH("model", $B:$B, 0))</f>
        <v>&lt;span class="w"&gt;&lt;b&gt;【149.model：型, 模型, 模範】&lt;/b&gt;&lt;/span&gt;
&lt;span class="ml"&gt;ラテン語に由来する語で、以下の2つの要素から成る。
&lt;span class="spacer"&gt;&lt;/span&gt;modus（尺度）
ulus（小さいことを表す）
&lt;span class="spacer"&gt;&lt;/span&gt;このまま日本語にすると「小さな尺度」となる。小さな尺度とは、元のサイズから小さくした形の基準となるもの、つまり「型, 模型」のこと。何かのあり方の型なら「模範」という訳になる。&lt;/span&gt;</v>
      </c>
      <c r="R845" s="13" t="str">
        <f>INDEX($L:$L, MATCH("modest", $B:$B, 0))</f>
        <v>&lt;span class="w"&gt;&lt;b&gt;【998.modest：謙虚な, 適度な, 質素な】&lt;/b&gt;&lt;/span&gt;
&lt;span class="ml"&gt;ラテン語に由来する語で、以下の2つの要素から成る。
&lt;span class="spacer"&gt;&lt;/span&gt;modus（尺度, 方法）
tus（形容詞化）
&lt;span class="spacer"&gt;&lt;/span&gt;この語の核は「尺度の中に収まっている」。出過ぎることなくちょうどよい感じから「謙虚な, 適度な, 質素な」という意味になる。ラテン語modusは英語modelの語源でもあるため、モデル（基準）の中に収まっていて出過ぎていない、とイメージしてもよい。&lt;/span&gt;</v>
      </c>
      <c r="S845" s="13" t="str">
        <f>INDEX($L:$L, MATCH("moderate", $B:$B, 0))</f>
        <v>&lt;span class="w"&gt;&lt;b&gt;【1082.moderate：適度な, 穏健な】&lt;/b&gt;&lt;/span&gt;
&lt;span class="ml"&gt;ラテン語moderari（尺度を定める, 尺度内にとどめる）に由来する。
&lt;span class="spacer"&gt;&lt;/span&gt;この語の核は「尺度内にとどめる」。そこから程度が過度ではなく「適度な」という意味になる。また人の立場や考え方が過激でなく「穏健な」という意味にもなる。&lt;/span&gt;</v>
      </c>
      <c r="T845" s="13" t="str">
        <f>INDEX($L:$L, MATCH("modify", $B:$B, 0))</f>
        <v>&lt;span class="w"&gt;&lt;b&gt;【839.modify：～を修正する, ～を調整する】&lt;/b&gt;&lt;/span&gt;
&lt;span class="ml"&gt;ラテン語に由来する語で、以下の2つの要素から成る。
&lt;span class="spacer"&gt;&lt;/span&gt;modus（尺度）
facere（行う, 作る）
&lt;span class="spacer"&gt;&lt;/span&gt;この語の核は「一定の尺度に収まるようにする」。ラテン語modusは、英語model（モデル）の語源でもあるので「一定のモデル（基準）に収まるようにする」と考えてもよい。
&lt;span class="spacer"&gt;&lt;/span&gt;基準の中に収めるので、はみ出した部分があれば基準に合うように「調整する」という意味になる。また基準が変われば、それに収めるためにで部分的に「修正する」という意味にもなる。
&lt;div class="sample_image modify"&gt;&lt;/div&gt;&lt;/span&gt;</v>
      </c>
      <c r="U845" s="13" t="str">
        <f>INDEX($L:$L, MATCH("commodity", $B:$B, 0))</f>
        <v>&lt;span class="w"&gt;&lt;b&gt;【1262.commodity：商品, 有用なもの】&lt;/b&gt;&lt;/span&gt;
&lt;span class="ml"&gt;ラテン語に由来する語で、以下の3つの要素から成る。
&lt;span class="spacer"&gt;&lt;/span&gt;com（強意）
modus（尺度, 方法）
tas（名詞化）
&lt;span class="spacer"&gt;&lt;/span&gt;もともとは、状況や目的といった尺度（基準）にピッタリ合っていることから、基準にあった「有用なもの」を意味した。
&lt;span class="spacer"&gt;&lt;/span&gt;そうした有用なものは価値があり、利益を生むことから、やがて市場で取引される「商品」を意味するようになった。&lt;/span&gt;</v>
      </c>
      <c r="AU845" s="15"/>
      <c r="AV845" s="1" t="s">
        <v>1502</v>
      </c>
      <c r="BG845" s="7" t="s">
        <v>1503</v>
      </c>
      <c r="BH845" s="1" t="s">
        <v>1947</v>
      </c>
      <c r="BI845" s="2" t="s">
        <v>4711</v>
      </c>
      <c r="BJ845" s="1" t="s">
        <v>1959</v>
      </c>
      <c r="BK845" s="1" t="s">
        <v>600</v>
      </c>
      <c r="BL845" s="1" t="s">
        <v>1875</v>
      </c>
      <c r="BM845" s="2" t="s">
        <v>4712</v>
      </c>
      <c r="BN845" s="1" t="s">
        <v>1877</v>
      </c>
      <c r="BO845" s="2" t="s">
        <v>4713</v>
      </c>
    </row>
    <row r="846" spans="1:69" ht="108" x14ac:dyDescent="0.45">
      <c r="A846" s="5">
        <v>845</v>
      </c>
      <c r="B846" s="6" t="s">
        <v>601</v>
      </c>
      <c r="C846" s="6" t="s">
        <v>6850</v>
      </c>
      <c r="D846" s="7" t="s">
        <v>9752</v>
      </c>
      <c r="E846" s="1" t="s">
        <v>601</v>
      </c>
      <c r="F846" s="1"/>
      <c r="G846" s="1"/>
      <c r="J846" s="1" t="s">
        <v>9753</v>
      </c>
      <c r="K846" s="2"/>
      <c r="L846" s="2" t="s">
        <v>9113</v>
      </c>
      <c r="P846" s="7" t="s">
        <v>1241</v>
      </c>
      <c r="AV846" s="1" t="s">
        <v>1502</v>
      </c>
      <c r="BG846" s="7" t="s">
        <v>1503</v>
      </c>
      <c r="BH846" s="1" t="s">
        <v>1872</v>
      </c>
      <c r="BI846" s="1" t="s">
        <v>4714</v>
      </c>
      <c r="BJ846" s="1" t="s">
        <v>1875</v>
      </c>
      <c r="BK846" s="1" t="s">
        <v>4715</v>
      </c>
      <c r="BL846" s="1" t="s">
        <v>1877</v>
      </c>
      <c r="BM846" s="2" t="s">
        <v>4716</v>
      </c>
    </row>
    <row r="847" spans="1:69" ht="108" x14ac:dyDescent="0.45">
      <c r="A847" s="5">
        <v>846</v>
      </c>
      <c r="B847" s="6" t="s">
        <v>602</v>
      </c>
      <c r="C847" s="6" t="s">
        <v>6850</v>
      </c>
      <c r="D847" s="7" t="s">
        <v>9752</v>
      </c>
      <c r="E847" s="1" t="s">
        <v>9114</v>
      </c>
      <c r="F847" s="1" t="s">
        <v>1522</v>
      </c>
      <c r="G847" s="1"/>
      <c r="J847" s="1" t="s">
        <v>9753</v>
      </c>
      <c r="K847" s="2" t="s">
        <v>9115</v>
      </c>
      <c r="L847" s="2" t="s">
        <v>9116</v>
      </c>
      <c r="P847" s="7" t="s">
        <v>1241</v>
      </c>
      <c r="Q847" s="13" t="str">
        <f>INDEX($L:$L, MATCH("grief", $B:$B, 0))</f>
        <v>&lt;span class="w"&gt;&lt;b&gt;【1373.grief：深い悲しみ, 】&lt;/b&gt;&lt;/span&gt;
&lt;span class="ml"&gt;ラテン語gravis（重い）に由来する。
&lt;span class="spacer"&gt;&lt;/span&gt;この語の核は「重い」。物理的な重さから精神的な重圧へと発展し、何かを失うことで心が押しつぶされそうになる「深い悲しみ」という意味になった。
&lt;div class="sample_image grief"&gt;&lt;/div&gt;
&lt;span class="spacer"&gt;&lt;/span&gt;ラテン語gravisからは、gravity（重力）やgrave（重大な）も生まれており、どちらも「重い」という核を持っている。&lt;/span&gt;</v>
      </c>
      <c r="AU847" s="15"/>
      <c r="AV847" s="1" t="s">
        <v>1502</v>
      </c>
      <c r="BG847" s="7" t="s">
        <v>1503</v>
      </c>
      <c r="BH847" s="1" t="s">
        <v>1947</v>
      </c>
      <c r="BI847" s="2" t="s">
        <v>9117</v>
      </c>
      <c r="BJ847" s="1" t="s">
        <v>1959</v>
      </c>
      <c r="BK847" s="2" t="s">
        <v>4717</v>
      </c>
      <c r="BL847" s="1" t="s">
        <v>1877</v>
      </c>
      <c r="BM847" s="2" t="s">
        <v>4718</v>
      </c>
    </row>
    <row r="848" spans="1:69" ht="126" x14ac:dyDescent="0.45">
      <c r="A848" s="5">
        <v>847</v>
      </c>
      <c r="B848" s="6" t="s">
        <v>603</v>
      </c>
      <c r="C848" s="6" t="s">
        <v>6850</v>
      </c>
      <c r="D848" s="7" t="s">
        <v>9752</v>
      </c>
      <c r="E848" s="1" t="s">
        <v>603</v>
      </c>
      <c r="F848" s="1"/>
      <c r="G848" s="1"/>
      <c r="J848" s="1" t="s">
        <v>9753</v>
      </c>
      <c r="K848" s="2"/>
      <c r="L848" s="3" t="s">
        <v>9118</v>
      </c>
      <c r="P848" s="7" t="s">
        <v>1241</v>
      </c>
      <c r="AU848" s="15"/>
      <c r="AV848" s="1" t="s">
        <v>1502</v>
      </c>
      <c r="BG848" s="7" t="s">
        <v>1503</v>
      </c>
      <c r="BH848" s="1" t="s">
        <v>1947</v>
      </c>
      <c r="BI848" s="2" t="s">
        <v>4719</v>
      </c>
      <c r="BJ848" s="1" t="s">
        <v>1967</v>
      </c>
      <c r="BK848" s="2" t="s">
        <v>4720</v>
      </c>
      <c r="BL848" s="1" t="s">
        <v>1959</v>
      </c>
      <c r="BM848" s="1" t="s">
        <v>4721</v>
      </c>
      <c r="BN848" s="1" t="s">
        <v>1875</v>
      </c>
      <c r="BO848" s="2" t="s">
        <v>4722</v>
      </c>
      <c r="BP848" s="1" t="s">
        <v>1877</v>
      </c>
      <c r="BQ848" s="2" t="s">
        <v>4723</v>
      </c>
    </row>
    <row r="849" spans="1:69" ht="216" x14ac:dyDescent="0.45">
      <c r="A849" s="5">
        <v>848</v>
      </c>
      <c r="B849" s="8" t="s">
        <v>604</v>
      </c>
      <c r="C849" s="6" t="s">
        <v>6850</v>
      </c>
      <c r="D849" s="7" t="s">
        <v>9752</v>
      </c>
      <c r="E849" s="1" t="s">
        <v>1506</v>
      </c>
      <c r="F849" s="1" t="s">
        <v>4724</v>
      </c>
      <c r="G849" s="1"/>
      <c r="J849" s="1" t="s">
        <v>9753</v>
      </c>
      <c r="K849" s="1" t="s">
        <v>9119</v>
      </c>
      <c r="L849" s="3" t="s">
        <v>9120</v>
      </c>
      <c r="P849" s="7" t="s">
        <v>1241</v>
      </c>
      <c r="Q849" s="13" t="str">
        <f>INDEX($L:$L, MATCH("disaster", $B:$B, 0))</f>
        <v>&lt;span class="w"&gt;&lt;b&gt;【367.disaster：災害, 惨事】&lt;/b&gt;&lt;/span&gt;
&lt;span class="ml"&gt;イタリア語に由来する語で、以下の2つの要素から成る。
&lt;span class="spacer"&gt;&lt;/span&gt;dis（否定）
astro（星）
&lt;span class="spacer"&gt;&lt;/span&gt;これは占星術で使われた言葉で、星の位置・星のめぐりが悪く不吉なことを意味した。ここから星からもたらされる不吉な出来事＝自然災害や大事件といった「災害, 惨事」という意味になる。
&lt;div class="sample_image disaster"&gt;&lt;/div&gt;&lt;/span&gt;</v>
      </c>
      <c r="AU849" s="15"/>
      <c r="AV849" s="1" t="s">
        <v>1502</v>
      </c>
      <c r="BG849" s="7" t="s">
        <v>1503</v>
      </c>
      <c r="BH849" s="1" t="s">
        <v>2458</v>
      </c>
      <c r="BI849" s="2" t="s">
        <v>4725</v>
      </c>
      <c r="BJ849" s="1" t="s">
        <v>1877</v>
      </c>
      <c r="BK849" s="2" t="s">
        <v>4726</v>
      </c>
    </row>
    <row r="850" spans="1:69" ht="72" x14ac:dyDescent="0.45">
      <c r="A850" s="5">
        <v>849</v>
      </c>
      <c r="B850" s="8" t="s">
        <v>605</v>
      </c>
      <c r="C850" s="6" t="s">
        <v>6850</v>
      </c>
      <c r="D850" s="7" t="s">
        <v>9752</v>
      </c>
      <c r="E850" s="1" t="s">
        <v>605</v>
      </c>
      <c r="F850" s="1"/>
      <c r="G850" s="1"/>
      <c r="J850" s="1" t="s">
        <v>9753</v>
      </c>
      <c r="L850" s="2" t="s">
        <v>9121</v>
      </c>
      <c r="M850" s="1" t="s">
        <v>12125</v>
      </c>
      <c r="P850" s="7" t="s">
        <v>1241</v>
      </c>
      <c r="Q850" s="13" t="str">
        <f>INDEX($L:$L, MATCH("courage", $B:$B, 0))</f>
        <v>&lt;span class="w"&gt;&lt;b&gt;【858.courage：勇気】&lt;/b&gt;&lt;/span&gt;
&lt;span class="ml"&gt;ラテン語cor（心・心臓）に由来する。&lt;span class="obsolete"&gt;age（名詞化）はフランス語段階で付いた。&lt;/span&gt;
&lt;span class="spacer"&gt;&lt;/span&gt;もともとは、人の内面の心や気持ちを表していたが、そこから困難や恐怖に直面したときにも揺らがずに行動できる心の強さを指すようになり、「勇気」という意味になった。&lt;/span&gt;</v>
      </c>
      <c r="R850" s="13" t="str">
        <f>INDEX($L:$L, MATCH("discourage", $B:$B, 0))</f>
        <v>&lt;span class="w"&gt;&lt;b&gt;【706.discourage：（人）にやる気をなくさせる, 〜を落胆させる】&lt;/b&gt;&lt;/span&gt;
&lt;span class="ml"&gt;古フランス語に由来する語で、以下の2つの要素から成る。
&lt;span class="spacer"&gt;&lt;/span&gt;des（離れて）
corage（勇気）
&lt;span class="spacer"&gt;&lt;/span&gt;この語の核は「行動へ向かう勇気を引き離す」。前向きな気持ちを失わせることから「落胆させる, やる気をなくさせる」という意味になる。&lt;/span&gt;</v>
      </c>
      <c r="S850" s="13" t="str">
        <f>INDEX($L:$L, MATCH("encourage", $B:$B, 0))</f>
        <v>&lt;span class="w"&gt;&lt;b&gt;【30.encourage：～を勧める, ～を励ます】&lt;/b&gt;&lt;/span&gt;
&lt;span class="ml"&gt;古フランス語に由来する語で、以下の2つの要素から成る。
&lt;span class="spacer"&gt;&lt;/span&gt;en（させる）
corage（勇気）
&lt;span class="obsolete"&gt;※corはラテン語の「心」&lt;/span&gt;
&lt;span class="spacer"&gt;&lt;/span&gt;この語の核は「勇気を出させる」ということ。勇気を出させる＝「励ます」、勇気づけてある行為の方へ進ませる＝「勧める」という意味になる。&lt;/span&gt;</v>
      </c>
      <c r="T850" s="13" t="str">
        <f>INDEX($L:$L, MATCH("accord", $B:$B, 0))</f>
        <v>&lt;span class="w"&gt;&lt;b&gt;【42.accord：一致, 合意, 協定】&lt;/b&gt;&lt;/span&gt;
&lt;span class="ml"&gt;ラテン語に由来する語で、以下の2つの要素から成る。
&lt;span class="spacer"&gt;&lt;/span&gt;ad（～へ）
cor（心）
&lt;span class="spacer"&gt;&lt;/span&gt;このまま日本語にすると「～へ心」となる。相手の心に自分の心を合わせるイメージから「合意, 一致」、そして合意の末に結ばれる「協定」という意味になる。
&lt;div class="sample_image accord"&gt;&lt;/div&gt;
&lt;span class="spacer"&gt;&lt;/span&gt;動詞accord（一致する）から派生したaccording to A（Aによれば, Aに従って）は以下のように考えればよい。
&lt;span class="spacer"&gt;&lt;/span&gt;①Aと一致するならB
＝AによるとB
&lt;span class="spacer"&gt;&lt;/span&gt;②Aに一致してB
＝Aに従ってB&lt;/span&gt;</v>
      </c>
      <c r="AV850" s="1" t="s">
        <v>1502</v>
      </c>
      <c r="BG850" s="7" t="s">
        <v>1503</v>
      </c>
      <c r="BH850" s="1" t="s">
        <v>1976</v>
      </c>
      <c r="BI850" s="1" t="s">
        <v>4532</v>
      </c>
      <c r="BJ850" s="1" t="s">
        <v>1947</v>
      </c>
      <c r="BK850" s="1" t="s">
        <v>4727</v>
      </c>
      <c r="BL850" s="1" t="s">
        <v>1959</v>
      </c>
      <c r="BM850" s="1" t="s">
        <v>4728</v>
      </c>
      <c r="BN850" s="1" t="s">
        <v>1875</v>
      </c>
      <c r="BO850" s="2" t="s">
        <v>4729</v>
      </c>
    </row>
    <row r="851" spans="1:69" ht="144" x14ac:dyDescent="0.45">
      <c r="A851" s="5">
        <v>850</v>
      </c>
      <c r="B851" s="6" t="s">
        <v>606</v>
      </c>
      <c r="C851" s="6" t="s">
        <v>6850</v>
      </c>
      <c r="D851" s="7" t="s">
        <v>9752</v>
      </c>
      <c r="E851" s="1" t="s">
        <v>606</v>
      </c>
      <c r="F851" s="1"/>
      <c r="G851" s="1"/>
      <c r="J851" s="1" t="s">
        <v>9753</v>
      </c>
      <c r="K851" s="2"/>
      <c r="L851" s="2" t="s">
        <v>9122</v>
      </c>
      <c r="P851" s="7" t="s">
        <v>1241</v>
      </c>
      <c r="AU851" s="15"/>
      <c r="AV851" s="1" t="s">
        <v>1502</v>
      </c>
      <c r="BG851" s="7" t="s">
        <v>1503</v>
      </c>
      <c r="BH851" s="1" t="s">
        <v>1872</v>
      </c>
      <c r="BI851" s="2" t="s">
        <v>4730</v>
      </c>
    </row>
    <row r="852" spans="1:69" ht="162" x14ac:dyDescent="0.45">
      <c r="A852" s="5">
        <v>851</v>
      </c>
      <c r="B852" s="6" t="s">
        <v>607</v>
      </c>
      <c r="C852" s="6" t="s">
        <v>6850</v>
      </c>
      <c r="D852" s="7" t="s">
        <v>9752</v>
      </c>
      <c r="E852" s="1" t="s">
        <v>607</v>
      </c>
      <c r="F852" s="1"/>
      <c r="G852" s="1"/>
      <c r="J852" s="1" t="s">
        <v>9753</v>
      </c>
      <c r="K852" s="2" t="s">
        <v>9123</v>
      </c>
      <c r="L852" s="2" t="s">
        <v>9124</v>
      </c>
      <c r="P852" s="7" t="s">
        <v>1241</v>
      </c>
      <c r="Q852" s="13" t="str">
        <f>INDEX($L:$L, MATCH("neuron", $B:$B, 0))</f>
        <v>&lt;span class="w"&gt;&lt;b&gt;【944.neuron：ニューロン】&lt;/b&gt;&lt;/span&gt;
&lt;span class="ml"&gt;ギリシャ語neuron（引き伸ばされたもの, 腱, 筋, 神経）に由来する。
&lt;span class="spacer"&gt;&lt;/span&gt;この語の核は「引き伸ばされた糸」。もともとのギリシャ語では、腱や筋、神経などの身体内部に張りめぐらされた線状構造や、弓や楽器の弦を表していた。そこから近代英語において、神経系の構成単位である「ニューロン」を表す用語として使われるようになった。&lt;/span&gt;</v>
      </c>
      <c r="AU852" s="15"/>
      <c r="AV852" s="1" t="s">
        <v>1502</v>
      </c>
      <c r="BG852" s="7" t="s">
        <v>1503</v>
      </c>
      <c r="BH852" s="1" t="s">
        <v>1947</v>
      </c>
      <c r="BI852" s="2" t="s">
        <v>4731</v>
      </c>
      <c r="BJ852" s="1" t="s">
        <v>1967</v>
      </c>
      <c r="BK852" s="1" t="s">
        <v>4732</v>
      </c>
      <c r="BL852" s="1" t="s">
        <v>1959</v>
      </c>
      <c r="BM852" s="1" t="s">
        <v>4733</v>
      </c>
      <c r="BN852" s="1" t="s">
        <v>1875</v>
      </c>
      <c r="BO852" s="2" t="s">
        <v>4734</v>
      </c>
      <c r="BP852" s="1" t="s">
        <v>1877</v>
      </c>
      <c r="BQ852" s="2" t="s">
        <v>4735</v>
      </c>
    </row>
    <row r="853" spans="1:69" ht="198" x14ac:dyDescent="0.45">
      <c r="A853" s="5">
        <v>852</v>
      </c>
      <c r="B853" s="6" t="s">
        <v>608</v>
      </c>
      <c r="C853" s="6" t="s">
        <v>6850</v>
      </c>
      <c r="D853" s="7" t="s">
        <v>9752</v>
      </c>
      <c r="E853" s="1" t="s">
        <v>27</v>
      </c>
      <c r="F853" s="1" t="s">
        <v>4825</v>
      </c>
      <c r="G853" s="1" t="s">
        <v>1584</v>
      </c>
      <c r="J853" s="1" t="s">
        <v>9753</v>
      </c>
      <c r="L853" s="3" t="s">
        <v>9125</v>
      </c>
      <c r="M853" s="1" t="s">
        <v>12123</v>
      </c>
      <c r="P853" s="7" t="s">
        <v>1241</v>
      </c>
      <c r="Q853" s="13" t="str">
        <f>INDEX($L:$L, MATCH("affect", $B:$B, 0))</f>
        <v>&lt;span class="w"&gt;&lt;b&gt;【25.affect：～に影響する】&lt;/b&gt;&lt;/span&gt;
&lt;span class="ml"&gt;ラテン語に由来する語で、以下の2つの要素から成る。
&lt;span class="spacer"&gt;&lt;/span&gt;ad（～へ）
facere（する, 作る）
&lt;span class="spacer"&gt;&lt;/span&gt;このまま日本語にすると「～へ何かをする」となる。ここから精神的もしくは物理的に「影響する」という意味になる。&lt;/span&gt;</v>
      </c>
      <c r="R853" s="13" t="str">
        <f>INDEX($L:$L, MATCH("effect", $B:$B, 0))</f>
        <v>&lt;span class="w"&gt;&lt;b&gt;【48.effect：影響, 効果】&lt;/b&gt;&lt;/span&gt;
&lt;span class="ml"&gt;ラテン語に由来する語で、以下の2つの要素から成る。
&lt;span class="spacer"&gt;&lt;/span&gt;ex（外へ）
facere（行う）
&lt;span class="spacer"&gt;&lt;/span&gt;このまま日本語にすると「行なって外へ」となる。何かを行なった結果として外に出てきたものというイメージから、「影響, 効果」という意味になる。
&lt;span class="spacer"&gt;&lt;/span&gt;サウンドエフェクトやゲームのエフェクトといった「効果」と関連させて覚える。
&lt;span class="spacer"&gt;&lt;/span&gt;effectは、何かを行なった結果として現実に出てきたものなので、かつては「現実, 事実」という意味があった。この意味はin effect「実際に, 事実上」に残っている。&lt;/span&gt;</v>
      </c>
      <c r="S853" s="13" t="str">
        <f>INDEX($L:$L, MATCH("efficient", $B:$B, 0))</f>
        <v>&lt;span class="w"&gt;&lt;b&gt;【281.efficient：効率的な, 有能な】&lt;/b&gt;&lt;/span&gt;
&lt;span class="ml"&gt;ラテン語に由来する語で、以下の2つの要素から成る。
&lt;span class="spacer"&gt;&lt;/span&gt;ex（外に）
facere（作る, する）
&lt;span class="spacer"&gt;&lt;/span&gt;この語の核は何かを外に作り出す際に「テキパキしている」こと。結果や効果を作り出す際に無駄なく、素早く行うことから「効率的な, 有能な」という意味になる。
&lt;div class="sample_image efficient"&gt;&lt;/div&gt;&lt;/span&gt;</v>
      </c>
      <c r="T853" s="13" t="str">
        <f>INDEX($L:$L, MATCH("sufficient", $B:$B, 0))</f>
        <v>&lt;span class="w"&gt;&lt;b&gt;【483.sufficient：十分な（=enough）】&lt;/b&gt;&lt;/span&gt;
&lt;span class="ml"&gt;ラテン語に由来する語で、以下の2つの要素から成る。
&lt;span class="spacer"&gt;&lt;/span&gt;sub（下から）
facere（行う, 作る）
&lt;span class="spacer"&gt;&lt;/span&gt;このまま日本語にすると「下から作る」となる。これは、下から必要とされるラインまで作り上げるというイメージ。ここから、数量が足りていて「十分な」という意味になる。
&lt;div class="sample_image sufficient"&gt;&lt;/div&gt;
&lt;span class="spacer"&gt;&lt;/span&gt;［sufficientとadequate］
&lt;span class="spacer"&gt;&lt;/span&gt;sufficient：必要な分まで足りるという意味で「十分な」という感じ。否定のinsufficientは「不足している」という意味になる。
&lt;span class="spacer"&gt;&lt;/span&gt;adequate：必要最低限の水準は満たしていて「十分な」という感じ。否定のinadequateは「不適切な」という意味になる。またadequateは、質はまぁまぁという少しネガティブな印象を含むことがある。&lt;/span&gt;</v>
      </c>
      <c r="U853" s="13" t="str">
        <f>INDEX($L:$L, MATCH("insufficient", $B:$B, 0))</f>
        <v>&lt;span class="w"&gt;&lt;b&gt;【1484.insufficient：不十分な】&lt;/b&gt;&lt;/span&gt;
&lt;span class="ml"&gt;ラテン語に由来する語で、以下の2つの要素から成る。
&lt;span class="spacer"&gt;&lt;/span&gt;in（否定）
sufficientem（十分な）
&lt;span class="spacer"&gt;&lt;/span&gt;十分であることを否定するので「不十分な」という意味になる。
&lt;span class="spacer"&gt;&lt;/span&gt;sufficientは関連語を参照。&lt;/span&gt;</v>
      </c>
      <c r="AU853" s="15"/>
      <c r="AV853" s="1" t="s">
        <v>1502</v>
      </c>
      <c r="BG853" s="7" t="s">
        <v>1503</v>
      </c>
      <c r="BH853" s="1" t="s">
        <v>1947</v>
      </c>
      <c r="BI853" s="2" t="s">
        <v>4736</v>
      </c>
      <c r="BJ853" s="1" t="s">
        <v>2036</v>
      </c>
      <c r="BK853" s="2" t="s">
        <v>4737</v>
      </c>
      <c r="BL853" s="1" t="s">
        <v>1959</v>
      </c>
      <c r="BM853" s="2" t="s">
        <v>4738</v>
      </c>
      <c r="BN853" s="1" t="s">
        <v>1875</v>
      </c>
      <c r="BO853" s="2" t="s">
        <v>4739</v>
      </c>
      <c r="BP853" s="1" t="s">
        <v>1877</v>
      </c>
      <c r="BQ853" s="2" t="s">
        <v>4740</v>
      </c>
    </row>
    <row r="854" spans="1:69" ht="198" x14ac:dyDescent="0.45">
      <c r="A854" s="5">
        <v>853</v>
      </c>
      <c r="B854" s="6" t="s">
        <v>609</v>
      </c>
      <c r="C854" s="6" t="s">
        <v>6850</v>
      </c>
      <c r="D854" s="7" t="s">
        <v>9752</v>
      </c>
      <c r="E854" s="1" t="s">
        <v>609</v>
      </c>
      <c r="F854" s="1"/>
      <c r="G854" s="1"/>
      <c r="J854" s="1" t="s">
        <v>9753</v>
      </c>
      <c r="K854" s="1" t="s">
        <v>4741</v>
      </c>
      <c r="L854" s="2" t="s">
        <v>9126</v>
      </c>
      <c r="P854" s="7" t="s">
        <v>1241</v>
      </c>
      <c r="AU854" s="15"/>
      <c r="AV854" s="1" t="s">
        <v>1502</v>
      </c>
      <c r="BG854" s="7" t="s">
        <v>1503</v>
      </c>
      <c r="BH854" s="1" t="s">
        <v>1994</v>
      </c>
      <c r="BI854" s="2" t="s">
        <v>4742</v>
      </c>
      <c r="BJ854" s="1" t="s">
        <v>1996</v>
      </c>
      <c r="BK854" s="2" t="s">
        <v>4743</v>
      </c>
      <c r="BL854" s="1" t="s">
        <v>1877</v>
      </c>
      <c r="BM854" s="2" t="s">
        <v>9127</v>
      </c>
      <c r="BN854" s="1" t="s">
        <v>3496</v>
      </c>
      <c r="BO854" s="2" t="s">
        <v>4744</v>
      </c>
    </row>
    <row r="855" spans="1:69" ht="144" x14ac:dyDescent="0.45">
      <c r="A855" s="5">
        <v>854</v>
      </c>
      <c r="B855" s="6" t="s">
        <v>610</v>
      </c>
      <c r="C855" s="6" t="s">
        <v>6850</v>
      </c>
      <c r="D855" s="7" t="s">
        <v>9752</v>
      </c>
      <c r="E855" s="1" t="s">
        <v>9128</v>
      </c>
      <c r="F855" s="1" t="s">
        <v>1927</v>
      </c>
      <c r="G855" s="1"/>
      <c r="J855" s="1" t="s">
        <v>9753</v>
      </c>
      <c r="K855" s="1" t="s">
        <v>9129</v>
      </c>
      <c r="L855" s="2" t="s">
        <v>9130</v>
      </c>
      <c r="P855" s="7" t="s">
        <v>1241</v>
      </c>
      <c r="AV855" s="1" t="s">
        <v>1502</v>
      </c>
      <c r="BG855" s="7" t="s">
        <v>1503</v>
      </c>
      <c r="BH855" s="1" t="s">
        <v>2036</v>
      </c>
      <c r="BI855" s="1" t="s">
        <v>4745</v>
      </c>
      <c r="BJ855" s="1" t="s">
        <v>1967</v>
      </c>
      <c r="BK855" s="2" t="s">
        <v>9131</v>
      </c>
      <c r="BL855" s="1" t="s">
        <v>1959</v>
      </c>
      <c r="BM855" s="2" t="s">
        <v>4746</v>
      </c>
      <c r="BN855" s="1" t="s">
        <v>1875</v>
      </c>
      <c r="BO855" s="2" t="s">
        <v>4747</v>
      </c>
      <c r="BP855" s="1" t="s">
        <v>1877</v>
      </c>
      <c r="BQ855" s="2" t="s">
        <v>4748</v>
      </c>
    </row>
    <row r="856" spans="1:69" ht="378" x14ac:dyDescent="0.45">
      <c r="A856" s="5" t="s">
        <v>4749</v>
      </c>
      <c r="B856" s="6" t="s">
        <v>611</v>
      </c>
      <c r="C856" s="6" t="s">
        <v>6850</v>
      </c>
      <c r="D856" s="7" t="s">
        <v>9752</v>
      </c>
      <c r="E856" s="1" t="s">
        <v>611</v>
      </c>
      <c r="F856" s="1"/>
      <c r="G856" s="1"/>
      <c r="J856" s="1" t="s">
        <v>9753</v>
      </c>
      <c r="K856" s="2"/>
      <c r="L856" s="2" t="s">
        <v>9132</v>
      </c>
      <c r="P856" s="7" t="s">
        <v>1241</v>
      </c>
      <c r="AV856" s="1" t="s">
        <v>1502</v>
      </c>
      <c r="BG856" s="7" t="s">
        <v>1503</v>
      </c>
      <c r="BH856" s="1" t="s">
        <v>1947</v>
      </c>
      <c r="BI856" s="1" t="s">
        <v>4750</v>
      </c>
      <c r="BJ856" s="1" t="s">
        <v>3250</v>
      </c>
      <c r="BK856" s="1" t="s">
        <v>4751</v>
      </c>
      <c r="BL856" s="1" t="s">
        <v>1875</v>
      </c>
      <c r="BM856" s="2" t="s">
        <v>4752</v>
      </c>
      <c r="BN856" s="1" t="s">
        <v>1877</v>
      </c>
      <c r="BO856" s="2" t="s">
        <v>9133</v>
      </c>
    </row>
    <row r="857" spans="1:69" ht="126" x14ac:dyDescent="0.45">
      <c r="A857" s="5">
        <v>856</v>
      </c>
      <c r="B857" s="6" t="s">
        <v>4753</v>
      </c>
      <c r="C857" s="6" t="s">
        <v>6850</v>
      </c>
      <c r="D857" s="7" t="s">
        <v>9752</v>
      </c>
      <c r="E857" s="1" t="s">
        <v>27</v>
      </c>
      <c r="F857" s="1" t="s">
        <v>4754</v>
      </c>
      <c r="G857" s="1"/>
      <c r="J857" s="1" t="s">
        <v>9753</v>
      </c>
      <c r="K857" s="1" t="s">
        <v>9134</v>
      </c>
      <c r="L857" s="2" t="s">
        <v>9135</v>
      </c>
      <c r="M857" s="1" t="s">
        <v>12192</v>
      </c>
      <c r="P857" s="7" t="s">
        <v>1241</v>
      </c>
      <c r="Q857" s="13" t="str">
        <f>INDEX($L:$L, MATCH("distinguish", $B:$B, 0))</f>
        <v>&lt;span class="w"&gt;&lt;b&gt;【422.distinguish：〜を区別する】&lt;/b&gt;&lt;/span&gt;
&lt;span class="ml"&gt;ラテン語に由来する語で、以下の2つの要素から成る。
&lt;span class="spacer"&gt;&lt;/span&gt;dis（離れて）
stinguere（突く, 刺激する）
&lt;span class="spacer"&gt;&lt;/span&gt;このまま日本語にすると「突き刺して離す」となる。ここから何かを分ける＝「区別する」という意味になる。&lt;/span&gt;</v>
      </c>
      <c r="R857" s="13" t="str">
        <f>INDEX($L:$L, MATCH("distinct", $B:$B, 0))</f>
        <v>&lt;span class="w"&gt;&lt;b&gt;【582.distinct：明らかに異なる, 明瞭な】&lt;/b&gt;&lt;/span&gt;
&lt;span class="ml"&gt;ラテン語に由来する語で、以下の2つの要素から成る。
&lt;span class="spacer"&gt;&lt;/span&gt;［distinguishの語源］
dis（離れて）
stinguere（突く, 刺激する）
&lt;span class="spacer"&gt;&lt;/span&gt;このまま日本語にすると「突き刺して離す」となる。ここから何かを分ける＝「区別する」という意味になる。
&lt;span class="spacer"&gt;&lt;/span&gt;［disitinctの語源］
動詞distinguishには、中英語期にdistinctenという異なる形があり、この過去分詞からdisitinctという形容詞が生まれた。
&lt;span class="spacer"&gt;&lt;/span&gt;「区別する」の過去分詞「区別された」から、他から切り離されているので他のものとは「明らかに異なる」、違いが「明瞭な」という意味になった。
&lt;div class="sample_image distinct"&gt;&lt;/div&gt;&lt;/span&gt;</v>
      </c>
      <c r="S857" s="13" t="str">
        <f>INDEX($L:$L, MATCH("extinct", $B:$B, 0))</f>
        <v>&lt;span class="w"&gt;&lt;b&gt;【694.extinct：絶滅した, 廃止された】&lt;/b&gt;&lt;/span&gt;
&lt;span class="ml"&gt;ラテン語に由来する語で、以下の2つの要素から成る。
&lt;span class="spacer"&gt;&lt;/span&gt;ex（外に）
stinguere（消す, 突き刺す）
&lt;span class="spacer"&gt;&lt;/span&gt;ロウソクの火を指でつまんで消す時の突き刺すような痛みや、棒で突いて火を消すという動作のイメージから「突き刺す」が「火を消す」になる。
&lt;span class="spacer"&gt;&lt;/span&gt;そして実際に火が消えることから、比喩的に命の火が消えて絶えることを表すようになり、「絶滅した」という意味になった。&lt;/span&gt;</v>
      </c>
      <c r="T857" s="13" t="str">
        <f>INDEX($L:$L, MATCH("stimulate", $B:$B, 0))</f>
        <v>&lt;span class="w"&gt;&lt;b&gt;【602.stimulate：〜を刺激する】&lt;/b&gt;&lt;/span&gt;
&lt;span class="ml"&gt;ラテン語stimulus（突き棒）に由来する。
&lt;span class="spacer"&gt;&lt;/span&gt;突き棒で突くことから「刺激する」という意味になる。
&lt;span class="spacer"&gt;&lt;/span&gt;stimulateのsti部分は、おそらくstick（棒）と関わっているため、stimulateとstickを関連させて覚える。&lt;/span&gt;</v>
      </c>
      <c r="U857" s="13" t="str">
        <f>INDEX($L:$L, MATCH("stick", $B:$B, 0))</f>
        <v>&lt;span class="w"&gt;&lt;b&gt;【304.stick：〜を動けなくする, 〜を突き刺す, くっつく】&lt;/b&gt;&lt;/span&gt;
&lt;span class="ml"&gt;古英語stician（突き刺す）にさかのぼる語。
&lt;span class="spacer"&gt;&lt;/span&gt;stick（スティック）は日本語でも「棒, 突き刺す棒」を指す。この名詞と関連させて「突き刺す」という動詞を覚えればよい。また突き刺すことによって固定することから「動けなくする, くっつく」という意味にもなる。&lt;/span&gt;</v>
      </c>
      <c r="AU857" s="15"/>
      <c r="AV857" s="1" t="s">
        <v>1502</v>
      </c>
      <c r="BG857" s="7" t="s">
        <v>1503</v>
      </c>
      <c r="BH857" s="1" t="s">
        <v>1947</v>
      </c>
      <c r="BI857" s="2" t="s">
        <v>4755</v>
      </c>
      <c r="BJ857" s="1" t="s">
        <v>1504</v>
      </c>
      <c r="BK857" s="2" t="s">
        <v>4756</v>
      </c>
      <c r="BL857" s="1" t="s">
        <v>2044</v>
      </c>
      <c r="BM857" s="2" t="s">
        <v>4757</v>
      </c>
      <c r="BN857" s="1" t="s">
        <v>1883</v>
      </c>
      <c r="BO857" s="2" t="s">
        <v>4758</v>
      </c>
    </row>
    <row r="858" spans="1:69" ht="234" x14ac:dyDescent="0.45">
      <c r="A858" s="5">
        <v>857</v>
      </c>
      <c r="B858" s="8" t="s">
        <v>4759</v>
      </c>
      <c r="C858" s="6" t="s">
        <v>6850</v>
      </c>
      <c r="D858" s="7" t="s">
        <v>9752</v>
      </c>
      <c r="E858" s="1" t="s">
        <v>8994</v>
      </c>
      <c r="F858" s="1"/>
      <c r="G858" s="1"/>
      <c r="J858" s="1" t="s">
        <v>9753</v>
      </c>
      <c r="L858" s="2" t="s">
        <v>9136</v>
      </c>
      <c r="P858" s="7" t="s">
        <v>1241</v>
      </c>
      <c r="Q858" s="13" t="str">
        <f>INDEX($L:$L, MATCH("confidence", $B:$B, 0))</f>
        <v>&lt;span class="w"&gt;&lt;b&gt;【447.confidence：自信】&lt;/b&gt;&lt;/span&gt;
&lt;span class="ml"&gt;ラテン語に由来する語で、以下の2つの要素から成る。
&lt;span class="spacer"&gt;&lt;/span&gt;con（強意）
fidere（信頼する）
&lt;span class="spacer"&gt;&lt;/span&gt;このまま日本語にすると「完全に信頼する」となる。この信頼から生まれる「自信, 確信」というイメージ。&lt;/span&gt;</v>
      </c>
      <c r="R858" s="13" t="str">
        <f>INDEX($L:$L, MATCH("federal", $B:$B, 0))</f>
        <v>&lt;span class="w"&gt;&lt;b&gt;【785.federal：連邦（政府）の】&lt;/b&gt;&lt;/span&gt;
&lt;span class="ml"&gt;ラテン語
foedus（契約, 条約）
&lt;span class="spacer"&gt;&lt;/span&gt;もともとは、神学的な「神との契約に関する」という意味や、独立した国家間の「同盟や条約に関する」という意味で使われた。
&lt;span class="spacer"&gt;&lt;/span&gt;その後、1787年のアメリカ合衆国憲法制定の際に、独立した各州が盟約（foedus）を結び、強力な中央政府を形成する体制を連邦制（federalism）と呼び、それを支持する人々がフェデラリストと名乗ったことで、単なる同盟ではなく「連邦政府の」という意味が定着した。&lt;/span&gt;</v>
      </c>
      <c r="AU858" s="15"/>
      <c r="AV858" s="1" t="s">
        <v>1502</v>
      </c>
      <c r="BG858" s="7" t="s">
        <v>1503</v>
      </c>
      <c r="BH858" s="1" t="s">
        <v>1947</v>
      </c>
      <c r="BI858" s="2" t="s">
        <v>4760</v>
      </c>
      <c r="BJ858" s="1" t="s">
        <v>1504</v>
      </c>
      <c r="BK858" s="2" t="s">
        <v>4761</v>
      </c>
      <c r="BL858" s="1" t="s">
        <v>2044</v>
      </c>
      <c r="BM858" s="2" t="s">
        <v>4762</v>
      </c>
    </row>
    <row r="859" spans="1:69" ht="180" x14ac:dyDescent="0.45">
      <c r="A859" s="5">
        <v>858</v>
      </c>
      <c r="B859" s="6" t="s">
        <v>1260</v>
      </c>
      <c r="C859" s="6" t="s">
        <v>6850</v>
      </c>
      <c r="D859" s="7" t="s">
        <v>9752</v>
      </c>
      <c r="E859" s="1" t="s">
        <v>1935</v>
      </c>
      <c r="F859" s="1" t="s">
        <v>1748</v>
      </c>
      <c r="G859" s="1"/>
      <c r="J859" s="1" t="s">
        <v>9753</v>
      </c>
      <c r="L859" s="2" t="s">
        <v>9214</v>
      </c>
      <c r="M859" s="1" t="s">
        <v>12125</v>
      </c>
      <c r="P859" s="7" t="s">
        <v>1241</v>
      </c>
      <c r="Q859" s="13" t="str">
        <f>INDEX($L:$L, MATCH("discourage", $B:$B, 0))</f>
        <v>&lt;span class="w"&gt;&lt;b&gt;【706.discourage：（人）にやる気をなくさせる, 〜を落胆させる】&lt;/b&gt;&lt;/span&gt;
&lt;span class="ml"&gt;古フランス語に由来する語で、以下の2つの要素から成る。
&lt;span class="spacer"&gt;&lt;/span&gt;des（離れて）
corage（勇気）
&lt;span class="spacer"&gt;&lt;/span&gt;この語の核は「行動へ向かう勇気を引き離す」。前向きな気持ちを失わせることから「落胆させる, やる気をなくさせる」という意味になる。&lt;/span&gt;</v>
      </c>
      <c r="R859" s="13" t="str">
        <f>INDEX($L:$L, MATCH("encourage", $B:$B, 0))</f>
        <v>&lt;span class="w"&gt;&lt;b&gt;【30.encourage：～を勧める, ～を励ます】&lt;/b&gt;&lt;/span&gt;
&lt;span class="ml"&gt;古フランス語に由来する語で、以下の2つの要素から成る。
&lt;span class="spacer"&gt;&lt;/span&gt;en（させる）
corage（勇気）
&lt;span class="obsolete"&gt;※corはラテン語の「心」&lt;/span&gt;
&lt;span class="spacer"&gt;&lt;/span&gt;この語の核は「勇気を出させる」ということ。勇気を出させる＝「励ます」、勇気づけてある行為の方へ進ませる＝「勧める」という意味になる。&lt;/span&gt;</v>
      </c>
      <c r="S859" s="13" t="str">
        <f>INDEX($L:$L, MATCH("accord", $B:$B, 0))</f>
        <v>&lt;span class="w"&gt;&lt;b&gt;【42.accord：一致, 合意, 協定】&lt;/b&gt;&lt;/span&gt;
&lt;span class="ml"&gt;ラテン語に由来する語で、以下の2つの要素から成る。
&lt;span class="spacer"&gt;&lt;/span&gt;ad（～へ）
cor（心）
&lt;span class="spacer"&gt;&lt;/span&gt;このまま日本語にすると「～へ心」となる。相手の心に自分の心を合わせるイメージから「合意, 一致」、そして合意の末に結ばれる「協定」という意味になる。
&lt;div class="sample_image accord"&gt;&lt;/div&gt;
&lt;span class="spacer"&gt;&lt;/span&gt;動詞accord（一致する）から派生したaccording to A（Aによれば, Aに従って）は以下のように考えればよい。
&lt;span class="spacer"&gt;&lt;/span&gt;①Aと一致するならB
＝AによるとB
&lt;span class="spacer"&gt;&lt;/span&gt;②Aに一致してB
＝Aに従ってB&lt;/span&gt;</v>
      </c>
      <c r="T859" s="13" t="str">
        <f>INDEX($L:$L, MATCH("core", $B:$B, 0))</f>
        <v>&lt;span class="w"&gt;&lt;b&gt;【849.core：核心, 芯】&lt;/b&gt;&lt;/span&gt;
&lt;span class="ml"&gt;ラテン語cor（心, 心臓）に由来する。
&lt;span class="spacer"&gt;&lt;/span&gt;心や心臓のように中心にあるものということから「核心, 芯」という意味になった。&lt;/span&gt;</v>
      </c>
      <c r="AV859" s="1" t="s">
        <v>1502</v>
      </c>
      <c r="BG859" s="7" t="s">
        <v>1503</v>
      </c>
      <c r="BH859" s="1" t="s">
        <v>1976</v>
      </c>
      <c r="BI859" s="1" t="s">
        <v>2024</v>
      </c>
      <c r="BJ859" s="1" t="s">
        <v>1947</v>
      </c>
      <c r="BK859" s="1" t="s">
        <v>2025</v>
      </c>
      <c r="BL859" s="1" t="s">
        <v>2026</v>
      </c>
      <c r="BM859" s="2" t="s">
        <v>2027</v>
      </c>
      <c r="BN859" s="1" t="s">
        <v>1959</v>
      </c>
      <c r="BO859" s="2" t="s">
        <v>4763</v>
      </c>
      <c r="BP859" s="1" t="s">
        <v>2044</v>
      </c>
      <c r="BQ859" s="2" t="s">
        <v>4764</v>
      </c>
    </row>
    <row r="860" spans="1:69" ht="180" x14ac:dyDescent="0.45">
      <c r="A860" s="5">
        <v>859</v>
      </c>
      <c r="B860" s="6" t="s">
        <v>4765</v>
      </c>
      <c r="C860" s="6" t="s">
        <v>6850</v>
      </c>
      <c r="D860" s="7" t="s">
        <v>9752</v>
      </c>
      <c r="E860" s="1" t="s">
        <v>27</v>
      </c>
      <c r="F860" s="1" t="s">
        <v>8871</v>
      </c>
      <c r="G860" s="1" t="s">
        <v>1528</v>
      </c>
      <c r="J860" s="1" t="s">
        <v>9753</v>
      </c>
      <c r="K860" s="1" t="s">
        <v>9137</v>
      </c>
      <c r="L860" s="2" t="s">
        <v>9138</v>
      </c>
      <c r="P860" s="7" t="s">
        <v>1241</v>
      </c>
      <c r="AU860" s="15"/>
      <c r="AV860" s="1" t="s">
        <v>1502</v>
      </c>
      <c r="BG860" s="7" t="s">
        <v>1503</v>
      </c>
      <c r="BH860" s="1" t="s">
        <v>1947</v>
      </c>
      <c r="BI860" s="2" t="s">
        <v>9139</v>
      </c>
      <c r="BJ860" s="1" t="s">
        <v>2147</v>
      </c>
      <c r="BK860" s="2" t="s">
        <v>9140</v>
      </c>
      <c r="BL860" s="1" t="s">
        <v>2044</v>
      </c>
      <c r="BM860" s="2" t="s">
        <v>9141</v>
      </c>
      <c r="BN860" s="1" t="s">
        <v>4071</v>
      </c>
      <c r="BO860" s="2" t="s">
        <v>4766</v>
      </c>
    </row>
    <row r="861" spans="1:69" ht="144" x14ac:dyDescent="0.45">
      <c r="A861" s="5">
        <v>860</v>
      </c>
      <c r="B861" s="8" t="s">
        <v>4767</v>
      </c>
      <c r="C861" s="6" t="s">
        <v>6850</v>
      </c>
      <c r="D861" s="7" t="s">
        <v>9752</v>
      </c>
      <c r="E861" s="1" t="s">
        <v>31</v>
      </c>
      <c r="F861" s="1" t="s">
        <v>4768</v>
      </c>
      <c r="G861" s="1"/>
      <c r="J861" s="1" t="s">
        <v>9753</v>
      </c>
      <c r="K861" s="1" t="s">
        <v>7312</v>
      </c>
      <c r="L861" s="2" t="s">
        <v>9142</v>
      </c>
      <c r="M861" s="1" t="s">
        <v>12135</v>
      </c>
      <c r="P861" s="7" t="s">
        <v>1241</v>
      </c>
      <c r="Q861" s="13" t="str">
        <f>INDEX($L:$L, MATCH("respect", $B:$B, 0))</f>
        <v>&lt;span class="w"&gt;&lt;b&gt;【133.respect：〜を尊敬する】&lt;/b&gt;&lt;/span&gt;
&lt;span class="ml"&gt;ラテン語に由来する語で、以下の2つの要素から成る。
&lt;span class="spacer"&gt;&lt;/span&gt;re（後ろへ）
specere（見る）
&lt;span class="spacer"&gt;&lt;/span&gt;このまま日本語にすると「後ろを見る」となる。振り返って見る、1度見たものを何度もよく見るというイメージから、対象に注意、配慮、敬意を向ける、つまり「尊敬する」という意味になる。
&lt;span class="spacer"&gt;&lt;/span&gt;名詞respectは、ある事柄に何度も目を向けることから、目を向ける先の「ポイント」や「関係」を意味する。&lt;/span&gt;</v>
      </c>
      <c r="R861" s="13" t="str">
        <f>INDEX($L:$L, MATCH("aspect", $B:$B, 0))</f>
        <v>&lt;span class="w"&gt;&lt;b&gt;【174.aspect：側面, 観点】&lt;/b&gt;&lt;/span&gt;
&lt;span class="ml"&gt;ラテン語に由来する語で、以下の3つの要素から成る。
&lt;span class="spacer"&gt;&lt;/span&gt;ad（～へ）
specere（見る）
tus（名詞化）
&lt;span class="spacer"&gt;&lt;/span&gt;このまま日本語にすると「～へ見ること」となる。もともとは占星術用語として使われ、地球と他の惑星がどのように見えるかを意味した。たとえば地球から月を見るとき、地球上の観測点からは月のひとつの面しか見えない。
&lt;span class="spacer"&gt;&lt;/span&gt;ここから、自分から相手、相手から自分を見るそれぞれの「観点」や、見ている相手の「側面」という意味になる。
&lt;div class="sample_image aspect"&gt;&lt;/div&gt;&lt;/span&gt;</v>
      </c>
      <c r="S861" s="13" t="str">
        <f>INDEX($L:$L, MATCH("suspect", $B:$B, 0))</f>
        <v>&lt;span class="w"&gt;&lt;b&gt;【630.suspect：〜を疑う, 〜ではないかと思う】&lt;/b&gt;&lt;/span&gt;
&lt;span class="ml"&gt;ラテン語に由来する語で、以下の2つの要素から成る。
&lt;span class="spacer"&gt;&lt;/span&gt;sub（下から）
specere（見る）
&lt;span class="spacer"&gt;&lt;/span&gt;このまま日本語にすると「下から見る」となる。これは、下からこっそり見上げて疑いの目を向けるイメージ。ここから「疑う」という意味になる。
&lt;div class="sample_image suspect"&gt;&lt;/div&gt;&lt;/span&gt;</v>
      </c>
      <c r="T861" s="13" t="str">
        <f>INDEX($L:$L, MATCH("perspective", $B:$B, 0))</f>
        <v>&lt;span class="w"&gt;&lt;b&gt;【365.perspective：観点（≒立場）, 大局観, 遠近法】&lt;/b&gt;&lt;/span&gt;
&lt;span class="ml"&gt;ラテン語に由来する語で、以下の2つの要素から成る。
&lt;span class="spacer"&gt;&lt;/span&gt;per（通して）
specere（見る）
&lt;span class="spacer"&gt;&lt;/span&gt;このまま日本語にすると「見通す」となる。これは「ある視点から対象の奥側まで全体を見通す」というイメージで、次の3つのポイントがある。①見る視点・②全体を見ること・③奥まで見ること。
&lt;span class="spacer"&gt;&lt;/span&gt;「見る視点」からは、物事を見るときの視点＝「観点, 立場」という意味になる。
&lt;span class="spacer"&gt;&lt;/span&gt;「全体を見る」からは、対局を見通す「大局観」という意味になる。
&lt;span class="spacer"&gt;&lt;/span&gt;「奥まで見る」からは、空間を見通して奥行や距離を正しく把握する「遠近法」という意味になる。
&lt;div class="sample_image perspective"&gt;&lt;/div&gt;
&lt;span class="spacer"&gt;&lt;/span&gt;perspectiveは、ある「観点, 立場」から「全体を見ること」。そしてその見方の一例が「遠近法」だと覚えればよい。&lt;/span&gt;</v>
      </c>
      <c r="U861" s="13" t="str">
        <f>INDEX($L:$L, MATCH("spectator", $B:$B, 0))</f>
        <v>&lt;span class="w"&gt;&lt;b&gt;【1465.spectator：観客】&lt;/b&gt;&lt;/span&gt;
&lt;span class="ml"&gt;ラテン語に由来する語で、以下の2つの要素から成る。
&lt;span class="spacer"&gt;&lt;/span&gt;spectare（繰り返し見る, 観察する）
or（〜する人）
&lt;span class="spacer"&gt;&lt;/span&gt;このまま日本語にすると「しっかり見る人, 観察する人」すなわち「観客」という意味になる。
&lt;span class="spacer"&gt;&lt;/span&gt;spectを見たら「見る」系の意味だと覚えておくとよい。&lt;/span&gt;</v>
      </c>
      <c r="V861" s="13" t="str">
        <f>INDEX($L:$L, MATCH("species", $B:$B, 0))</f>
        <v>&lt;span class="w"&gt;&lt;b&gt;【56.species：（生物の）種】&lt;/b&gt;&lt;/span&gt;
&lt;span class="ml"&gt;ラテン語specere（注視する）に由来する。
&lt;span class="spacer"&gt;&lt;/span&gt;何かを注視するということは、全体を見るのではなく、全体の中の特定のものに目を向けるということ。ここから生物全体の中の特定の種類＝「生物の種」という意味になる。
&lt;span class="spacer"&gt;&lt;/span&gt;ラテン語のspeciesが英語になっただけなので、-iesは英語の名詞複数形ではない。&lt;/span&gt;</v>
      </c>
      <c r="W861" s="13" t="str">
        <f>INDEX($L:$L, MATCH("specific", $B:$B, 0))</f>
        <v>&lt;span class="w"&gt;&lt;b&gt;【184.specific：特定の, 明確な, 具体的な, ～に特有の】&lt;/b&gt;&lt;/span&gt;
&lt;span class="ml"&gt;ラテン語に由来する語で、以下の2つの要素から成る。
&lt;span class="spacer"&gt;&lt;/span&gt;species（種類）
facere（作る, する）
&lt;span class="spacer"&gt;&lt;/span&gt;このまま日本語にすると「ある種類を作る」となる。何かの種類を作るとは、他の種類にはない特定の性質を持たせるということ。ここから「特定の, 特有の」という意味になる。
&lt;span class="spacer"&gt;&lt;/span&gt;また特定という意味から曖昧ではなく「明確な, 具体的な」という意味になる。&lt;/span&gt;</v>
      </c>
      <c r="X861" s="13" t="str">
        <f>INDEX($L:$L, MATCH("unexpected", $B:$B, 0))</f>
        <v>&lt;span class="w"&gt;&lt;b&gt;【594.unexpected：思いがけない】&lt;/b&gt;&lt;/span&gt;
&lt;span class="ml"&gt;［expectの語源］
ラテン語に由来する語で、以下の2つの要素から成る。
&lt;span class="spacer"&gt;&lt;/span&gt;ex（外に, 徹底的に）
specere（見る）
&lt;span class="spacer"&gt;&lt;/span&gt;このまま日本語にすると「外を徹底的に見る」となる。これが頭の中で未来の出来事に目を向けることへと発展し、未来に起こることを「期待する」という意味になった。
&lt;span class="spacer"&gt;&lt;/span&gt;［unexpectedの語源］
近代英語にさかのぼり、以下の2つの要素から成る。
&lt;span class="spacer"&gt;&lt;/span&gt;un（否定）
expectの過去分詞expected
&lt;span class="spacer"&gt;&lt;/span&gt;ここから、起きることを期待して見ていなかった、つまり「思いがけない」という意味になる。&lt;/span&gt;</v>
      </c>
      <c r="Y861" s="13" t="str">
        <f>INDEX($L:$L, MATCH("spectrum", $B:$B, 0))</f>
        <v>&lt;span class="w"&gt;&lt;b&gt;【1369.spectrum：スペクトル, （波動・変動の）範囲】&lt;/b&gt;&lt;/span&gt;
&lt;span class="ml"&gt;ラテン語に由来する語で、以下の2つの要素から成る。
&lt;span class="spacer"&gt;&lt;/span&gt;specere（見る, 眺める）
um（名詞化）
&lt;span class="spacer"&gt;&lt;/span&gt;このまま日本語にすると「見えるもの」となり、核は「本来は見えないものが目の前に現れたもの」。
&lt;span class="spacer"&gt;&lt;/span&gt;物理学者のアイザック・ニュートンが、プリズムを通した太陽光が虹色に分かれる現象を発表した際、この暗闇に浮かび上がる光の帯を光が現れた姿と見立ててspectrumと名付けた。そこから目に見える光の色帯＝「スペクトル」という意味になった。
&lt;span class="spacer"&gt;&lt;/span&gt;さらに、光の波長が途切れることなく連続して広がっている様子から、光や音だけではなく事象や意見など、様々な物事が連続的に存在する「範囲」という意味にもなった。
&lt;div class="sample_image spectrum"&gt;&lt;/div&gt;&lt;/span&gt;</v>
      </c>
      <c r="Z861" s="13" t="str">
        <f>INDEX($L:$L, MATCH("despite", $B:$B, 0))</f>
        <v>&lt;span class="w"&gt;&lt;b&gt;【100.despite：～にもかかわらず】&lt;/b&gt;&lt;/span&gt;
&lt;span class="ml"&gt;ラテン語に由来する語で、以下の2つの要素から成る。
&lt;span class="spacer"&gt;&lt;/span&gt;de（下に）
specere（見る）
&lt;span class="spacer"&gt;&lt;/span&gt;このまま日本語にすると「下に見る」となる。これは見下すという対象の存在を軽く見る行為。「対象があってもなくても関係ない」から「～にもかかわらず」という意味になる。
&lt;span class="spacer"&gt;&lt;/span&gt;ターゲットの例文 "They went hiking despite the fact a storm was coming" は「嵐が来ている事実を、それが事実であろうとなかろうと関係なくハイキングに行った」ということを伝えている。この日本語訳を「嵐が来ているという事実&lt;strong&gt;にもかかわらず&lt;/strong&gt;」と表現しているだけ。&lt;/span&gt;</v>
      </c>
      <c r="AU861" s="15"/>
      <c r="AV861" s="1" t="s">
        <v>1502</v>
      </c>
      <c r="BG861" s="7" t="s">
        <v>1503</v>
      </c>
      <c r="BH861" s="1" t="s">
        <v>1947</v>
      </c>
      <c r="BI861" s="2" t="s">
        <v>4769</v>
      </c>
      <c r="BJ861" s="1" t="s">
        <v>2044</v>
      </c>
      <c r="BK861" s="2" t="s">
        <v>4770</v>
      </c>
      <c r="BL861" s="1" t="s">
        <v>1883</v>
      </c>
      <c r="BM861" s="2" t="s">
        <v>4771</v>
      </c>
      <c r="BN861" s="1" t="s">
        <v>4071</v>
      </c>
      <c r="BO861" s="2" t="s">
        <v>4772</v>
      </c>
    </row>
    <row r="862" spans="1:69" ht="144" x14ac:dyDescent="0.45">
      <c r="A862" s="5">
        <v>861</v>
      </c>
      <c r="B862" s="8" t="s">
        <v>4773</v>
      </c>
      <c r="C862" s="6" t="s">
        <v>6850</v>
      </c>
      <c r="D862" s="7" t="s">
        <v>9752</v>
      </c>
      <c r="E862" s="1" t="s">
        <v>1397</v>
      </c>
      <c r="F862" s="1" t="s">
        <v>8884</v>
      </c>
      <c r="G862" s="1" t="s">
        <v>3162</v>
      </c>
      <c r="J862" s="1" t="s">
        <v>9753</v>
      </c>
      <c r="L862" s="3" t="s">
        <v>9143</v>
      </c>
      <c r="P862" s="7" t="s">
        <v>1241</v>
      </c>
      <c r="Q862" s="13"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R862" s="13"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S862" s="13"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T862" s="13" t="str">
        <f>INDEX($L:$L, MATCH("establish", $B:$B, 0))</f>
        <v>&lt;span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v>
      </c>
      <c r="U862" s="13" t="str">
        <f>INDEX($L:$L, MATCH("static", $B:$B, 0))</f>
        <v>&lt;span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v>
      </c>
      <c r="V862" s="13"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W862" s="13"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X862" s="13"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Y862" s="13"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Z862" s="13"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AA862" s="13"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AB862" s="13" t="str">
        <f>INDEX($L:$L, MATCH("steady", $B:$B, 0))</f>
        <v>&lt;span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v>
      </c>
      <c r="AC862"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D862" s="13" t="str">
        <f>INDEX($L:$L, MATCH("restore", $B:$B, 0))</f>
        <v>&lt;span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v>
      </c>
      <c r="AE862" s="13"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U862" s="15"/>
      <c r="AV862" s="1" t="s">
        <v>1502</v>
      </c>
      <c r="BG862" s="7" t="s">
        <v>1503</v>
      </c>
      <c r="BH862" s="1" t="s">
        <v>1947</v>
      </c>
      <c r="BI862" s="2" t="s">
        <v>9144</v>
      </c>
      <c r="BJ862" s="1" t="s">
        <v>1504</v>
      </c>
      <c r="BK862" s="2" t="s">
        <v>4774</v>
      </c>
      <c r="BL862" s="1" t="s">
        <v>2044</v>
      </c>
      <c r="BM862" s="2" t="s">
        <v>4775</v>
      </c>
    </row>
    <row r="863" spans="1:69" ht="144" x14ac:dyDescent="0.45">
      <c r="A863" s="5">
        <v>862</v>
      </c>
      <c r="B863" s="6" t="s">
        <v>4776</v>
      </c>
      <c r="C863" s="6" t="s">
        <v>6850</v>
      </c>
      <c r="D863" s="7" t="s">
        <v>9752</v>
      </c>
      <c r="E863" s="1" t="s">
        <v>4777</v>
      </c>
      <c r="F863" s="1" t="s">
        <v>1826</v>
      </c>
      <c r="G863" s="1" t="s">
        <v>1525</v>
      </c>
      <c r="J863" s="1" t="s">
        <v>9753</v>
      </c>
      <c r="L863" s="2" t="s">
        <v>9145</v>
      </c>
      <c r="P863" s="7" t="s">
        <v>1241</v>
      </c>
      <c r="AU863" s="15"/>
      <c r="AV863" s="1" t="s">
        <v>1502</v>
      </c>
      <c r="BG863" s="7" t="s">
        <v>1503</v>
      </c>
      <c r="BH863" s="1" t="s">
        <v>2458</v>
      </c>
      <c r="BI863" s="2" t="s">
        <v>4778</v>
      </c>
      <c r="BJ863" s="1" t="s">
        <v>2034</v>
      </c>
      <c r="BK863" s="2" t="s">
        <v>4779</v>
      </c>
      <c r="BL863" s="1" t="s">
        <v>2017</v>
      </c>
      <c r="BM863" s="1" t="s">
        <v>4776</v>
      </c>
      <c r="BN863" s="1" t="s">
        <v>1883</v>
      </c>
      <c r="BO863" s="2" t="s">
        <v>4780</v>
      </c>
    </row>
    <row r="864" spans="1:69" ht="162" x14ac:dyDescent="0.45">
      <c r="A864" s="5">
        <v>863</v>
      </c>
      <c r="B864" s="6" t="s">
        <v>4781</v>
      </c>
      <c r="C864" s="6" t="s">
        <v>6850</v>
      </c>
      <c r="D864" s="7" t="s">
        <v>9752</v>
      </c>
      <c r="E864" s="1" t="s">
        <v>612</v>
      </c>
      <c r="F864" s="1"/>
      <c r="G864" s="1"/>
      <c r="J864" s="1" t="s">
        <v>9753</v>
      </c>
      <c r="L864" s="2" t="s">
        <v>9146</v>
      </c>
      <c r="P864" s="7" t="s">
        <v>1241</v>
      </c>
      <c r="AV864" s="1" t="s">
        <v>1502</v>
      </c>
      <c r="BG864" s="7" t="s">
        <v>1503</v>
      </c>
      <c r="BH864" s="1" t="s">
        <v>2254</v>
      </c>
      <c r="BI864" s="1" t="s">
        <v>4782</v>
      </c>
      <c r="BJ864" s="1" t="s">
        <v>2129</v>
      </c>
      <c r="BK864" s="1" t="s">
        <v>9147</v>
      </c>
      <c r="BL864" s="1" t="s">
        <v>2044</v>
      </c>
      <c r="BM864" s="1" t="s">
        <v>4783</v>
      </c>
      <c r="BN864" s="1" t="s">
        <v>1883</v>
      </c>
      <c r="BO864" s="2" t="s">
        <v>4784</v>
      </c>
    </row>
    <row r="865" spans="1:69" ht="198" x14ac:dyDescent="0.45">
      <c r="A865" s="5">
        <v>864</v>
      </c>
      <c r="B865" s="6" t="s">
        <v>4785</v>
      </c>
      <c r="C865" s="6" t="s">
        <v>6850</v>
      </c>
      <c r="D865" s="7" t="s">
        <v>9752</v>
      </c>
      <c r="E865" s="1" t="s">
        <v>1607</v>
      </c>
      <c r="F865" s="1" t="s">
        <v>8995</v>
      </c>
      <c r="G865" s="1" t="s">
        <v>1584</v>
      </c>
      <c r="J865" s="1" t="s">
        <v>9753</v>
      </c>
      <c r="K865" s="2" t="s">
        <v>9148</v>
      </c>
      <c r="L865" s="2" t="s">
        <v>9149</v>
      </c>
      <c r="P865" s="7" t="s">
        <v>1241</v>
      </c>
      <c r="AU865" s="15"/>
      <c r="AV865" s="1" t="s">
        <v>1502</v>
      </c>
      <c r="BG865" s="7" t="s">
        <v>1503</v>
      </c>
      <c r="BH865" s="1" t="s">
        <v>1947</v>
      </c>
      <c r="BI865" s="2" t="s">
        <v>4786</v>
      </c>
      <c r="BJ865" s="1" t="s">
        <v>4787</v>
      </c>
      <c r="BK865" s="2" t="s">
        <v>4788</v>
      </c>
      <c r="BL865" s="1" t="s">
        <v>1504</v>
      </c>
      <c r="BM865" s="2" t="s">
        <v>4789</v>
      </c>
      <c r="BN865" s="1" t="s">
        <v>2044</v>
      </c>
      <c r="BO865" s="2" t="s">
        <v>4790</v>
      </c>
    </row>
    <row r="866" spans="1:69" ht="162" x14ac:dyDescent="0.45">
      <c r="A866" s="5">
        <v>865</v>
      </c>
      <c r="B866" s="8" t="s">
        <v>4791</v>
      </c>
      <c r="C866" s="6" t="s">
        <v>6850</v>
      </c>
      <c r="D866" s="7" t="s">
        <v>9752</v>
      </c>
      <c r="E866" s="1" t="s">
        <v>1505</v>
      </c>
      <c r="F866" s="1" t="s">
        <v>9150</v>
      </c>
      <c r="G866" s="1" t="s">
        <v>1584</v>
      </c>
      <c r="J866" s="1" t="s">
        <v>9753</v>
      </c>
      <c r="L866" s="3" t="s">
        <v>9151</v>
      </c>
      <c r="M866" s="1" t="s">
        <v>12118</v>
      </c>
      <c r="P866" s="7" t="s">
        <v>1241</v>
      </c>
      <c r="Q866" s="13" t="str">
        <f>INDEX($L:$L, MATCH("concern", $B:$B, 0))</f>
        <v>&lt;span class="w"&gt;&lt;b&gt;【17.concern：（受け身で）心配している, 関係する】&lt;/b&gt;&lt;/span&gt;
&lt;span class="ml"&gt;ラテン語に由来する語で、以下の2つの要素から成る。
&lt;span class="spacer"&gt;&lt;/span&gt;com（共に）
cernere（ふるいにかける）
&lt;span class="spacer"&gt;&lt;/span&gt;このまま日本語にすると「共にふるいにかける」となる。ふるいにかけ&lt;strong&gt;られる&lt;/strong&gt;と似たような関係のあるものが残るので、ふるいにかけられる側の目線（受け身）で「関係する」という意味になる。
&lt;span class="spacer"&gt;&lt;/span&gt;be concerned &lt;strong&gt;with&lt;/strong&gt; Aは、Aと一緒にふるいにかけられて残るイメージから「Aと関係する」となる。
&lt;span class="spacer"&gt;&lt;/span&gt;また関係ある物事の中でも、特に自分自身の利益に関係することはどうしても気になってしまうことから、be concerned &lt;strong&gt;about&lt;/strong&gt;で「心配する」へと発展する。
&lt;div class="sample_image concern"&gt;&lt;/div&gt;&lt;/span&gt;</v>
      </c>
      <c r="R866" s="13" t="str">
        <f>INDEX($L:$L, MATCH("certain", $B:$B, 0))</f>
        <v>&lt;span class="w"&gt;&lt;b&gt;【85.certain：確信して, 確かな, ある～】&lt;/b&gt;&lt;/span&gt;
&lt;span class="ml"&gt;ラテン語cernere（ふるいにかける）に由来する。
&lt;span class="spacer"&gt;&lt;/span&gt;ふるいにかけると、落ちていくものと残るものが完全に決定される。ここから何かが確定していて疑いようがない＝「確信している, 確かな」という意味になる。
&lt;span class="spacer"&gt;&lt;/span&gt;また不定冠詞aとcertainがセットになったa certain ~で「ある～」となる。これは、事実は確定している（＝certain）が、読み手や聞き手にはその情報を説明されていない（＝a）ということ。
&lt;div class="sample_image certain"&gt;&lt;/div&gt;&lt;/span&gt;</v>
      </c>
      <c r="AU866" s="15"/>
      <c r="AV866" s="1" t="s">
        <v>1502</v>
      </c>
      <c r="BG866" s="7" t="s">
        <v>1503</v>
      </c>
      <c r="BH866" s="1" t="s">
        <v>1947</v>
      </c>
      <c r="BI866" s="2" t="s">
        <v>4792</v>
      </c>
      <c r="BJ866" s="1" t="s">
        <v>2147</v>
      </c>
      <c r="BK866" s="2" t="s">
        <v>4793</v>
      </c>
      <c r="BL866" s="1" t="s">
        <v>1883</v>
      </c>
      <c r="BM866" s="2" t="s">
        <v>4794</v>
      </c>
    </row>
    <row r="867" spans="1:69" ht="54" x14ac:dyDescent="0.45">
      <c r="A867" s="5">
        <v>866</v>
      </c>
      <c r="B867" s="6" t="s">
        <v>613</v>
      </c>
      <c r="C867" s="6" t="s">
        <v>6850</v>
      </c>
      <c r="D867" s="7" t="s">
        <v>9752</v>
      </c>
      <c r="E867" s="1" t="s">
        <v>613</v>
      </c>
      <c r="F867" s="1"/>
      <c r="G867" s="1"/>
      <c r="J867" s="1" t="s">
        <v>9753</v>
      </c>
      <c r="K867" s="1" t="s">
        <v>4795</v>
      </c>
      <c r="L867" s="2" t="s">
        <v>8519</v>
      </c>
      <c r="P867" s="7" t="s">
        <v>1241</v>
      </c>
      <c r="Q867" s="13" t="str">
        <f>INDEX($L:$L, MATCH("ashamed", $B:$B, 0))</f>
        <v>&lt;span class="w"&gt;&lt;b&gt;【1293.ashamed：恥じて】&lt;/b&gt;&lt;/span&gt;
&lt;span class="ml"&gt;古英語にさかのぼり、以下の3つの要素から成る。
&lt;span class="spacer"&gt;&lt;/span&gt;a（強調）
scamian（恥じる）
ed（過去分詞を作る）
&lt;span class="spacer"&gt;&lt;/span&gt;古英語からの意味の変化はほとんどない。古英語scamian（恥じる）は、さらに印欧祖語*skem-（覆う, 隠す）にさかのぼる。自分の過ちや見苦しさのあまり、顔や体を覆い隠したくなるという反射的な行動が根本にあり、その心情として「恥じる」という意味になるイメージ。&lt;/span&gt;</v>
      </c>
      <c r="AV867" s="1" t="s">
        <v>1502</v>
      </c>
      <c r="BG867" s="7" t="s">
        <v>1503</v>
      </c>
      <c r="BH867" s="1" t="s">
        <v>1872</v>
      </c>
      <c r="BI867" s="1" t="s">
        <v>4796</v>
      </c>
      <c r="BJ867" s="1" t="s">
        <v>1875</v>
      </c>
      <c r="BK867" s="2" t="s">
        <v>4797</v>
      </c>
      <c r="BL867" s="1" t="s">
        <v>1877</v>
      </c>
      <c r="BM867" s="2" t="s">
        <v>4798</v>
      </c>
    </row>
    <row r="868" spans="1:69" ht="144" x14ac:dyDescent="0.45">
      <c r="A868" s="5">
        <v>867</v>
      </c>
      <c r="B868" s="6" t="s">
        <v>614</v>
      </c>
      <c r="C868" s="6" t="s">
        <v>6850</v>
      </c>
      <c r="D868" s="7" t="s">
        <v>9752</v>
      </c>
      <c r="E868" s="1" t="s">
        <v>4799</v>
      </c>
      <c r="F868" s="1" t="s">
        <v>4800</v>
      </c>
      <c r="G868" s="1"/>
      <c r="J868" s="1" t="s">
        <v>9753</v>
      </c>
      <c r="K868" s="2" t="s">
        <v>9152</v>
      </c>
      <c r="L868" s="2" t="s">
        <v>9153</v>
      </c>
      <c r="P868" s="7" t="s">
        <v>1241</v>
      </c>
      <c r="AU868" s="15"/>
      <c r="AV868" s="1" t="s">
        <v>1502</v>
      </c>
      <c r="BG868" s="7" t="s">
        <v>1503</v>
      </c>
      <c r="BH868" s="1" t="s">
        <v>3999</v>
      </c>
      <c r="BI868" s="2" t="s">
        <v>4801</v>
      </c>
      <c r="BJ868" s="1" t="s">
        <v>1872</v>
      </c>
      <c r="BK868" s="1" t="s">
        <v>4802</v>
      </c>
    </row>
    <row r="869" spans="1:69" ht="108" x14ac:dyDescent="0.45">
      <c r="A869" s="5">
        <v>868</v>
      </c>
      <c r="B869" s="6" t="s">
        <v>615</v>
      </c>
      <c r="C869" s="6" t="s">
        <v>6850</v>
      </c>
      <c r="D869" s="7" t="s">
        <v>9752</v>
      </c>
      <c r="E869" s="1" t="s">
        <v>615</v>
      </c>
      <c r="F869" s="1"/>
      <c r="G869" s="1"/>
      <c r="J869" s="1" t="s">
        <v>9753</v>
      </c>
      <c r="L869" s="2" t="s">
        <v>9154</v>
      </c>
      <c r="P869" s="7" t="s">
        <v>1241</v>
      </c>
      <c r="AV869" s="1" t="s">
        <v>1502</v>
      </c>
      <c r="BG869" s="7" t="s">
        <v>1503</v>
      </c>
      <c r="BH869" s="1" t="s">
        <v>1947</v>
      </c>
      <c r="BI869" s="1" t="s">
        <v>4803</v>
      </c>
      <c r="BJ869" s="1" t="s">
        <v>2026</v>
      </c>
      <c r="BK869" s="2" t="s">
        <v>4804</v>
      </c>
      <c r="BL869" s="1" t="s">
        <v>1959</v>
      </c>
      <c r="BM869" s="1" t="s">
        <v>4805</v>
      </c>
      <c r="BN869" s="1" t="s">
        <v>1875</v>
      </c>
      <c r="BO869" s="2" t="s">
        <v>4806</v>
      </c>
      <c r="BP869" s="1" t="s">
        <v>1877</v>
      </c>
      <c r="BQ869" s="2" t="s">
        <v>4807</v>
      </c>
    </row>
    <row r="870" spans="1:69" ht="126" x14ac:dyDescent="0.45">
      <c r="A870" s="5">
        <v>869</v>
      </c>
      <c r="B870" s="8" t="s">
        <v>4808</v>
      </c>
      <c r="C870" s="6" t="s">
        <v>6850</v>
      </c>
      <c r="D870" s="7" t="s">
        <v>9752</v>
      </c>
      <c r="E870" s="1" t="s">
        <v>1726</v>
      </c>
      <c r="F870" s="1" t="s">
        <v>1584</v>
      </c>
      <c r="G870" s="1"/>
      <c r="J870" s="1" t="s">
        <v>9753</v>
      </c>
      <c r="K870" s="2" t="s">
        <v>9155</v>
      </c>
      <c r="L870" s="2" t="s">
        <v>9156</v>
      </c>
      <c r="P870" s="7" t="s">
        <v>1241</v>
      </c>
      <c r="Q870" s="13" t="str">
        <f>INDEX($L:$L, MATCH("proportion", $B:$B, 0))</f>
        <v>&lt;span class="w"&gt;&lt;b&gt;【464.proportion：割合, つり合い, 比例】&lt;/b&gt;&lt;/span&gt;
&lt;span class="ml"&gt;ラテン語に由来する語で、以下の2つの要素から成る。
&lt;span class="spacer"&gt;&lt;/span&gt;pro（〜に対して）
pars（部分）から派生した*portio（部分）
&lt;span class="spacer"&gt;&lt;/span&gt;この二つが合わさることで、「全体や他の要素に対して（pro）、ある部分（portio）がどのような関係にあるか」を表すようになる。
&lt;span class="spacer"&gt;&lt;/span&gt;具体的には、全体と部分、あるいは部分同士の大きさを比較する考え方から、主に以下の3つの意味へと派生した。
&lt;span class="spacer"&gt;&lt;/span&gt;「割合」： 全体と部分の大きさの比較。全体（100）に対して、ある部分（10）なら10％という割合になる。
&lt;span class="spacer"&gt;&lt;/span&gt;「比例」： ある部分と全体・他の部分との比較。ある部分が変化した際、同じ比率で全体や他の部分も連動して変化する。
&lt;span class="spacer"&gt;&lt;/span&gt;「つり合い」： ある部分と全体・他の部分との比較。全体や他の部分に対して、ある部分の大きさやバランスが適切に保たれている状態。
&lt;div class="sample_image proportion"&gt;&lt;/div&gt;&lt;/span&gt;</v>
      </c>
      <c r="R870" s="13" t="str">
        <f>INDEX($L:$L, MATCH("particle", $B:$B, 0))</f>
        <v>&lt;span class="w"&gt;&lt;b&gt;【1059.particle：（微）粒子, ほんのわずか】&lt;/b&gt;&lt;/span&gt;
&lt;span class="ml"&gt;ラテン語に由来する語で、以下の2つの要素から成る。
&lt;span class="spacer"&gt;&lt;/span&gt;pars（部分）
cula（小さいことを表す）
&lt;span class="spacer"&gt;&lt;/span&gt;このまま日本語にすると「小さい部分」となり、そこから「（微）粒子, ほんのわずか」という意味になった。&lt;/span&gt;</v>
      </c>
      <c r="S870" s="13" t="str">
        <f>INDEX($L:$L, MATCH("partial", $B:$B, 0))</f>
        <v>&lt;span class="w"&gt;&lt;b&gt;【1491.partial：部分的な, 不公平な】&lt;/b&gt;&lt;/span&gt;
&lt;span class="ml"&gt;ラテン語に由来する語で、以下の2つの要素から成る。
&lt;span class="spacer"&gt;&lt;/span&gt;pars（部分）
alis（形容詞化）
&lt;span class="spacer"&gt;&lt;/span&gt;これはpart（部分）の形容詞として考えればよい。「部分的な」という意味だけではなく、全体的に公平ではなくある一部分に偏っているという発想から「不公平な」という意味にもなる。&lt;/span&gt;</v>
      </c>
      <c r="T870" s="13" t="str">
        <f>INDEX($L:$L, MATCH("depart", $B:$B, 0))</f>
        <v>&lt;span class="w"&gt;&lt;b&gt;【1415.depart：出発する, それる】&lt;/b&gt;&lt;/span&gt;
&lt;span class="ml"&gt;ラテン語に由来する語で、以下の2つの要素から成る。
&lt;span class="spacer"&gt;&lt;/span&gt;de（〜から）
pars（部分, 分け前）から派生したpartire（分ける）
&lt;span class="spacer"&gt;&lt;/span&gt;このまま日本語にすると「〜から分ける」となる。くっついてまとまっている状態から分かれて離れるイメージ。そこから、今いる場所から離れる＝「出発する」や、本来の流れから「それる」という意味になる。
&lt;div class="sample_image depart"&gt;&lt;/div&gt;&lt;/span&gt;</v>
      </c>
      <c r="U870" s="13" t="str">
        <f>INDEX($L:$L, MATCH("counterpart", $B:$B, 0))</f>
        <v>&lt;span class="w"&gt;&lt;b&gt;【969.counterpart：相当する物や人】&lt;/b&gt;&lt;/span&gt;
&lt;span class="ml"&gt;フランス語に由来する語で、以下の2つの要素から成る。
&lt;span class="spacer"&gt;&lt;/span&gt;contra（対して）
partie（分けられたもの, 部分, 写し）
&lt;span class="spacer"&gt;&lt;/span&gt;このまま日本語にすると「何かに対応させて分けられたもの」となる。もともとは法的な文書を写して分けたものを表した。法的文書の写しは元の文書と同等のものであることから、一般的な意味に発展し、何かに「相当する物や人」という意味になった。&lt;/span&gt;</v>
      </c>
      <c r="V870" s="13" t="str">
        <f>INDEX($L:$L, MATCH("particular", $B:$B, 0))</f>
        <v>&lt;span class="w"&gt;&lt;b&gt;【90.particular：特定の, こだわる】&lt;/b&gt;&lt;/span&gt;
&lt;span class="ml"&gt;ラテン語に由来する語で、以下の3つの要素から成る。
&lt;span class="spacer"&gt;&lt;/span&gt;pars（部分：partの語源）
cula（小さいことを表す）
arius（形容詞化）
&lt;span class="spacer"&gt;&lt;/span&gt;このまま日本語にすると「小さな部分の」となる。全体ではなく、ある一部分に目を向けることから、「特定の」という意味になる。また全体ではなく、細かい部分に目がいくということから、「こだわる, 口うるさい」という意味になる。&lt;/span&gt;</v>
      </c>
      <c r="AV870" s="1" t="s">
        <v>1502</v>
      </c>
      <c r="BG870" s="7" t="s">
        <v>1503</v>
      </c>
      <c r="BH870" s="1" t="s">
        <v>1947</v>
      </c>
      <c r="BI870" s="1" t="s">
        <v>4809</v>
      </c>
      <c r="BJ870" s="1" t="s">
        <v>1959</v>
      </c>
      <c r="BK870" s="2" t="s">
        <v>4810</v>
      </c>
      <c r="BL870" s="1" t="s">
        <v>1875</v>
      </c>
      <c r="BM870" s="2" t="s">
        <v>4811</v>
      </c>
    </row>
    <row r="871" spans="1:69" ht="180" x14ac:dyDescent="0.45">
      <c r="A871" s="5">
        <v>870</v>
      </c>
      <c r="B871" s="8" t="s">
        <v>616</v>
      </c>
      <c r="C871" s="6" t="s">
        <v>6850</v>
      </c>
      <c r="D871" s="7" t="s">
        <v>9752</v>
      </c>
      <c r="E871" s="1" t="s">
        <v>1251</v>
      </c>
      <c r="F871" s="1" t="s">
        <v>4812</v>
      </c>
      <c r="G871" s="1"/>
      <c r="J871" s="1" t="s">
        <v>9753</v>
      </c>
      <c r="K871" s="2" t="s">
        <v>9157</v>
      </c>
      <c r="L871" s="2" t="s">
        <v>9158</v>
      </c>
      <c r="M871" s="1" t="s">
        <v>12181</v>
      </c>
      <c r="P871" s="7" t="s">
        <v>1241</v>
      </c>
      <c r="Q871" s="14" t="str">
        <f>INDEX($L:$L, MATCH("concept", $B:$B, 0))</f>
        <v>&lt;span class="w"&gt;&lt;b&gt;【241.concept：概念, 考え】&lt;/b&gt;&lt;/span&gt;
&lt;span class="ml"&gt;ラテン語に由来する語で、以下の2つの要素から成る。
&lt;span class="spacer"&gt;&lt;/span&gt;com（強意）
capere（取る）
&lt;span class="spacer"&gt;&lt;/span&gt;このまま日本語にすると「しっかり取る」となる。しっかり取り入れることから頭の中に取り入れられたもの＝「概念, 考え」という意味になる。&lt;/span&gt;</v>
      </c>
      <c r="R871" s="14" t="str">
        <f>INDEX($L:$L, MATCH("exception", $B:$B, 0))</f>
        <v>&lt;span class="w"&gt;&lt;b&gt;【654.exception：例外】&lt;/b&gt;&lt;/span&gt;
&lt;span class="ml"&gt;ラテン語に由来する語で、以下の3つの要素から成る。
&lt;span class="spacer"&gt;&lt;/span&gt;ex（外に）
capere（取る）
io（名詞化）
&lt;span class="spacer"&gt;&lt;/span&gt;このまま日本語にすると「外に取り出すこと」となる。あるルールや条件の範囲の外に取り出すことから「例外」という意味になる。&lt;/span&gt;</v>
      </c>
      <c r="S871" s="13" t="str">
        <f>INDEX($L:$L, MATCH("reception", $B:$B, 0))</f>
        <v>&lt;span class="w"&gt;&lt;b&gt;【1446.reception：反応, 受付, 宴会, 受信】&lt;/b&gt;&lt;/span&gt;
&lt;span class="ml"&gt;ラテン語に由来する語で、以下の3つの要素から成る。
&lt;span class="spacer"&gt;&lt;/span&gt;re（再び, 後ろへ）
capere（取る）
io（名詞化）
&lt;span class="spacer"&gt;&lt;/span&gt;このまま日本語にすると「後ろへ（自分の方へ）取ること」となる。この語の核は「何かを受け取ること、受け入れること」。この核をもとに文脈で日本語訳すればよい。
&lt;span class="spacer"&gt;&lt;/span&gt;来客を受け入れることからは「宴会, 受付」、人や作品などが受け入れられることからは「反応, 評判」、電波を受け入れることからは「受信」という意味になる。&lt;/span&gt;</v>
      </c>
      <c r="T871" s="13" t="str">
        <f>INDEX($L:$L, MATCH("recipient", $B:$B, 0))</f>
        <v>&lt;span class="w"&gt;&lt;b&gt;【1264.recipient：受け取る人】&lt;/b&gt;&lt;/span&gt;
&lt;span class="ml"&gt;ラテン語に由来する語で、以下の3つの要素から成る。
&lt;span class="spacer"&gt;&lt;/span&gt;re（後ろへ, 再び）
capere（取る）
ens（〜している人）
&lt;span class="spacer"&gt;&lt;/span&gt;このまま日本語にすると「後ろへ取る人」となる。相手の方から自分の方へ何かを取る、つまり受け取ることを表して、何かを「受け取る人」という意味になる。
&lt;span class="spacer"&gt;&lt;/span&gt;receiveにent（〜する人）が付いてできた語というイメージで覚えればよい。&lt;/span&gt;</v>
      </c>
      <c r="AU871" s="15"/>
      <c r="AV871" s="1" t="s">
        <v>1502</v>
      </c>
      <c r="BG871" s="7" t="s">
        <v>1503</v>
      </c>
      <c r="BH871" s="1" t="s">
        <v>1947</v>
      </c>
      <c r="BI871" s="2" t="s">
        <v>9159</v>
      </c>
      <c r="BJ871" s="1" t="s">
        <v>1996</v>
      </c>
      <c r="BK871" s="2" t="s">
        <v>4813</v>
      </c>
      <c r="BL871" s="1" t="s">
        <v>1877</v>
      </c>
      <c r="BM871" s="2" t="s">
        <v>4814</v>
      </c>
    </row>
    <row r="872" spans="1:69" ht="108" x14ac:dyDescent="0.45">
      <c r="A872" s="5">
        <v>871</v>
      </c>
      <c r="B872" s="6" t="s">
        <v>617</v>
      </c>
      <c r="C872" s="6" t="s">
        <v>6850</v>
      </c>
      <c r="D872" s="7" t="s">
        <v>9752</v>
      </c>
      <c r="E872" s="1" t="s">
        <v>9160</v>
      </c>
      <c r="F872" s="1" t="s">
        <v>1927</v>
      </c>
      <c r="G872" s="1"/>
      <c r="J872" s="1" t="s">
        <v>9753</v>
      </c>
      <c r="L872" s="2" t="s">
        <v>9161</v>
      </c>
      <c r="P872" s="7" t="s">
        <v>1241</v>
      </c>
      <c r="AU872" s="15"/>
      <c r="AV872" s="1" t="s">
        <v>1502</v>
      </c>
      <c r="BG872" s="7" t="s">
        <v>1503</v>
      </c>
      <c r="BH872" s="1" t="s">
        <v>1947</v>
      </c>
      <c r="BI872" s="2" t="s">
        <v>9162</v>
      </c>
      <c r="BJ872" s="1" t="s">
        <v>1959</v>
      </c>
      <c r="BK872" s="1" t="s">
        <v>4815</v>
      </c>
      <c r="BL872" s="1" t="s">
        <v>1877</v>
      </c>
      <c r="BM872" s="2" t="s">
        <v>4816</v>
      </c>
    </row>
    <row r="873" spans="1:69" ht="90" x14ac:dyDescent="0.45">
      <c r="A873" s="5">
        <v>872</v>
      </c>
      <c r="B873" s="6" t="s">
        <v>618</v>
      </c>
      <c r="C873" s="6" t="s">
        <v>6850</v>
      </c>
      <c r="D873" s="7" t="s">
        <v>9752</v>
      </c>
      <c r="E873" s="1" t="s">
        <v>618</v>
      </c>
      <c r="F873" s="1"/>
      <c r="G873" s="1"/>
      <c r="J873" s="1" t="s">
        <v>9753</v>
      </c>
      <c r="L873" s="2" t="s">
        <v>9163</v>
      </c>
      <c r="P873" s="7" t="s">
        <v>1241</v>
      </c>
      <c r="AV873" s="1" t="s">
        <v>1502</v>
      </c>
      <c r="BG873" s="7" t="s">
        <v>1503</v>
      </c>
      <c r="BH873" s="1" t="s">
        <v>1872</v>
      </c>
      <c r="BI873" s="1" t="s">
        <v>4817</v>
      </c>
      <c r="BJ873" s="1" t="s">
        <v>1877</v>
      </c>
      <c r="BK873" s="2" t="s">
        <v>4818</v>
      </c>
      <c r="BL873" s="1" t="s">
        <v>3496</v>
      </c>
      <c r="BM873" s="2" t="s">
        <v>4819</v>
      </c>
    </row>
    <row r="874" spans="1:69" ht="126" x14ac:dyDescent="0.45">
      <c r="A874" s="5">
        <v>873</v>
      </c>
      <c r="B874" s="6" t="s">
        <v>619</v>
      </c>
      <c r="C874" s="6" t="s">
        <v>6850</v>
      </c>
      <c r="D874" s="7" t="s">
        <v>9752</v>
      </c>
      <c r="E874" s="1" t="s">
        <v>4820</v>
      </c>
      <c r="F874" s="1" t="s">
        <v>49</v>
      </c>
      <c r="G874" s="1"/>
      <c r="J874" s="1" t="s">
        <v>9753</v>
      </c>
      <c r="L874" s="2" t="s">
        <v>9164</v>
      </c>
      <c r="P874" s="7" t="s">
        <v>1241</v>
      </c>
      <c r="AU874" s="15"/>
      <c r="AV874" s="1" t="s">
        <v>1502</v>
      </c>
      <c r="BG874" s="7" t="s">
        <v>1503</v>
      </c>
      <c r="BH874" s="1" t="s">
        <v>1947</v>
      </c>
      <c r="BI874" s="2" t="s">
        <v>4821</v>
      </c>
      <c r="BJ874" s="1" t="s">
        <v>1996</v>
      </c>
      <c r="BK874" s="1" t="s">
        <v>619</v>
      </c>
      <c r="BL874" s="1" t="s">
        <v>1877</v>
      </c>
      <c r="BM874" s="2" t="s">
        <v>4822</v>
      </c>
    </row>
    <row r="875" spans="1:69" ht="126" x14ac:dyDescent="0.45">
      <c r="A875" s="5">
        <v>874</v>
      </c>
      <c r="B875" s="6" t="s">
        <v>620</v>
      </c>
      <c r="C875" s="6" t="s">
        <v>6850</v>
      </c>
      <c r="D875" s="7" t="s">
        <v>9752</v>
      </c>
      <c r="E875" s="1" t="s">
        <v>620</v>
      </c>
      <c r="F875" s="1"/>
      <c r="G875" s="1"/>
      <c r="J875" s="1" t="s">
        <v>9753</v>
      </c>
      <c r="L875" s="2" t="s">
        <v>10456</v>
      </c>
      <c r="P875" s="7" t="s">
        <v>1241</v>
      </c>
      <c r="AV875" s="1" t="s">
        <v>1502</v>
      </c>
      <c r="BG875" s="7" t="s">
        <v>1503</v>
      </c>
      <c r="BH875" s="1" t="s">
        <v>1872</v>
      </c>
      <c r="BI875" s="1" t="s">
        <v>4823</v>
      </c>
      <c r="BJ875" s="1" t="s">
        <v>1875</v>
      </c>
      <c r="BK875" s="2" t="s">
        <v>4824</v>
      </c>
    </row>
    <row r="876" spans="1:69" ht="144" x14ac:dyDescent="0.45">
      <c r="A876" s="5">
        <v>875</v>
      </c>
      <c r="B876" s="6" t="s">
        <v>621</v>
      </c>
      <c r="C876" s="6" t="s">
        <v>6850</v>
      </c>
      <c r="D876" s="7" t="s">
        <v>9752</v>
      </c>
      <c r="E876" s="1" t="s">
        <v>1338</v>
      </c>
      <c r="F876" s="1" t="s">
        <v>4825</v>
      </c>
      <c r="G876" s="1" t="s">
        <v>1525</v>
      </c>
      <c r="J876" s="1" t="s">
        <v>9753</v>
      </c>
      <c r="L876" s="2" t="s">
        <v>9165</v>
      </c>
      <c r="P876" s="7" t="s">
        <v>1241</v>
      </c>
      <c r="AU876" s="15"/>
      <c r="AV876" s="1" t="s">
        <v>1502</v>
      </c>
      <c r="BG876" s="7" t="s">
        <v>1503</v>
      </c>
      <c r="BH876" s="1" t="s">
        <v>1947</v>
      </c>
      <c r="BI876" s="2" t="s">
        <v>4826</v>
      </c>
      <c r="BJ876" s="1" t="s">
        <v>1959</v>
      </c>
      <c r="BK876" s="2" t="s">
        <v>4827</v>
      </c>
      <c r="BL876" s="1" t="s">
        <v>1875</v>
      </c>
      <c r="BM876" s="2" t="s">
        <v>4828</v>
      </c>
      <c r="BN876" s="1" t="s">
        <v>1877</v>
      </c>
      <c r="BO876" s="2" t="s">
        <v>4829</v>
      </c>
    </row>
    <row r="877" spans="1:69" ht="144" x14ac:dyDescent="0.45">
      <c r="A877" s="5">
        <v>876</v>
      </c>
      <c r="B877" s="6" t="s">
        <v>622</v>
      </c>
      <c r="C877" s="6" t="s">
        <v>6850</v>
      </c>
      <c r="D877" s="7" t="s">
        <v>9752</v>
      </c>
      <c r="E877" s="1" t="s">
        <v>9166</v>
      </c>
      <c r="F877" s="1" t="s">
        <v>9167</v>
      </c>
      <c r="G877" s="1"/>
      <c r="J877" s="1" t="s">
        <v>9753</v>
      </c>
      <c r="L877" s="2" t="s">
        <v>9168</v>
      </c>
      <c r="P877" s="7" t="s">
        <v>1241</v>
      </c>
      <c r="AU877" s="15"/>
      <c r="AV877" s="1" t="s">
        <v>1502</v>
      </c>
      <c r="BG877" s="7" t="s">
        <v>1503</v>
      </c>
      <c r="BH877" s="1" t="s">
        <v>1976</v>
      </c>
      <c r="BI877" s="2" t="s">
        <v>9169</v>
      </c>
      <c r="BJ877" s="1" t="s">
        <v>1947</v>
      </c>
      <c r="BK877" s="2" t="s">
        <v>9170</v>
      </c>
      <c r="BL877" s="1" t="s">
        <v>3250</v>
      </c>
      <c r="BM877" s="1" t="s">
        <v>4830</v>
      </c>
      <c r="BN877" s="1" t="s">
        <v>2114</v>
      </c>
      <c r="BO877" s="1" t="s">
        <v>4831</v>
      </c>
      <c r="BP877" s="1" t="s">
        <v>1875</v>
      </c>
      <c r="BQ877" s="2" t="s">
        <v>4832</v>
      </c>
    </row>
    <row r="878" spans="1:69" ht="306" x14ac:dyDescent="0.45">
      <c r="A878" s="5">
        <v>877</v>
      </c>
      <c r="B878" s="8" t="s">
        <v>623</v>
      </c>
      <c r="C878" s="6" t="s">
        <v>6850</v>
      </c>
      <c r="D878" s="7" t="s">
        <v>9752</v>
      </c>
      <c r="E878" s="1" t="s">
        <v>1459</v>
      </c>
      <c r="F878" s="1" t="s">
        <v>1913</v>
      </c>
      <c r="G878" s="1" t="s">
        <v>9171</v>
      </c>
      <c r="H878" s="1" t="s">
        <v>1584</v>
      </c>
      <c r="J878" s="1" t="s">
        <v>9753</v>
      </c>
      <c r="K878" s="2" t="s">
        <v>9172</v>
      </c>
      <c r="L878" s="3" t="s">
        <v>9173</v>
      </c>
      <c r="M878" s="1" t="s">
        <v>12210</v>
      </c>
      <c r="P878" s="7" t="s">
        <v>1241</v>
      </c>
      <c r="Q878" s="13" t="str">
        <f>INDEX($L:$L, MATCH("minister", $B:$B, 0))</f>
        <v>&lt;span class="w"&gt;&lt;b&gt;【552.minister：大臣, プロテスタントの聖職者】&lt;/b&gt;&lt;/span&gt;
&lt;span class="ml"&gt;ラテン語に由来する語で、以下の2つの要素から成る。
&lt;span class="spacer"&gt;&lt;/span&gt;minor（より小さい）
teros（比較級を作る）
&lt;span class="spacer"&gt;&lt;/span&gt;この語の核は「より小さい者」で、上位者に仕える者・下位の者を表した。
&lt;span class="spacer"&gt;&lt;/span&gt;中世では、キリスト教と結びつき、神に仕えて人々に奉仕する人たちを「神のしもべ」と位置付けたことから「聖職者」という意味になった。
&lt;span class="spacer"&gt;&lt;/span&gt;また政治の文脈では、君主に仕えて国政を補佐する役人たち、すなわち「国王のしもべ」である「大臣」を指すようになった。&lt;/span&gt;</v>
      </c>
      <c r="R878" s="13" t="str">
        <f>INDEX($L:$L, MATCH("minor", $B:$B, 0))</f>
        <v>&lt;span class="w"&gt;&lt;b&gt;【587.minor：些細な, 小さい】&lt;/b&gt;&lt;/span&gt;
&lt;span class="ml"&gt;ラテン語の比較級minor（より小さい, 重要度の低い）に由来する。
&lt;span class="spacer"&gt;&lt;/span&gt;ここから「小さい」や、重要度が小さい、つまり「些細な」という意味になる。&lt;/span&gt;</v>
      </c>
      <c r="S878" s="13" t="str">
        <f>INDEX($L:$L, MATCH("minimum", $B:$B, 0))</f>
        <v>&lt;span class="w"&gt;&lt;b&gt;【653.minimum：最小限度】&lt;/b&gt;&lt;/span&gt;
&lt;span class="ml"&gt;ラテン語に由来する語で、以下の3つの要素から成る。
minor（より小さい）
imus（最上級を作る）
um（名詞化）
&lt;span class="spacer"&gt;&lt;/span&gt;このまま日本語にすると「最も小さいもの」つまり「最小限度」となる。&lt;/span&gt;</v>
      </c>
      <c r="T878" s="13" t="str">
        <f>INDEX($L:$L, MATCH("diminish", $B:$B, 0))</f>
        <v>&lt;span class="w"&gt;&lt;b&gt;【1015.diminish：〜を減らす, 減る】&lt;/b&gt;&lt;/span&gt;
&lt;span class="ml"&gt;ラテン語に由来する語で、以下の2つの要素から成る。
&lt;span class="spacer"&gt;&lt;/span&gt;de（完全に）
minuere（小さくする）
&lt;span class="spacer"&gt;&lt;/span&gt;このまま日本語にすると「完全に小さくする」となる。そこから何かを「減らす」や、何かが「減る」という意味になる。
&lt;span class="spacer"&gt;&lt;/span&gt;diminishのmini部分は、以下の語と関連する。
minimum（最小限）
minus（マイナス）
minor（マイナー）&lt;/span&gt;</v>
      </c>
      <c r="AU878" s="15"/>
      <c r="AV878" s="1" t="s">
        <v>1502</v>
      </c>
      <c r="BG878" s="7" t="s">
        <v>1503</v>
      </c>
      <c r="BH878" s="1" t="s">
        <v>1947</v>
      </c>
      <c r="BI878" s="2" t="s">
        <v>9174</v>
      </c>
      <c r="BJ878" s="1" t="s">
        <v>1875</v>
      </c>
      <c r="BK878" s="2" t="s">
        <v>4833</v>
      </c>
      <c r="BL878" s="1" t="s">
        <v>1877</v>
      </c>
      <c r="BM878" s="2" t="s">
        <v>4834</v>
      </c>
    </row>
    <row r="879" spans="1:69" ht="144" x14ac:dyDescent="0.45">
      <c r="A879" s="5">
        <v>878</v>
      </c>
      <c r="B879" s="8" t="s">
        <v>624</v>
      </c>
      <c r="C879" s="6" t="s">
        <v>6850</v>
      </c>
      <c r="D879" s="7" t="s">
        <v>9752</v>
      </c>
      <c r="E879" s="1" t="s">
        <v>4835</v>
      </c>
      <c r="F879" s="1" t="s">
        <v>4836</v>
      </c>
      <c r="G879" s="1"/>
      <c r="J879" s="1" t="s">
        <v>9753</v>
      </c>
      <c r="L879" s="3" t="s">
        <v>9175</v>
      </c>
      <c r="M879" s="1" t="s">
        <v>12150</v>
      </c>
      <c r="P879" s="7" t="s">
        <v>1241</v>
      </c>
      <c r="Q879" s="13" t="str">
        <f>INDEX($L:$L, MATCH("occur", $B:$B, 0))</f>
        <v>&lt;span class="w"&gt;&lt;b&gt;【108.occur：起こる, 思い浮かぶ】&lt;/b&gt;&lt;/span&gt;
&lt;span class="ml"&gt;ラテン語に由来する語で、以下の2つの要素から成る。
&lt;span class="spacer"&gt;&lt;/span&gt;ob（～に対して）
currere（走る）
&lt;span class="spacer"&gt;&lt;/span&gt;このまま日本語にすると「～に対して走る」となる。これは走っているときに何かにぶつかるという、自分の意思とは関係のない不意の出来事を表す。
&lt;span class="spacer"&gt;&lt;/span&gt;ここから、ある出来事が自分の前に不意に現れる＝何かが「起こる」という意味になる。また、ある考えが自分の前に不意に現れる「思い浮かぶ」という意味になる。
&lt;div class="sample_image occur"&gt;&lt;/div&gt;
&lt;span class="spacer"&gt;&lt;/span&gt;移動中にぶつかるという表現で偶然性を表すことは、英語のrun into, run across, come acrossなどにも見られる。&lt;/span&gt;</v>
      </c>
      <c r="R879" s="13" t="str">
        <f>INDEX($L:$L, MATCH("current", $B:$B, 0))</f>
        <v>&lt;span class="w"&gt;&lt;b&gt;【182.current：現在の, 現代の, 流通している】&lt;/b&gt;&lt;/span&gt;
&lt;span class="ml"&gt;ラテン語currere（走る）に由来する。
&lt;span class="spacer"&gt;&lt;/span&gt;「走る」という語は人や物が動いているというイメージになり、「流通している」という意味になる。
&lt;span class="spacer"&gt;&lt;/span&gt;また動いているのはまさにいま現在なので「現在の, 現代の」という意味になる。&lt;/span&gt;</v>
      </c>
      <c r="S879" s="13" t="str">
        <f>INDEX($L:$L, MATCH("charge", $B:$B, 0))</f>
        <v>&lt;span class="w"&gt;&lt;b&gt;【244.charge：料金, 責任, 管理, 世話, 告発】&lt;/b&gt;&lt;/span&gt;
&lt;span class="ml"&gt;ラテン語carrus（二輪の荷車）に由来する。&lt;span class="obsolete"&gt;このラテン語からはcar（車）やcarry（運ぶ）も生まれている。&lt;/span&gt;
&lt;span class="spacer"&gt;&lt;/span&gt;二輪の荷車に荷物を積むという対象に負担をかけるイメージから、次のような意味の広がりが見られる。
&lt;span class="spacer"&gt;&lt;/span&gt;①荷物を預かる側：「管理, 世話」
in charge of A（Aを管理して）
&lt;span class="spacer"&gt;&lt;/span&gt;②精神的負担：「責任」
&lt;span class="spacer"&gt;&lt;/span&gt;③金銭的な負担：支払うべき「料金」
&lt;span class="spacer"&gt;&lt;/span&gt;④法的な負担：罪状を課す＝「告発」
&lt;div class="sample_image charge"&gt;&lt;/div&gt;&lt;/span&gt;</v>
      </c>
      <c r="AU879" s="15"/>
      <c r="AV879" s="1" t="s">
        <v>1502</v>
      </c>
      <c r="BG879" s="7" t="s">
        <v>1503</v>
      </c>
      <c r="BH879" s="1" t="s">
        <v>1976</v>
      </c>
      <c r="BI879" s="2" t="s">
        <v>5423</v>
      </c>
      <c r="BJ879" s="1" t="s">
        <v>1947</v>
      </c>
      <c r="BK879" s="2" t="s">
        <v>9176</v>
      </c>
      <c r="BL879" s="1" t="s">
        <v>3408</v>
      </c>
      <c r="BM879" s="1" t="s">
        <v>4837</v>
      </c>
      <c r="BN879" s="1" t="s">
        <v>1877</v>
      </c>
      <c r="BO879" s="2" t="s">
        <v>4838</v>
      </c>
    </row>
    <row r="880" spans="1:69" ht="108" x14ac:dyDescent="0.45">
      <c r="A880" s="5">
        <v>879</v>
      </c>
      <c r="B880" s="8" t="s">
        <v>625</v>
      </c>
      <c r="C880" s="6" t="s">
        <v>6851</v>
      </c>
      <c r="D880" s="7" t="s">
        <v>9752</v>
      </c>
      <c r="E880" s="1" t="s">
        <v>4839</v>
      </c>
      <c r="F880" s="1" t="s">
        <v>1548</v>
      </c>
      <c r="G880" s="1"/>
      <c r="J880" s="1" t="s">
        <v>9753</v>
      </c>
      <c r="K880" s="2" t="s">
        <v>9177</v>
      </c>
      <c r="L880" s="2" t="s">
        <v>9178</v>
      </c>
      <c r="M880" s="1" t="s">
        <v>12196</v>
      </c>
      <c r="P880" s="7" t="s">
        <v>1241</v>
      </c>
      <c r="Q880" s="13" t="str">
        <f>INDEX($L:$L, MATCH("appreciate", $B:$B, 0))</f>
        <v>&lt;span class="w"&gt;&lt;b&gt;【340.appreciate：〜を正当に評価する, 〜を鑑賞する, 〜を感謝する】&lt;/b&gt;&lt;/span&gt;
&lt;span class="ml"&gt;ラテン語に由来する語で、以下の2つの要素から成る。
&lt;span class="spacer"&gt;&lt;/span&gt;ad（～へ）
pretium（価格：priceの語源）
&lt;span class="spacer"&gt;&lt;/span&gt;このまま日本語にすると「何かへ価格をつける」となる。価格をつけるということは、価値あるものを「正当に評価する」という意味に繋がる。そして高い価値を認めたものを目にしたり耳にしたりする＝「鑑賞する」となり、価値ある物事を享受できることに対して「感謝する」という意味になる。
&lt;div class="sample_image appreciate"&gt;&lt;/div&gt;&lt;/span&gt;</v>
      </c>
      <c r="R880" s="13" t="str">
        <f>INDEX($L:$L, MATCH("praise", $B:$B, 0))</f>
        <v>&lt;span class="w"&gt;&lt;b&gt;【425.praise：〜を賞賛する】&lt;/b&gt;&lt;/span&gt;
&lt;span class="ml"&gt;ラテン語pretium（価値：priceの語源）から派生した動詞pretiare（値段をつける, 評価する）に由来する。
&lt;span class="spacer"&gt;&lt;/span&gt;この語の核は、何かに価値をつけて評価すること。praiseは、特に高い価値や価格をつけることを表し、「賞賛する」という意味になる。
&lt;div class="sample_image praise"&gt;&lt;/div&gt;&lt;/span&gt;</v>
      </c>
      <c r="AU880" s="15"/>
      <c r="AV880" s="1" t="s">
        <v>1502</v>
      </c>
      <c r="BG880" s="7" t="s">
        <v>1503</v>
      </c>
      <c r="BH880" s="1" t="s">
        <v>1947</v>
      </c>
      <c r="BI880" s="2" t="s">
        <v>4840</v>
      </c>
      <c r="BJ880" s="1" t="s">
        <v>1959</v>
      </c>
      <c r="BK880" s="2" t="s">
        <v>4841</v>
      </c>
      <c r="BL880" s="1" t="s">
        <v>1875</v>
      </c>
      <c r="BM880" s="2" t="s">
        <v>4842</v>
      </c>
    </row>
    <row r="881" spans="1:71" ht="144" x14ac:dyDescent="0.45">
      <c r="A881" s="5">
        <v>880</v>
      </c>
      <c r="B881" s="8" t="s">
        <v>626</v>
      </c>
      <c r="C881" s="6" t="s">
        <v>6851</v>
      </c>
      <c r="D881" s="7" t="s">
        <v>9752</v>
      </c>
      <c r="E881" s="1" t="s">
        <v>4843</v>
      </c>
      <c r="F881" s="1" t="s">
        <v>1548</v>
      </c>
      <c r="G881" s="1"/>
      <c r="J881" s="1" t="s">
        <v>9753</v>
      </c>
      <c r="L881" s="2" t="s">
        <v>12075</v>
      </c>
      <c r="M881" s="1" t="s">
        <v>12146</v>
      </c>
      <c r="P881" s="7" t="s">
        <v>1241</v>
      </c>
      <c r="Q881" s="13" t="str">
        <f>INDEX($L:$L, MATCH("native", $B:$B, 0))</f>
        <v>&lt;span class="w"&gt;&lt;b&gt;【94.native：出生地の, 原生の, 生まれつきの】&lt;/b&gt;&lt;/span&gt;
&lt;span class="ml"&gt;印欧祖語*gene-（生む, 生み出す）から派生したラテン語に由来する語で、以下の2つの要素から成る。
&lt;span class="spacer"&gt;&lt;/span&gt;nasci（生まれる）
ivus（形容詞化）
&lt;span class="spacer"&gt;&lt;/span&gt;「生まれる」が形容詞となって「生まれたままの」＝「生まれつきの」という意味になる。
&lt;span class="spacer"&gt;&lt;/span&gt;また生まれた土地と結びついている＝「出生地の, 原生の」という意味になる。&lt;/span&gt;</v>
      </c>
      <c r="R881" s="13" t="str">
        <f>INDEX($L:$L, MATCH("innate", $B:$B, 0))</f>
        <v>&lt;span class="w"&gt;&lt;b&gt;【1290.innate：生まれながらの】&lt;/b&gt;&lt;/span&gt;
&lt;span class="ml"&gt;ラテン語に由来する語で、以下の2つの要素から成る。
&lt;span class="spacer"&gt;&lt;/span&gt;in（中に）
nasci（生まれる）
&lt;span class="spacer"&gt;&lt;/span&gt;このまま日本語にすると「〜の中に生まれる」となる。生まれた時からその人やその動物の中にあることを表して「生まれつきの」という意味になる。
&lt;span class="spacer"&gt;&lt;/span&gt;nate部分は、nativeやnatureと同じイメージ。&lt;/span&gt;</v>
      </c>
      <c r="S881" s="13" t="str">
        <f>INDEX($L:$L, MATCH("indigenous", $B:$B, 0))</f>
        <v>&lt;span class="w"&gt;&lt;b&gt;【1189.indigenous：原産の, 先住の】&lt;/b&gt;&lt;/span&gt;
&lt;span class="ml"&gt;ラテン語に由来する語で、以下の3つの要素から成る。
&lt;span class="spacer"&gt;&lt;/span&gt;indu（中に）
gignere（生む）
us（形容詞化）
&lt;span class="spacer"&gt;&lt;/span&gt;この語の核は「ある環境の中で生まれた」。ある土地に初めから根付いている動植物や人を表して「土着の, 先住の」という意味になった。
&lt;div class="sample_image indigenous"&gt;&lt;/div&gt;&lt;/span&gt;</v>
      </c>
      <c r="T881" s="13" t="str">
        <f>INDEX($L:$L, MATCH("gene", $B:$B, 0))</f>
        <v>&lt;span class="w"&gt;&lt;b&gt;【275.gene：遺伝子】&lt;/b&gt;&lt;/span&gt;
&lt;span class="ml"&gt;印欧祖語*gene-（生む, 産む）から生まれたギリシャ語genea（世代, 人種, 血統）に由来する。
&lt;span class="spacer"&gt;&lt;/span&gt;このギリシャ語をもとに、デンマークの科学者が1905年にドイツ語Gen（遺伝子）を造る。世代を超えて引き継がれるもの, 種族で共通するもの、つまり「遺伝子」を指した。&lt;/span&gt;</v>
      </c>
      <c r="U881" s="13" t="str">
        <f>INDEX($L:$L, MATCH("gender", $B:$B, 0))</f>
        <v>&lt;span class="w"&gt;&lt;b&gt;【370.gender：社会的/文化的な性, 性別】&lt;/b&gt;&lt;/span&gt;
&lt;span class="ml"&gt;ラテン語genus（種族, 血統, 性別）に由来する。
&lt;span class="spacer"&gt;&lt;/span&gt;もともとは種類や文法上の性を表す言葉だったが、次第に人間の種類を分ける性別として使われるようになる。特に生物学的な性別に対し、「社会/文化的な性」として使われる。たとえば社会・文化における性差別をなくすことをジェンダーの平等と言う。&lt;/span&gt;</v>
      </c>
      <c r="V881" s="13" t="str">
        <f>INDEX($L:$L, MATCH("generate", $B:$B, 0))</f>
        <v>&lt;span class="w"&gt;&lt;b&gt;【407.generate：〜を生み出す】&lt;/b&gt;&lt;/span&gt;
&lt;span class="ml"&gt;ラテン語genus（種族,  血統, 性別）から派生した動詞generare（生む, 生じさせる）に由来する。
&lt;span class="spacer"&gt;&lt;/span&gt;印欧祖語*gene-（生む, 産む）と同じく「生み出す」という意味になる。
&lt;span class="spacer"&gt;&lt;/span&gt;名詞generationは同時代の種族全体や生むこと自体を表して「世代, 発生」という意味になる。
&lt;span class="spacer"&gt;&lt;/span&gt;形容詞generalは「種族全体に関する」から「一般的な」という意味になる。&lt;/span&gt;</v>
      </c>
      <c r="W881" s="13" t="str">
        <f>INDEX($L:$L, MATCH("genuine", $B:$B, 0))</f>
        <v>&lt;span class="w"&gt;&lt;b&gt;【888.genuine：本物の, 偽りのない】&lt;/b&gt;&lt;/span&gt;
&lt;span class="ml"&gt;ラテン語に由来する語で、以下の2つの要素から成ると考えられる。
&lt;span class="spacer"&gt;&lt;/span&gt;gignere（生む, 産出する）
inus（形容詞化）
&lt;span class="spacer"&gt;&lt;/span&gt;この語の核は「生まれたまま自然な状態」。後から作られた混ぜ物や偽物ではなく、生まれたままであることを表し、「本物の, 偽りのない」という意味になる。
&lt;span class="spacer"&gt;&lt;/span&gt;また別の語源の説では、ラテン語genu（膝）に由来するという考えもある。
&lt;span class="spacer"&gt;&lt;/span&gt;古代ローマでは、赤ん坊が生まれると、父親がその子を自分の膝の上に置くという伝統的な儀式があった。これは単なるスキンシップではなく、「この子は間違いなく自分の血を引く、正式な子供である」と公に認めるための重要な法的手続きだった。そこから「偽りのない, 本物の」という意味になった。&lt;/span&gt;</v>
      </c>
      <c r="X881" s="13" t="str">
        <f>INDEX($L:$L, MATCH("pregnant", $B:$B, 0))</f>
        <v>&lt;span class="w"&gt;&lt;b&gt;【1095.pregnant：妊娠した】&lt;/b&gt;&lt;/span&gt;
&lt;span class="ml"&gt;ラテン語に由来する語で、以下の2つの要素から成る。
&lt;span class="spacer"&gt;&lt;/span&gt;prae（前に）
gnasci（生まれる）
&lt;span class="spacer"&gt;&lt;/span&gt;このまま日本語にすると「生まれる前」となる。そこから子を宿している状態＝「妊娠した」という意味になる。&lt;/span&gt;</v>
      </c>
      <c r="AV881" s="1" t="s">
        <v>1502</v>
      </c>
      <c r="BG881" s="7" t="s">
        <v>1503</v>
      </c>
      <c r="BH881" s="1" t="s">
        <v>1976</v>
      </c>
      <c r="BI881" s="1" t="s">
        <v>4844</v>
      </c>
      <c r="BJ881" s="1" t="s">
        <v>1947</v>
      </c>
      <c r="BK881" s="2" t="s">
        <v>4845</v>
      </c>
      <c r="BL881" s="1" t="s">
        <v>1959</v>
      </c>
      <c r="BM881" s="2" t="s">
        <v>4846</v>
      </c>
      <c r="BN881" s="1" t="s">
        <v>1877</v>
      </c>
      <c r="BO881" s="2" t="s">
        <v>4847</v>
      </c>
    </row>
    <row r="882" spans="1:71" ht="144" x14ac:dyDescent="0.45">
      <c r="A882" s="5">
        <v>881</v>
      </c>
      <c r="B882" s="6" t="s">
        <v>627</v>
      </c>
      <c r="C882" s="6" t="s">
        <v>6851</v>
      </c>
      <c r="D882" s="7" t="s">
        <v>9752</v>
      </c>
      <c r="E882" s="1" t="s">
        <v>4848</v>
      </c>
      <c r="F882" s="1" t="s">
        <v>49</v>
      </c>
      <c r="G882" s="1"/>
      <c r="J882" s="1" t="s">
        <v>9753</v>
      </c>
      <c r="L882" s="2" t="s">
        <v>9179</v>
      </c>
      <c r="P882" s="7" t="s">
        <v>1241</v>
      </c>
      <c r="Q882" s="13" t="str">
        <f>INDEX($L:$L, MATCH("occasion", $B:$B, 0))</f>
        <v>&lt;span class="w"&gt;&lt;b&gt;【458.occasion：時, 場合, 機会】&lt;/b&gt;&lt;/span&gt;
&lt;span class="ml"&gt;ラテン語に由来する語で、以下の3つの要素から成る。
&lt;span class="spacer"&gt;&lt;/span&gt;ob（〜に向かって）
cadere（落ちる）
io（名詞化）
&lt;span class="spacer"&gt;&lt;/span&gt;このまま日本語にすると「何かに向かって落ちること」となる。何かが目の前に向かって落ちてくるように、ある出来事やタイミングが転がりこんでくるイメージ。そこから、ある出来事が起こる「時」という意味になる。
&lt;span class="spacer"&gt;&lt;/span&gt;「場合, 機会」という訳は、文脈に応じて「時」の代わりにするものとして覚えておけばよい。一番重要なのは、何かが起こる「時」という意味。
&lt;span class="spacer"&gt;&lt;/span&gt;ギリシャ語やラテン語では、自分の意思とは関係なく降りかかる出来事を「落ちてくる」という感覚で表現することがある。たとえば、incident（出来事）, case（事例）, symptom（症状）といったものが挙げられる。おそらく神様が天から落とすイメージ。
&lt;span class="spacer"&gt;&lt;/span&gt;このような出来事が落ちてくるという感覚は、日本語の「チャンスが舞い込む」や「災難が降りかかる」という表現にも見られる。自分の意思ではコントロールできないことは、天から落ちてくるという感覚。
&lt;div class="sample_image occasion"&gt;&lt;/div&gt;&lt;/span&gt;</v>
      </c>
      <c r="R882" s="13" t="str">
        <f>INDEX($L:$L, MATCH("incident", $B:$B, 0))</f>
        <v>&lt;span class="w"&gt;&lt;b&gt;【644.incident：出来事, 事件】&lt;/b&gt;&lt;/span&gt;
&lt;span class="ml"&gt;ラテン語に由来する語で、以下の2つの要素から成る。
&lt;span class="spacer"&gt;&lt;/span&gt;in（中に）
cadere（落ちる）
&lt;span class="spacer"&gt;&lt;/span&gt;このまま日本語にすると「中に落ちる」となる。物理的に落ちてくることから比喩的に、人や状況に降りかかる「出来事」という意味になった。
&lt;span class="spacer"&gt;&lt;/span&gt;ギリシャ語やラテン語では、自分の意思とは関係なく降りかかる出来事を「落ちてくる」という感覚で表現することがある。たとえば、occasion（場合, 時）, case（事例）, symptom（症状）といったものが挙げられる。おそらく神様が天から落とすイメージ。
&lt;span class="spacer"&gt;&lt;/span&gt; このような出来事が落ちてくるという感覚は、日本語の「チャンスが舞い込む」や「災難が降りかかる」という表現にも見られる。自分の意思ではコントロールできないことは、天から落ちてくるという感覚。&lt;/span&gt;&lt;/span&gt;</v>
      </c>
      <c r="S882" s="13" t="str">
        <f>INDEX($L:$L, MATCH("cheat", $B:$B, 0))</f>
        <v>&lt;span class="w"&gt;&lt;b&gt;【1021.cheat：〜をだます, 不正をする】&lt;/b&gt;&lt;/span&gt;
&lt;span class="ml"&gt;ラテン語に由来する語で、以下の2つの要素から成る。
&lt;span class="spacer"&gt;&lt;/span&gt;ex（外に）
cadere（落ちる）
&lt;span class="spacer"&gt;&lt;/span&gt;このまま日本語にすると「外に落ちる」となる。これは、何かが本来の道から外れて転がりこむというイメージ。
&lt;span class="spacer"&gt;&lt;/span&gt;中世の封建社会では、土地や財産を相続する人がいない（＝相続する道が断たれた）場合、その土地や財産を国が没収した（＝国に転がりこんだ）。この没収を担当した役人たちの中には、権力を盾にして不当に財産を没収する者がいたことから、相手を「だます」や「 不正をする」という意味になった。&lt;/span&gt;</v>
      </c>
      <c r="AU882" s="15"/>
      <c r="AV882" s="1" t="s">
        <v>1502</v>
      </c>
      <c r="BG882" s="7" t="s">
        <v>1503</v>
      </c>
      <c r="BH882" s="1" t="s">
        <v>1947</v>
      </c>
      <c r="BI882" s="2" t="s">
        <v>4849</v>
      </c>
      <c r="BJ882" s="1" t="s">
        <v>2036</v>
      </c>
      <c r="BK882" s="2" t="s">
        <v>4850</v>
      </c>
      <c r="BL882" s="1" t="s">
        <v>1959</v>
      </c>
      <c r="BM882" s="2" t="s">
        <v>4851</v>
      </c>
      <c r="BN882" s="1" t="s">
        <v>1875</v>
      </c>
      <c r="BO882" s="2" t="s">
        <v>4852</v>
      </c>
      <c r="BP882" s="1" t="s">
        <v>1877</v>
      </c>
      <c r="BQ882" s="2" t="s">
        <v>4853</v>
      </c>
      <c r="BR882" s="1" t="s">
        <v>3496</v>
      </c>
      <c r="BS882" s="2" t="s">
        <v>4854</v>
      </c>
    </row>
    <row r="883" spans="1:71" ht="234" x14ac:dyDescent="0.45">
      <c r="A883" s="5">
        <v>882</v>
      </c>
      <c r="B883" s="6" t="s">
        <v>628</v>
      </c>
      <c r="C883" s="6" t="s">
        <v>6851</v>
      </c>
      <c r="D883" s="7" t="s">
        <v>9752</v>
      </c>
      <c r="E883" s="1" t="s">
        <v>4855</v>
      </c>
      <c r="F883" s="1" t="s">
        <v>1687</v>
      </c>
      <c r="G883" s="1" t="s">
        <v>1551</v>
      </c>
      <c r="J883" s="1" t="s">
        <v>9753</v>
      </c>
      <c r="L883" s="2" t="s">
        <v>9215</v>
      </c>
      <c r="P883" s="7" t="s">
        <v>1241</v>
      </c>
      <c r="AU883" s="15"/>
      <c r="AV883" s="1" t="s">
        <v>1502</v>
      </c>
      <c r="BG883" s="7" t="s">
        <v>1503</v>
      </c>
      <c r="BH883" s="1" t="s">
        <v>1947</v>
      </c>
      <c r="BI883" s="2" t="s">
        <v>4856</v>
      </c>
      <c r="BJ883" s="1" t="s">
        <v>1996</v>
      </c>
      <c r="BK883" s="2" t="s">
        <v>4857</v>
      </c>
      <c r="BL883" s="1" t="s">
        <v>1877</v>
      </c>
      <c r="BM883" s="2" t="s">
        <v>4858</v>
      </c>
    </row>
    <row r="884" spans="1:71" ht="162" x14ac:dyDescent="0.45">
      <c r="A884" s="5">
        <v>883</v>
      </c>
      <c r="B884" s="6" t="s">
        <v>629</v>
      </c>
      <c r="C884" s="6" t="s">
        <v>6851</v>
      </c>
      <c r="D884" s="7" t="s">
        <v>9752</v>
      </c>
      <c r="E884" s="1" t="s">
        <v>629</v>
      </c>
      <c r="F884" s="1"/>
      <c r="G884" s="1"/>
      <c r="J884" s="1" t="s">
        <v>9753</v>
      </c>
      <c r="K884" s="2" t="s">
        <v>9180</v>
      </c>
      <c r="L884" s="2" t="s">
        <v>9181</v>
      </c>
      <c r="P884" s="7" t="s">
        <v>1241</v>
      </c>
      <c r="AV884" s="1" t="s">
        <v>1502</v>
      </c>
      <c r="BG884" s="7" t="s">
        <v>1503</v>
      </c>
      <c r="BH884" s="1" t="s">
        <v>1872</v>
      </c>
      <c r="BI884" s="1" t="s">
        <v>4859</v>
      </c>
      <c r="BJ884" s="1" t="s">
        <v>1875</v>
      </c>
      <c r="BK884" s="2" t="s">
        <v>4860</v>
      </c>
      <c r="BL884" s="1" t="s">
        <v>1877</v>
      </c>
      <c r="BM884" s="2" t="s">
        <v>4861</v>
      </c>
    </row>
    <row r="885" spans="1:71" ht="126" x14ac:dyDescent="0.45">
      <c r="A885" s="5">
        <v>884</v>
      </c>
      <c r="B885" s="6" t="s">
        <v>4862</v>
      </c>
      <c r="C885" s="6" t="s">
        <v>6851</v>
      </c>
      <c r="D885" s="7" t="s">
        <v>9752</v>
      </c>
      <c r="E885" s="1" t="s">
        <v>1941</v>
      </c>
      <c r="F885" s="1" t="s">
        <v>8996</v>
      </c>
      <c r="G885" s="1" t="s">
        <v>1931</v>
      </c>
      <c r="J885" s="1" t="s">
        <v>9753</v>
      </c>
      <c r="K885" s="2" t="s">
        <v>9182</v>
      </c>
      <c r="L885" s="2" t="s">
        <v>9216</v>
      </c>
      <c r="P885" s="7" t="s">
        <v>1241</v>
      </c>
      <c r="AU885" s="15"/>
      <c r="AV885" s="1" t="s">
        <v>1502</v>
      </c>
      <c r="BG885" s="7" t="s">
        <v>1503</v>
      </c>
      <c r="BH885" s="1" t="s">
        <v>1947</v>
      </c>
      <c r="BI885" s="2" t="s">
        <v>4863</v>
      </c>
      <c r="BJ885" s="1" t="s">
        <v>1504</v>
      </c>
      <c r="BK885" s="2" t="s">
        <v>4864</v>
      </c>
      <c r="BL885" s="1" t="s">
        <v>2044</v>
      </c>
      <c r="BM885" s="2" t="s">
        <v>4865</v>
      </c>
      <c r="BN885" s="1" t="s">
        <v>1883</v>
      </c>
      <c r="BO885" s="2" t="s">
        <v>4866</v>
      </c>
    </row>
    <row r="886" spans="1:71" ht="126" x14ac:dyDescent="0.45">
      <c r="A886" s="5">
        <v>885</v>
      </c>
      <c r="B886" s="6" t="s">
        <v>4867</v>
      </c>
      <c r="C886" s="6" t="s">
        <v>6851</v>
      </c>
      <c r="D886" s="7" t="s">
        <v>9752</v>
      </c>
      <c r="E886" s="1" t="s">
        <v>8997</v>
      </c>
      <c r="F886" s="1" t="s">
        <v>1551</v>
      </c>
      <c r="G886" s="1"/>
      <c r="J886" s="1" t="s">
        <v>9753</v>
      </c>
      <c r="K886" s="2" t="s">
        <v>9183</v>
      </c>
      <c r="L886" s="3" t="s">
        <v>9184</v>
      </c>
      <c r="P886" s="7" t="s">
        <v>1241</v>
      </c>
      <c r="AU886" s="15"/>
      <c r="AV886" s="1" t="s">
        <v>1502</v>
      </c>
      <c r="BG886" s="7" t="s">
        <v>1503</v>
      </c>
      <c r="BH886" s="1" t="s">
        <v>2423</v>
      </c>
      <c r="BI886" s="2" t="s">
        <v>4868</v>
      </c>
      <c r="BJ886" s="1" t="s">
        <v>2034</v>
      </c>
      <c r="BK886" s="1" t="s">
        <v>4869</v>
      </c>
      <c r="BL886" s="1" t="s">
        <v>1980</v>
      </c>
      <c r="BM886" s="1" t="s">
        <v>4870</v>
      </c>
      <c r="BN886" s="1" t="s">
        <v>1504</v>
      </c>
      <c r="BO886" s="1" t="s">
        <v>4871</v>
      </c>
      <c r="BP886" s="1" t="s">
        <v>2044</v>
      </c>
      <c r="BQ886" s="2" t="s">
        <v>4872</v>
      </c>
      <c r="BR886" s="1" t="s">
        <v>1865</v>
      </c>
      <c r="BS886" s="2" t="s">
        <v>4873</v>
      </c>
    </row>
    <row r="887" spans="1:71" ht="144" x14ac:dyDescent="0.45">
      <c r="A887" s="5">
        <v>886</v>
      </c>
      <c r="B887" s="6" t="s">
        <v>630</v>
      </c>
      <c r="C887" s="6" t="s">
        <v>6851</v>
      </c>
      <c r="D887" s="7" t="s">
        <v>9752</v>
      </c>
      <c r="E887" s="6" t="s">
        <v>630</v>
      </c>
      <c r="F887" s="1"/>
      <c r="G887" s="1"/>
      <c r="J887" s="1" t="s">
        <v>9753</v>
      </c>
      <c r="L887" s="2" t="s">
        <v>9185</v>
      </c>
      <c r="P887" s="7" t="s">
        <v>1241</v>
      </c>
      <c r="Q887" s="13" t="str">
        <f>INDEX($L:$L, MATCH("intimate", $B:$B, 0))</f>
        <v>&lt;span class="w"&gt;&lt;b&gt;【1096.intimate：親密な, 密接な】&lt;/b&gt;&lt;/span&gt;
&lt;span class="ml"&gt;ラテン語に由来する語で、以下の2つの要素から成る。
&lt;span class="spacer"&gt;&lt;/span&gt;in（中に）
imus（最上級を作る）
&lt;span class="spacer"&gt;&lt;/span&gt;このまま日本語にすると「最も内側の」となる。心の最も内側を共有できるほど距離が近いイメージから「親密な, 密接な」という意味なる。
&lt;span class="spacer"&gt;&lt;/span&gt;imate部分は、ultimate（究極の）でも使われている。ultimateは、ラテン語ulter（超える）に最上級imusが付いて、最も超えていることから「究極の」という意味になる。&lt;/span&gt;</v>
      </c>
      <c r="AV887" s="1" t="s">
        <v>1502</v>
      </c>
      <c r="BG887" s="7" t="s">
        <v>1503</v>
      </c>
      <c r="BH887" s="1" t="s">
        <v>1976</v>
      </c>
      <c r="BI887" s="1" t="s">
        <v>4874</v>
      </c>
      <c r="BJ887" s="1" t="s">
        <v>1947</v>
      </c>
      <c r="BK887" s="2" t="s">
        <v>4875</v>
      </c>
      <c r="BL887" s="1" t="s">
        <v>2036</v>
      </c>
      <c r="BM887" s="2" t="s">
        <v>4876</v>
      </c>
      <c r="BN887" s="1" t="s">
        <v>1877</v>
      </c>
      <c r="BO887" s="2" t="s">
        <v>4877</v>
      </c>
    </row>
    <row r="888" spans="1:71" ht="54" x14ac:dyDescent="0.45">
      <c r="A888" s="5">
        <v>887</v>
      </c>
      <c r="B888" s="6" t="s">
        <v>631</v>
      </c>
      <c r="C888" s="6" t="s">
        <v>6851</v>
      </c>
      <c r="D888" s="7" t="s">
        <v>9752</v>
      </c>
      <c r="E888" s="1" t="s">
        <v>631</v>
      </c>
      <c r="F888" s="1"/>
      <c r="G888" s="1"/>
      <c r="J888" s="1" t="s">
        <v>9753</v>
      </c>
      <c r="K888" s="1" t="s">
        <v>4878</v>
      </c>
      <c r="L888" s="2" t="s">
        <v>9186</v>
      </c>
      <c r="P888" s="7" t="s">
        <v>1241</v>
      </c>
      <c r="AV888" s="1" t="s">
        <v>1502</v>
      </c>
      <c r="BG888" s="7" t="s">
        <v>1503</v>
      </c>
      <c r="BH888" s="1" t="s">
        <v>1872</v>
      </c>
      <c r="BI888" s="1" t="s">
        <v>4879</v>
      </c>
    </row>
    <row r="889" spans="1:71" ht="234" x14ac:dyDescent="0.45">
      <c r="A889" s="5">
        <v>888</v>
      </c>
      <c r="B889" s="8" t="s">
        <v>632</v>
      </c>
      <c r="C889" s="6" t="s">
        <v>6851</v>
      </c>
      <c r="D889" s="7" t="s">
        <v>9752</v>
      </c>
      <c r="E889" s="1" t="s">
        <v>4880</v>
      </c>
      <c r="F889" s="1" t="s">
        <v>1758</v>
      </c>
      <c r="G889" s="1"/>
      <c r="J889" s="1" t="s">
        <v>9753</v>
      </c>
      <c r="L889" s="2" t="s">
        <v>9187</v>
      </c>
      <c r="M889" s="1" t="s">
        <v>12146</v>
      </c>
      <c r="P889" s="7" t="s">
        <v>1241</v>
      </c>
      <c r="Q889" s="13" t="str">
        <f>INDEX($L:$L, MATCH("native", $B:$B, 0))</f>
        <v>&lt;span class="w"&gt;&lt;b&gt;【94.native：出生地の, 原生の, 生まれつきの】&lt;/b&gt;&lt;/span&gt;
&lt;span class="ml"&gt;印欧祖語*gene-（生む, 生み出す）から派生したラテン語に由来する語で、以下の2つの要素から成る。
&lt;span class="spacer"&gt;&lt;/span&gt;nasci（生まれる）
ivus（形容詞化）
&lt;span class="spacer"&gt;&lt;/span&gt;「生まれる」が形容詞となって「生まれたままの」＝「生まれつきの」という意味になる。
&lt;span class="spacer"&gt;&lt;/span&gt;また生まれた土地と結びついている＝「出生地の, 原生の」という意味になる。&lt;/span&gt;</v>
      </c>
      <c r="R889" s="13" t="str">
        <f>INDEX($L:$L, MATCH("innate", $B:$B, 0))</f>
        <v>&lt;span class="w"&gt;&lt;b&gt;【1290.innate：生まれながらの】&lt;/b&gt;&lt;/span&gt;
&lt;span class="ml"&gt;ラテン語に由来する語で、以下の2つの要素から成る。
&lt;span class="spacer"&gt;&lt;/span&gt;in（中に）
nasci（生まれる）
&lt;span class="spacer"&gt;&lt;/span&gt;このまま日本語にすると「〜の中に生まれる」となる。生まれた時からその人やその動物の中にあることを表して「生まれつきの」という意味になる。
&lt;span class="spacer"&gt;&lt;/span&gt;nate部分は、nativeやnatureと同じイメージ。&lt;/span&gt;</v>
      </c>
      <c r="S889" s="13" t="str">
        <f>INDEX($L:$L, MATCH("indigenous", $B:$B, 0))</f>
        <v>&lt;span class="w"&gt;&lt;b&gt;【1189.indigenous：原産の, 先住の】&lt;/b&gt;&lt;/span&gt;
&lt;span class="ml"&gt;ラテン語に由来する語で、以下の3つの要素から成る。
&lt;span class="spacer"&gt;&lt;/span&gt;indu（中に）
gignere（生む）
us（形容詞化）
&lt;span class="spacer"&gt;&lt;/span&gt;この語の核は「ある環境の中で生まれた」。ある土地に初めから根付いている動植物や人を表して「土着の, 先住の」という意味になった。
&lt;div class="sample_image indigenous"&gt;&lt;/div&gt;&lt;/span&gt;</v>
      </c>
      <c r="T889" s="13" t="str">
        <f>INDEX($L:$L, MATCH("gene", $B:$B, 0))</f>
        <v>&lt;span class="w"&gt;&lt;b&gt;【275.gene：遺伝子】&lt;/b&gt;&lt;/span&gt;
&lt;span class="ml"&gt;印欧祖語*gene-（生む, 産む）から生まれたギリシャ語genea（世代, 人種, 血統）に由来する。
&lt;span class="spacer"&gt;&lt;/span&gt;このギリシャ語をもとに、デンマークの科学者が1905年にドイツ語Gen（遺伝子）を造る。世代を超えて引き継がれるもの, 種族で共通するもの、つまり「遺伝子」を指した。&lt;/span&gt;</v>
      </c>
      <c r="U889" s="13" t="str">
        <f>INDEX($L:$L, MATCH("gender", $B:$B, 0))</f>
        <v>&lt;span class="w"&gt;&lt;b&gt;【370.gender：社会的/文化的な性, 性別】&lt;/b&gt;&lt;/span&gt;
&lt;span class="ml"&gt;ラテン語genus（種族, 血統, 性別）に由来する。
&lt;span class="spacer"&gt;&lt;/span&gt;もともとは種類や文法上の性を表す言葉だったが、次第に人間の種類を分ける性別として使われるようになる。特に生物学的な性別に対し、「社会/文化的な性」として使われる。たとえば社会・文化における性差別をなくすことをジェンダーの平等と言う。&lt;/span&gt;</v>
      </c>
      <c r="V889" s="13" t="str">
        <f>INDEX($L:$L, MATCH("generate", $B:$B, 0))</f>
        <v>&lt;span class="w"&gt;&lt;b&gt;【407.generate：〜を生み出す】&lt;/b&gt;&lt;/span&gt;
&lt;span class="ml"&gt;ラテン語genus（種族,  血統, 性別）から派生した動詞generare（生む, 生じさせる）に由来する。
&lt;span class="spacer"&gt;&lt;/span&gt;印欧祖語*gene-（生む, 産む）と同じく「生み出す」という意味になる。
&lt;span class="spacer"&gt;&lt;/span&gt;名詞generationは同時代の種族全体や生むこと自体を表して「世代, 発生」という意味になる。
&lt;span class="spacer"&gt;&lt;/span&gt;形容詞generalは「種族全体に関する」から「一般的な」という意味になる。&lt;/span&gt;</v>
      </c>
      <c r="W889" s="13" t="str">
        <f>INDEX($L:$L, MATCH("generous", $B:$B, 0))</f>
        <v>&lt;span class="w"&gt;&lt;b&gt;【880.generous：寛大な, 気前のよい】&lt;/b&gt;&lt;/span&gt;
&lt;span class="ml"&gt;ラテン語に由来する語で、以下の2つの要素から成る。
&lt;span class="spacer"&gt;&lt;/span&gt;genus（生まれ, 家系, 血統）
osus（形容詞化：〜に満ちている）
&lt;span class="spacer"&gt;&lt;/span&gt;もともとは、立派な血統に満ちていて高貴な生まれであることを表した。古代や中世には、高貴な人は器が大きく、他者に対して気前よくものを与え、寛大に振る舞うべきであるという価値観があったことから「寛大な, 気前のよい」という意味になった。&lt;/span&gt;</v>
      </c>
      <c r="X889" s="13" t="str">
        <f>INDEX($L:$L, MATCH("pregnant", $B:$B, 0))</f>
        <v>&lt;span class="w"&gt;&lt;b&gt;【1095.pregnant：妊娠した】&lt;/b&gt;&lt;/span&gt;
&lt;span class="ml"&gt;ラテン語に由来する語で、以下の2つの要素から成る。
&lt;span class="spacer"&gt;&lt;/span&gt;prae（前に）
gnasci（生まれる）
&lt;span class="spacer"&gt;&lt;/span&gt;このまま日本語にすると「生まれる前」となる。そこから子を宿している状態＝「妊娠した」という意味になる。&lt;/span&gt;</v>
      </c>
      <c r="AV889" s="1" t="s">
        <v>1502</v>
      </c>
      <c r="BG889" s="7" t="s">
        <v>1503</v>
      </c>
      <c r="BH889" s="1" t="s">
        <v>1976</v>
      </c>
      <c r="BI889" s="1" t="s">
        <v>4844</v>
      </c>
      <c r="BJ889" s="1" t="s">
        <v>1947</v>
      </c>
      <c r="BK889" s="2" t="s">
        <v>4881</v>
      </c>
      <c r="BL889" s="1" t="s">
        <v>1877</v>
      </c>
      <c r="BM889" s="2" t="s">
        <v>4882</v>
      </c>
    </row>
    <row r="890" spans="1:71" ht="108" x14ac:dyDescent="0.45">
      <c r="A890" s="5">
        <v>889</v>
      </c>
      <c r="B890" s="6" t="s">
        <v>633</v>
      </c>
      <c r="C890" s="6" t="s">
        <v>6851</v>
      </c>
      <c r="D890" s="7" t="s">
        <v>9752</v>
      </c>
      <c r="E890" s="1" t="s">
        <v>4883</v>
      </c>
      <c r="F890" s="1" t="s">
        <v>49</v>
      </c>
      <c r="G890" s="1"/>
      <c r="J890" s="1" t="s">
        <v>9753</v>
      </c>
      <c r="L890" s="2" t="s">
        <v>9188</v>
      </c>
      <c r="P890" s="7" t="s">
        <v>1241</v>
      </c>
      <c r="Q890" s="13" t="str">
        <f>INDEX($L:$L, MATCH("manage", $B:$B, 0))</f>
        <v>&lt;span class="w"&gt;&lt;b&gt;【204.manage：～をなんとか成し遂げる, ～を管理する, （to do）なんとかやっていく】&lt;/b&gt;&lt;/span&gt;
&lt;span class="ml"&gt;ラテン語manus（手）に由来する。
&lt;span class="spacer"&gt;&lt;/span&gt;何かを手で扱うことからコントロールする＝「管理する」という意味になる。
&lt;span class="spacer"&gt;&lt;/span&gt;またなんとか管理して事を運ぶことから「なんとかやっていく」、その結果「なんとか成し遂げる」という意味になる（manage to do）。&lt;/span&gt;</v>
      </c>
      <c r="R890" s="13" t="str">
        <f>INDEX($L:$L, MATCH("manner", $B:$B, 0))</f>
        <v>&lt;span class="w"&gt;&lt;b&gt;【351.manner：作法, 方法】&lt;/b&gt;&lt;/span&gt;
&lt;span class="ml"&gt;ラテン語manus（手）に由来する。
&lt;span class="spacer"&gt;&lt;/span&gt;「手」というのは、何らかの作業や何かを扱うことと結びつきやすい。いまのような機械がなく、手作業・手仕事だったからである。
&lt;span class="spacer"&gt;&lt;/span&gt;こうした手作業においては、そのやり方や扱い方が固定化していく。ここから何かの「方法, 作法」という意味になる。&lt;/span&gt;</v>
      </c>
      <c r="S890" s="13" t="str">
        <f>INDEX($L:$L, MATCH("manufacture", $B:$B, 0))</f>
        <v>&lt;span class="w"&gt;&lt;b&gt;【536.manufacture：製造する, でっちあげる】&lt;/b&gt;&lt;/span&gt;
&lt;span class="ml"&gt;ラテン語に由来する語で、以下の2つの要素から成る。
&lt;span class="spacer"&gt;&lt;/span&gt;manus（手）
facere（作る, する）
&lt;span class="spacer"&gt;&lt;/span&gt;このまま日本語にすると「手で作る」となる。もともとは手作業で作ることを表したが、工業化が進む中で、手や機械をつかって「製造する」という意味になった。また人工的に作り出すことから発展して、「でっちあげる」という意味にもなった。&lt;/span&gt;</v>
      </c>
      <c r="T890" s="13" t="str">
        <f>INDEX($L:$L, MATCH("manipulate", $B:$B, 0))</f>
        <v>&lt;span class="w"&gt;&lt;b&gt;【1310.manipulate：〜を（巧みに）操る】&lt;/b&gt;&lt;/span&gt;
&lt;span class="ml"&gt;ラテン語に由来する語で、以下の2つの要素から成る。
&lt;span class="spacer"&gt;&lt;/span&gt;manus（手）
plere（満たす）
&lt;span class="spacer"&gt;&lt;/span&gt;このまま日本語にすると「手を満たす」となる。もともとは一握りでつかめる量を表し、薬の計量単位としても使われた。そこから何かを手で扱うということへと発展し、何かを巧みに「操る」という意味になった。
&lt;span class="spacer"&gt;&lt;/span&gt;このmani部分は、manual（手の, 取扱説明書, 手引書, 操作手順書）のmanuと同じで「手」を意味することを覚えておく。&lt;/span&gt;</v>
      </c>
      <c r="U890" s="13" t="str">
        <f>INDEX($L:$L, MATCH("command", $B:$B, 0))</f>
        <v>&lt;span class="w"&gt;&lt;b&gt;【808.command：〜を命じる, 〜を指揮する, （景色）を見渡せる】&lt;/b&gt;&lt;/span&gt;
&lt;span class="ml"&gt;ラテン語に由来する語で、以下の3つの要素から成る。
&lt;span class="spacer"&gt;&lt;/span&gt;com（強意）
manus（手）
dare（与える）
&lt;span class="spacer"&gt;&lt;/span&gt;このまま日本語にすると「しっかり手で与える」となる。もともとは何かを手渡すことや委ねることを表したが、そこから意味が強まって、権力をもって「命じる」という意味になった。また、命令によって他の人や物を動かすことから「指揮する」、軍事において指揮者が戦場全体を見渡すことから、一般的に「景色を見渡す」という意味にもなった。
&lt;div class="sample_image command"&gt;&lt;/div&gt;&lt;/span&gt;</v>
      </c>
      <c r="V890" s="13" t="str">
        <f>INDEX($L:$L, MATCH("maintain", $B:$B, 0))</f>
        <v>&lt;span class="w"&gt;&lt;b&gt;【206.maintain：～を維持する, ～を主張する】&lt;/b&gt;&lt;/span&gt;
&lt;span class="ml"&gt;ラテン語に由来する語で、以下の2つの要素から成る。
&lt;span class="spacer"&gt;&lt;/span&gt;manus（手）
tenere（保つ, 握る）
&lt;span class="spacer"&gt;&lt;/span&gt;このまま日本語にすると「手で保つ」となる。手を使って何かを支えるイメージから、状態が続くように支える＝「維持する」という意味になる。手ではなく発言で誰かを支えるとなれば「主張する」という意味になる。&lt;/span&gt;</v>
      </c>
      <c r="AU890" s="15"/>
      <c r="AV890" s="1" t="s">
        <v>1502</v>
      </c>
      <c r="BG890" s="7" t="s">
        <v>1503</v>
      </c>
      <c r="BH890" s="1" t="s">
        <v>1947</v>
      </c>
      <c r="BI890" s="2" t="s">
        <v>4884</v>
      </c>
      <c r="BJ890" s="1" t="s">
        <v>1875</v>
      </c>
      <c r="BK890" s="2" t="s">
        <v>4885</v>
      </c>
    </row>
    <row r="891" spans="1:71" ht="144" x14ac:dyDescent="0.45">
      <c r="A891" s="5">
        <v>890</v>
      </c>
      <c r="B891" s="6" t="s">
        <v>634</v>
      </c>
      <c r="C891" s="6" t="s">
        <v>6851</v>
      </c>
      <c r="D891" s="7" t="s">
        <v>9752</v>
      </c>
      <c r="E891" s="1" t="s">
        <v>4886</v>
      </c>
      <c r="F891" s="1" t="s">
        <v>1551</v>
      </c>
      <c r="G891" s="1" t="s">
        <v>49</v>
      </c>
      <c r="J891" s="1" t="s">
        <v>9753</v>
      </c>
      <c r="K891" s="1" t="s">
        <v>4887</v>
      </c>
      <c r="L891" s="2" t="s">
        <v>9217</v>
      </c>
      <c r="P891" s="7" t="s">
        <v>1241</v>
      </c>
      <c r="AU891" s="15"/>
      <c r="AV891" s="1" t="s">
        <v>1502</v>
      </c>
      <c r="BG891" s="7" t="s">
        <v>1503</v>
      </c>
      <c r="BH891" s="1" t="s">
        <v>2458</v>
      </c>
      <c r="BI891" s="2" t="s">
        <v>4888</v>
      </c>
      <c r="BJ891" s="1" t="s">
        <v>1947</v>
      </c>
      <c r="BK891" s="1" t="s">
        <v>4889</v>
      </c>
      <c r="BL891" s="1" t="s">
        <v>1875</v>
      </c>
      <c r="BM891" s="2" t="s">
        <v>4890</v>
      </c>
      <c r="BN891" s="1" t="s">
        <v>1877</v>
      </c>
      <c r="BO891" s="2" t="s">
        <v>4891</v>
      </c>
    </row>
    <row r="892" spans="1:71" ht="126" x14ac:dyDescent="0.45">
      <c r="A892" s="5">
        <v>891</v>
      </c>
      <c r="B892" s="8" t="s">
        <v>635</v>
      </c>
      <c r="C892" s="6" t="s">
        <v>6851</v>
      </c>
      <c r="D892" s="7" t="s">
        <v>9752</v>
      </c>
      <c r="E892" s="1" t="s">
        <v>27</v>
      </c>
      <c r="F892" s="1" t="s">
        <v>1546</v>
      </c>
      <c r="G892" s="1"/>
      <c r="J892" s="1" t="s">
        <v>9753</v>
      </c>
      <c r="K892" s="2" t="s">
        <v>9189</v>
      </c>
      <c r="L892" s="2" t="s">
        <v>9190</v>
      </c>
      <c r="M892" s="1" t="s">
        <v>12171</v>
      </c>
      <c r="P892" s="7" t="s">
        <v>1241</v>
      </c>
      <c r="Q892" s="13"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R892" s="13"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S892" s="13"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T892" s="13" t="str">
        <f>INDEX($L:$L, MATCH("establish", $B:$B, 0))</f>
        <v>&lt;span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v>
      </c>
      <c r="U892" s="13" t="str">
        <f>INDEX($L:$L, MATCH("static", $B:$B, 0))</f>
        <v>&lt;span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v>
      </c>
      <c r="V892" s="13"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W892" s="13"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X892" s="13"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Y892" s="13"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Z892" s="13"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AA892" s="13" t="str">
        <f>INDEX($L:$L, MATCH("steady", $B:$B, 0))</f>
        <v>&lt;span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v>
      </c>
      <c r="AB892"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C892" s="13" t="str">
        <f>INDEX($L:$L, MATCH("restore", $B:$B, 0))</f>
        <v>&lt;span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v>
      </c>
      <c r="AD892" s="13"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AE892" s="13"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U892" s="15"/>
      <c r="AV892" s="1" t="s">
        <v>1502</v>
      </c>
      <c r="BG892" s="7" t="s">
        <v>1503</v>
      </c>
      <c r="BH892" s="1" t="s">
        <v>1947</v>
      </c>
      <c r="BI892" s="2" t="s">
        <v>9191</v>
      </c>
      <c r="BJ892" s="1" t="s">
        <v>1959</v>
      </c>
      <c r="BK892" s="2" t="s">
        <v>4892</v>
      </c>
      <c r="BL892" s="1" t="s">
        <v>1875</v>
      </c>
      <c r="BM892" s="2" t="s">
        <v>4893</v>
      </c>
      <c r="BN892" s="1" t="s">
        <v>1877</v>
      </c>
      <c r="BO892" s="2" t="s">
        <v>4894</v>
      </c>
      <c r="BP892" s="1" t="s">
        <v>3496</v>
      </c>
      <c r="BQ892" s="2" t="s">
        <v>4895</v>
      </c>
    </row>
    <row r="893" spans="1:71" ht="90" x14ac:dyDescent="0.45">
      <c r="A893" s="5">
        <v>892</v>
      </c>
      <c r="B893" s="6" t="s">
        <v>636</v>
      </c>
      <c r="C893" s="6" t="s">
        <v>6851</v>
      </c>
      <c r="D893" s="7" t="s">
        <v>9752</v>
      </c>
      <c r="E893" s="1" t="s">
        <v>636</v>
      </c>
      <c r="F893" s="1"/>
      <c r="G893" s="1"/>
      <c r="J893" s="1" t="s">
        <v>9753</v>
      </c>
      <c r="K893" s="1" t="s">
        <v>9192</v>
      </c>
      <c r="L893" s="2" t="s">
        <v>9193</v>
      </c>
      <c r="P893" s="7" t="s">
        <v>1241</v>
      </c>
      <c r="AV893" s="1" t="s">
        <v>1502</v>
      </c>
      <c r="BG893" s="7" t="s">
        <v>1503</v>
      </c>
      <c r="BH893" s="1" t="s">
        <v>1872</v>
      </c>
      <c r="BI893" s="1" t="s">
        <v>4896</v>
      </c>
      <c r="BJ893" s="1" t="s">
        <v>1875</v>
      </c>
      <c r="BK893" s="2" t="s">
        <v>4897</v>
      </c>
    </row>
    <row r="894" spans="1:71" ht="126" x14ac:dyDescent="0.45">
      <c r="A894" s="5">
        <v>893</v>
      </c>
      <c r="B894" s="8" t="s">
        <v>637</v>
      </c>
      <c r="C894" s="6" t="s">
        <v>6851</v>
      </c>
      <c r="D894" s="7" t="s">
        <v>9752</v>
      </c>
      <c r="E894" s="1" t="s">
        <v>29</v>
      </c>
      <c r="F894" s="1" t="s">
        <v>4898</v>
      </c>
      <c r="G894" s="1"/>
      <c r="J894" s="1" t="s">
        <v>9753</v>
      </c>
      <c r="L894" s="2" t="s">
        <v>9194</v>
      </c>
      <c r="M894" s="1" t="s">
        <v>12141</v>
      </c>
      <c r="P894" s="7" t="s">
        <v>1241</v>
      </c>
      <c r="Q894" s="13" t="str">
        <f>INDEX($L:$L, MATCH("community", $B:$B, 0))</f>
        <v>&lt;span class="w"&gt;&lt;b&gt;【76.community：共同社会, ～界, 地域社会】&lt;/b&gt;&lt;/span&gt;
&lt;span class="ml"&gt;ラテン語に由来する語で、以下の3つの要素から成る。
&lt;span class="spacer"&gt;&lt;/span&gt;com（共に）
munis（義務）
tas（名詞化）
&lt;span class="spacer"&gt;&lt;/span&gt;このまま日本語にすると「共に義務を果たすもの」となる。つまり義務を共有していてそれを果たす集団＝「共同社会, 地域社会」という意味になる。また義務に限らず、趣味や職業などを共有している人の集まりだと「〜界」という訳になる。&lt;/span&gt;</v>
      </c>
      <c r="R894" s="13" t="str">
        <f>INDEX($L:$L, MATCH("common", $B:$B, 0))</f>
        <v>&lt;span class="w"&gt;&lt;b&gt;【84.common：共通の, 普通の, ありふれた】&lt;/b&gt;&lt;/span&gt;
&lt;span class="ml"&gt;ラテン語に由来する語で、以下の2つの要素から成る。
&lt;span class="spacer"&gt;&lt;/span&gt;com（共に）
munis（義務）
&lt;span class="spacer"&gt;&lt;/span&gt;このまま日本語にすると「義務を共にする」となる。つまりみんなが同じ義務を共有しているということ。ここから多くが何かを共有している＝「共通の」という意味になる。またみんな共通だから特別なことではなく「普通の, ありふれた」となる。&lt;/span&gt;</v>
      </c>
      <c r="S894" s="13" t="str">
        <f>INDEX($L:$L, MATCH("communicate", $B:$B, 0))</f>
        <v>&lt;span class="w"&gt;&lt;b&gt;【129.communicate：情報交換する, 意思疎通する】&lt;/b&gt;&lt;/span&gt;
&lt;span class="ml"&gt;ラテン語に由来する語で、以下の2つの要素から成る。
&lt;span class="spacer"&gt;&lt;/span&gt;com（共に）
munis（義務）
&lt;span class="spacer"&gt;&lt;/span&gt;このまま日本語にすると「義務を共に」となる。つまり義務を共有するというコミュニケーション行為から「情報交換する, 意思疎通する」という意味になる。&lt;/span&gt;</v>
      </c>
      <c r="AU894" s="15"/>
      <c r="AV894" s="1" t="s">
        <v>1502</v>
      </c>
      <c r="BG894" s="7" t="s">
        <v>1503</v>
      </c>
      <c r="BH894" s="1" t="s">
        <v>1947</v>
      </c>
      <c r="BI894" s="2" t="s">
        <v>4899</v>
      </c>
      <c r="BJ894" s="1" t="s">
        <v>1875</v>
      </c>
      <c r="BK894" s="2" t="s">
        <v>4900</v>
      </c>
      <c r="BL894" s="1" t="s">
        <v>1877</v>
      </c>
      <c r="BM894" s="2" t="s">
        <v>4901</v>
      </c>
    </row>
    <row r="895" spans="1:71" ht="144" x14ac:dyDescent="0.45">
      <c r="A895" s="5">
        <v>894</v>
      </c>
      <c r="B895" s="6" t="s">
        <v>638</v>
      </c>
      <c r="C895" s="6" t="s">
        <v>6851</v>
      </c>
      <c r="D895" s="7" t="s">
        <v>9752</v>
      </c>
      <c r="E895" s="1" t="s">
        <v>638</v>
      </c>
      <c r="F895" s="1"/>
      <c r="G895" s="1"/>
      <c r="J895" s="1" t="s">
        <v>9753</v>
      </c>
      <c r="K895" s="2"/>
      <c r="L895" s="3" t="s">
        <v>9195</v>
      </c>
      <c r="P895" s="7" t="s">
        <v>1241</v>
      </c>
      <c r="AU895" s="15"/>
      <c r="AV895" s="1" t="s">
        <v>1502</v>
      </c>
      <c r="BG895" s="7" t="s">
        <v>1503</v>
      </c>
      <c r="BH895" s="1" t="s">
        <v>1875</v>
      </c>
      <c r="BI895" s="2" t="s">
        <v>4902</v>
      </c>
      <c r="BJ895" s="1" t="s">
        <v>1877</v>
      </c>
      <c r="BK895" s="2" t="s">
        <v>4903</v>
      </c>
    </row>
    <row r="896" spans="1:71" ht="144" x14ac:dyDescent="0.45">
      <c r="A896" s="5">
        <v>895</v>
      </c>
      <c r="B896" s="8" t="s">
        <v>639</v>
      </c>
      <c r="C896" s="6" t="s">
        <v>6851</v>
      </c>
      <c r="D896" s="7" t="s">
        <v>9752</v>
      </c>
      <c r="E896" s="1" t="s">
        <v>1428</v>
      </c>
      <c r="F896" s="1" t="s">
        <v>1668</v>
      </c>
      <c r="G896" s="1" t="s">
        <v>1528</v>
      </c>
      <c r="J896" s="1" t="s">
        <v>9753</v>
      </c>
      <c r="L896" s="2" t="s">
        <v>9196</v>
      </c>
      <c r="M896" s="1" t="s">
        <v>12194</v>
      </c>
      <c r="P896" s="7" t="s">
        <v>1241</v>
      </c>
      <c r="Q896" s="13" t="str">
        <f>INDEX($L:$L, MATCH("select", $B:$B, 0))</f>
        <v>&lt;span class="w"&gt;&lt;b&gt;【322.select：〜を選ぶ, えり抜く】&lt;/b&gt;&lt;/span&gt;
&lt;span class="ml"&gt;ラテン語に由来する語で、以下の2つの要素から成る。
&lt;span class="spacer"&gt;&lt;/span&gt;se（離れて）
legere（集める, 選ぶ）
&lt;span class="spacer"&gt;&lt;/span&gt;このまま日本語にすると「選んで離す」となる。全体の中から選び出して離す＝「選ぶ, えり抜く」という意味になる。&lt;/span&gt;</v>
      </c>
      <c r="R896" s="13" t="str">
        <f>INDEX($L:$L, MATCH("neglect", $B:$B, 0))</f>
        <v>&lt;span class="w"&gt;&lt;b&gt;【733.neglect：〜を無視する, 〜をおろそかにする】&lt;/b&gt;&lt;/span&gt;
&lt;span class="ml"&gt;ラテン語に由来する語で、以下の2つの要素から成る。
&lt;span class="spacer"&gt;&lt;/span&gt;nec（ない）
legere（拾い上げる, 選ぶ）
&lt;span class="spacer"&gt;&lt;/span&gt;このまま日本語にすると「拾い上げない」となる。これは、拾い上げないでそのまま放置することから、何かを「おろそかにする」という意味になる。また拾わないということが、注意を払わない、軽視するといった心理的な態度を表すようになり、「無視する」という意味にもなった。&lt;/span&gt;</v>
      </c>
      <c r="S896" s="13" t="str">
        <f>INDEX($L:$L, MATCH("elect", $B:$B, 0))</f>
        <v>&lt;span class="w"&gt;&lt;b&gt;【1137.elect：〜を選出する】&lt;/b&gt;&lt;/span&gt;
&lt;span class="ml"&gt;ラテン語に由来する語で、以下の2つの要素から成る。
&lt;span class="spacer"&gt;&lt;/span&gt;ex（外に）
legere（選ぶ）
&lt;span class="spacer"&gt;&lt;/span&gt;このまま日本語にすると「選んで外に」となる。複数の選択肢から選び出すことから、「（ある役職や地位などに）選出する」という意味になる。&lt;/span&gt;</v>
      </c>
      <c r="T896" s="13" t="str">
        <f>INDEX($L:$L, MATCH("elite", $B:$B, 0))</f>
        <v>&lt;span class="w"&gt;&lt;b&gt;【746.elite：（the eliteで）エリート（集合名詞）】&lt;/b&gt;&lt;/span&gt;
&lt;span class="ml"&gt;ラテン語に由来する語で、以下の2つの要素から成る。
&lt;span class="spacer"&gt;&lt;/span&gt;ex（外に）
legere（選ぶ）
&lt;span class="spacer"&gt;&lt;/span&gt;この語の核は「外に選び出す」。ここから選び出された人たち、つまり「エリート」という意味になった。&lt;/span&gt;</v>
      </c>
      <c r="U896" s="13" t="str">
        <f>INDEX($L:$L, MATCH("lecture", $B:$B, 0))</f>
        <v>&lt;span class="w"&gt;&lt;b&gt;【368.lecture：講義, 講演, 説教】&lt;/b&gt;&lt;/span&gt;
&lt;span class="ml"&gt;ラテン語に由来する語で、以下の2つの要素から成る。
&lt;span class="spacer"&gt;&lt;/span&gt;legere（集める, 選び取る, 言葉を選び取る, 読む）
ura（名詞化）
&lt;span class="spacer"&gt;&lt;/span&gt;もともとは、書物から特定の言葉を選び出して読み上げることを意味した。本が貴重だった時代は、教師がテキストを読み上げるのが授業の基本スタイルだったことから、「講義, 講演」という意味になる。
&lt;span class="spacer"&gt;&lt;/span&gt;また相手に何かを言い聞かせるということから「説教」という意味になる。&lt;/span&gt;</v>
      </c>
      <c r="V896" s="13" t="str">
        <f>INDEX($L:$L, MATCH("intelligent", $B:$B, 0))</f>
        <v>&lt;span class="w"&gt;&lt;b&gt;【379.intelligent：聡明な, 知能が高い】&lt;/b&gt;&lt;/span&gt;
&lt;span class="ml"&gt;ラテン語に由来する語で、以下の2つの要素から成る。
&lt;span class="spacer"&gt;&lt;/span&gt;inter（～の間に）
legere（集める, 選ぶ）
&lt;span class="spacer"&gt;&lt;/span&gt;これは、さまざまな物事や情報「の間に」ある違いを見極めて「選ぶ」能力があるということを表す。ここから「知能の高い, 聡明な」という意味になる。
&lt;span class="spacer"&gt;&lt;/span&gt;AI（人工知能）は、Artificial（人工的な）Inteligence（知能）の略。inteligence（知能）の形容詞がintelligent（知能が高い）。&lt;/span&gt;</v>
      </c>
      <c r="W896" s="13" t="str">
        <f>INDEX($L:$L, MATCH("colleague", $B:$B, 0))</f>
        <v>&lt;span class="w"&gt;&lt;b&gt;【246.colleague：同僚】&lt;/b&gt;&lt;/span&gt;
&lt;span class="ml"&gt;ラテン語に由来する語で、以下の2つの要素から成る。
&lt;span class="spacer"&gt;&lt;/span&gt;com（共に）
legare（任命して派遣する）
&lt;span class="spacer"&gt;&lt;/span&gt;これは「同じ職務に就くために共に派遣された者」から「同僚」という意味になる。&lt;/span&gt;</v>
      </c>
      <c r="X896" s="13" t="str">
        <f>INDEX($L:$L, MATCH("dialect", $B:$B, 0))</f>
        <v>&lt;span class="w"&gt;&lt;b&gt;【463.dialect：方言】&lt;/b&gt;&lt;/span&gt;
&lt;span class="ml"&gt;ギリシャ語に由来する語で、以下の2つの要素から成る。
&lt;span class="spacer"&gt;&lt;/span&gt;dia（間で）
legein（話す）
&lt;span class="spacer"&gt;&lt;/span&gt;このまま日本語にすると「間で話す」となる。もともとは、人々の間で言葉を交わすこと、つまり会話を意味していた。
&lt;span class="spacer"&gt;&lt;/span&gt;古代ギリシャは、一つの国家ではなく、独立した多数の都市国家（ポリス）が基本単位であり、地域ごとに話し方が異なっていた。このような言葉遣いの違いを指してdialektosが使われるようになり、そこから「方言」という意味になった。&lt;/span&gt;</v>
      </c>
      <c r="AU896" s="15"/>
      <c r="AV896" s="1" t="s">
        <v>1502</v>
      </c>
      <c r="BG896" s="7" t="s">
        <v>1503</v>
      </c>
      <c r="BH896" s="1" t="s">
        <v>1947</v>
      </c>
      <c r="BI896" s="2" t="s">
        <v>4904</v>
      </c>
      <c r="BJ896" s="1" t="s">
        <v>1959</v>
      </c>
      <c r="BK896" s="1" t="s">
        <v>4905</v>
      </c>
      <c r="BL896" s="1" t="s">
        <v>1875</v>
      </c>
      <c r="BM896" s="2" t="s">
        <v>4906</v>
      </c>
      <c r="BN896" s="1" t="s">
        <v>1877</v>
      </c>
      <c r="BO896" s="2" t="s">
        <v>4907</v>
      </c>
    </row>
    <row r="897" spans="1:69" ht="144" x14ac:dyDescent="0.45">
      <c r="A897" s="5">
        <v>896</v>
      </c>
      <c r="B897" s="8" t="s">
        <v>640</v>
      </c>
      <c r="C897" s="6" t="s">
        <v>6851</v>
      </c>
      <c r="D897" s="7" t="s">
        <v>9752</v>
      </c>
      <c r="E897" s="1" t="s">
        <v>27</v>
      </c>
      <c r="F897" s="1" t="s">
        <v>1454</v>
      </c>
      <c r="G897" s="1" t="s">
        <v>8965</v>
      </c>
      <c r="H897" s="1" t="s">
        <v>1456</v>
      </c>
      <c r="J897" s="1" t="s">
        <v>9753</v>
      </c>
      <c r="L897" s="2" t="s">
        <v>9197</v>
      </c>
      <c r="M897" s="1" t="s">
        <v>12193</v>
      </c>
      <c r="P897" s="7" t="s">
        <v>1241</v>
      </c>
      <c r="AU897" s="15"/>
      <c r="AV897" s="1" t="s">
        <v>1502</v>
      </c>
      <c r="BG897" s="7" t="s">
        <v>1503</v>
      </c>
      <c r="BH897" s="1" t="s">
        <v>1947</v>
      </c>
      <c r="BI897" s="2" t="s">
        <v>4908</v>
      </c>
      <c r="BJ897" s="1" t="s">
        <v>1875</v>
      </c>
      <c r="BK897" s="2" t="s">
        <v>4909</v>
      </c>
    </row>
    <row r="898" spans="1:69" ht="144" x14ac:dyDescent="0.45">
      <c r="A898" s="5">
        <v>897</v>
      </c>
      <c r="B898" s="8" t="s">
        <v>641</v>
      </c>
      <c r="C898" s="6" t="s">
        <v>6851</v>
      </c>
      <c r="D898" s="7" t="s">
        <v>9752</v>
      </c>
      <c r="E898" s="1" t="s">
        <v>31</v>
      </c>
      <c r="F898" s="1" t="s">
        <v>74</v>
      </c>
      <c r="G898" s="1"/>
      <c r="J898" s="1" t="s">
        <v>9753</v>
      </c>
      <c r="K898" s="2"/>
      <c r="L898" s="3" t="s">
        <v>9700</v>
      </c>
      <c r="M898" s="1" t="s">
        <v>12129</v>
      </c>
      <c r="P898" s="7" t="s">
        <v>1241</v>
      </c>
      <c r="Q898" s="13" t="str">
        <f>INDEX($L:$L, MATCH("found", $B:$B, 0))</f>
        <v>&lt;span class="w"&gt;&lt;b&gt;【39.found：～を設立する, ～を築く】&lt;/b&gt;&lt;/span&gt;
&lt;span class="ml"&gt;ラテン語fundus（底, 基礎）に由来する。
&lt;span class="spacer"&gt;&lt;/span&gt;底, 基礎という名詞から、基礎の上に何かを「設立する, 築く」という動詞になる。
&lt;span class="spacer"&gt;&lt;/span&gt;foundの名詞foundation（ファンデーション）は、化粧の下地や何かの土台という意味で日本語でも使われる。&lt;/span&gt;</v>
      </c>
      <c r="R898" s="13" t="str">
        <f>INDEX($L:$L, MATCH("fund", $B:$B, 0))</f>
        <v>&lt;span class="w"&gt;&lt;b&gt;【360.fund：基金, 資金】&lt;/b&gt;&lt;/span&gt;
&lt;span class="ml"&gt;ラテン語fundus（底, 基礎）に由来する。
&lt;span class="spacer"&gt;&lt;/span&gt;何かを支える土台というイメージから、ある目的のために利用可能なお金や財産＝「基金, 資金」という意味になる。&lt;/span&gt;</v>
      </c>
      <c r="S898" s="13" t="str">
        <f>INDEX($L:$L, MATCH("fundamental", $B:$B, 0))</f>
        <v>&lt;span class="w"&gt;&lt;b&gt;【383.fundamental：基本的な】&lt;/b&gt;&lt;/span&gt;
&lt;span class="ml"&gt;ラテン語に由来する語で、以下の3つの要素から成る。
&lt;span class="spacer"&gt;&lt;/span&gt;fundus（底, 基礎）から派生したfundare（土台を据える）
mentum（名詞化）
alis（形容詞化）
&lt;span class="spacer"&gt;&lt;/span&gt;このまま日本語にすると「土台となるものに関する」となる。何かを行ったり作ったりするときの土台を表すことから「基本的な」という意味になる。&lt;/span&gt;</v>
      </c>
      <c r="AU898" s="15"/>
      <c r="AV898" s="1" t="s">
        <v>1502</v>
      </c>
      <c r="BG898" s="7" t="s">
        <v>1503</v>
      </c>
      <c r="BH898" s="1" t="s">
        <v>1947</v>
      </c>
      <c r="BI898" s="2" t="s">
        <v>4910</v>
      </c>
      <c r="BJ898" s="1" t="s">
        <v>1959</v>
      </c>
      <c r="BK898" s="2" t="s">
        <v>4911</v>
      </c>
      <c r="BL898" s="1" t="s">
        <v>1875</v>
      </c>
      <c r="BM898" s="2" t="s">
        <v>4912</v>
      </c>
    </row>
    <row r="899" spans="1:69" ht="90" x14ac:dyDescent="0.45">
      <c r="A899" s="5">
        <v>898</v>
      </c>
      <c r="B899" s="6" t="s">
        <v>642</v>
      </c>
      <c r="C899" s="6" t="s">
        <v>6851</v>
      </c>
      <c r="D899" s="7" t="s">
        <v>9752</v>
      </c>
      <c r="E899" s="1" t="s">
        <v>4913</v>
      </c>
      <c r="F899" s="1" t="s">
        <v>1946</v>
      </c>
      <c r="G899" s="1"/>
      <c r="J899" s="1" t="s">
        <v>9753</v>
      </c>
      <c r="L899" s="2" t="s">
        <v>9198</v>
      </c>
      <c r="P899" s="7" t="s">
        <v>1241</v>
      </c>
      <c r="Q899" s="13"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R899" s="13"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S899" s="13"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T899" s="13" t="str">
        <f>INDEX($L:$L, MATCH("establish", $B:$B, 0))</f>
        <v>&lt;span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v>
      </c>
      <c r="U899" s="13" t="str">
        <f>INDEX($L:$L, MATCH("static", $B:$B, 0))</f>
        <v>&lt;span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v>
      </c>
      <c r="V899" s="13"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W899" s="13"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X899" s="13"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Y899" s="13"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Z899" s="13"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AA899" s="13"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AB899"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C899" s="13" t="str">
        <f>INDEX($L:$L, MATCH("restore", $B:$B, 0))</f>
        <v>&lt;span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v>
      </c>
      <c r="AD899" s="13"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AE899" s="13"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U899" s="15"/>
      <c r="AV899" s="1" t="s">
        <v>1502</v>
      </c>
      <c r="BG899" s="7" t="s">
        <v>1503</v>
      </c>
      <c r="BH899" s="1" t="s">
        <v>1976</v>
      </c>
      <c r="BI899" s="2" t="s">
        <v>3795</v>
      </c>
      <c r="BJ899" s="1" t="s">
        <v>1872</v>
      </c>
      <c r="BK899" s="2" t="s">
        <v>4914</v>
      </c>
      <c r="BL899" s="1" t="s">
        <v>1875</v>
      </c>
      <c r="BM899" s="1" t="s">
        <v>4915</v>
      </c>
      <c r="BN899" s="1" t="s">
        <v>1877</v>
      </c>
      <c r="BO899" s="2" t="s">
        <v>4916</v>
      </c>
    </row>
    <row r="900" spans="1:69" ht="72" x14ac:dyDescent="0.45">
      <c r="A900" s="5">
        <v>899</v>
      </c>
      <c r="B900" s="6" t="s">
        <v>643</v>
      </c>
      <c r="C900" s="6" t="s">
        <v>6851</v>
      </c>
      <c r="D900" s="7" t="s">
        <v>9752</v>
      </c>
      <c r="E900" s="1" t="s">
        <v>643</v>
      </c>
      <c r="F900" s="1"/>
      <c r="G900" s="1"/>
      <c r="J900" s="1" t="s">
        <v>9753</v>
      </c>
      <c r="L900" s="2" t="s">
        <v>9199</v>
      </c>
      <c r="P900" s="7" t="s">
        <v>1241</v>
      </c>
      <c r="AV900" s="1" t="s">
        <v>1502</v>
      </c>
      <c r="BG900" s="7" t="s">
        <v>1503</v>
      </c>
      <c r="BH900" s="1" t="s">
        <v>1947</v>
      </c>
      <c r="BI900" s="1" t="s">
        <v>4917</v>
      </c>
      <c r="BJ900" s="1" t="s">
        <v>1875</v>
      </c>
      <c r="BK900" s="2" t="s">
        <v>4918</v>
      </c>
      <c r="BL900" s="1" t="s">
        <v>1877</v>
      </c>
      <c r="BM900" s="2" t="s">
        <v>4919</v>
      </c>
    </row>
    <row r="901" spans="1:69" ht="162" x14ac:dyDescent="0.45">
      <c r="A901" s="5">
        <v>900</v>
      </c>
      <c r="B901" s="6" t="s">
        <v>644</v>
      </c>
      <c r="C901" s="6" t="s">
        <v>6853</v>
      </c>
      <c r="D901" s="7" t="s">
        <v>9752</v>
      </c>
      <c r="E901" s="1" t="s">
        <v>4920</v>
      </c>
      <c r="F901" s="1" t="s">
        <v>4921</v>
      </c>
      <c r="G901" s="1"/>
      <c r="J901" s="1" t="s">
        <v>9753</v>
      </c>
      <c r="K901" s="2"/>
      <c r="L901" s="2" t="s">
        <v>9200</v>
      </c>
      <c r="P901" s="7" t="s">
        <v>1241</v>
      </c>
      <c r="Q901" s="13" t="str">
        <f>INDEX($L:$L, MATCH("likely", $B:$B, 0))</f>
        <v>&lt;span class="w"&gt;&lt;b&gt;【80.likely：ありそうな】&lt;/b&gt;&lt;/span&gt;
&lt;span class="ml"&gt;古英語geliclic（似ている, 同様の）にさかのぼる語で、以下の3つの要素から成る。
&lt;span class="spacer"&gt;&lt;/span&gt;ge（共に）
lic（体, 形）
形容詞を作る-lic
&lt;span class="spacer"&gt;&lt;/span&gt;likelyの意味の核になるのはlike部分。このlikeは前置詞like（～のような）と同じだと考えてよい。
&lt;span class="spacer"&gt;&lt;/span&gt;llikelyのlikeも前置詞のlikeも、geとlicが合わさった「体や形を共にしている」＝「見た目が似ている」がもとになっている。
&lt;span class="spacer"&gt;&lt;/span&gt;likelyは、何かが事実や真実に似ている＝「実際に起こりそう, ありそうな」という意味になる。
&lt;span class="spacer"&gt;&lt;/span&gt;S is likely to do Aは「Aすることが現実のようだ」＝「Aしそうである」ということ。&lt;/span&gt;</v>
      </c>
      <c r="AU901" s="15"/>
      <c r="AV901" s="1" t="s">
        <v>1502</v>
      </c>
      <c r="BG901" s="7" t="s">
        <v>1503</v>
      </c>
      <c r="BH901" s="1" t="s">
        <v>1872</v>
      </c>
      <c r="BI901" s="2" t="s">
        <v>4922</v>
      </c>
      <c r="BJ901" s="1" t="s">
        <v>1875</v>
      </c>
      <c r="BK901" s="2" t="s">
        <v>4923</v>
      </c>
    </row>
    <row r="902" spans="1:69" ht="162" x14ac:dyDescent="0.45">
      <c r="A902" s="5">
        <v>901</v>
      </c>
      <c r="B902" s="8" t="s">
        <v>645</v>
      </c>
      <c r="C902" s="6" t="s">
        <v>1816</v>
      </c>
      <c r="D902" s="7" t="s">
        <v>9752</v>
      </c>
      <c r="E902" s="1" t="s">
        <v>645</v>
      </c>
      <c r="F902" s="1"/>
      <c r="G902" s="1"/>
      <c r="J902" s="1" t="s">
        <v>9753</v>
      </c>
      <c r="K902" s="1" t="s">
        <v>4924</v>
      </c>
      <c r="L902" s="2" t="s">
        <v>9218</v>
      </c>
      <c r="P902" s="7" t="s">
        <v>1241</v>
      </c>
      <c r="AU902" s="15"/>
      <c r="AV902" s="1" t="s">
        <v>1502</v>
      </c>
      <c r="BG902" s="7" t="s">
        <v>1503</v>
      </c>
      <c r="BH902" s="1" t="s">
        <v>1947</v>
      </c>
      <c r="BI902" s="2" t="s">
        <v>4925</v>
      </c>
      <c r="BJ902" s="1" t="s">
        <v>2026</v>
      </c>
      <c r="BK902" s="1" t="s">
        <v>4926</v>
      </c>
      <c r="BL902" s="1" t="s">
        <v>1959</v>
      </c>
      <c r="BM902" s="2" t="s">
        <v>4927</v>
      </c>
      <c r="BN902" s="1" t="s">
        <v>1875</v>
      </c>
      <c r="BO902" s="2" t="s">
        <v>4928</v>
      </c>
    </row>
    <row r="903" spans="1:69" ht="144" x14ac:dyDescent="0.45">
      <c r="A903" s="5">
        <v>902</v>
      </c>
      <c r="B903" s="8" t="s">
        <v>646</v>
      </c>
      <c r="C903" s="6" t="s">
        <v>1816</v>
      </c>
      <c r="D903" s="7" t="s">
        <v>9752</v>
      </c>
      <c r="E903" s="1" t="s">
        <v>646</v>
      </c>
      <c r="F903" s="1"/>
      <c r="G903" s="1"/>
      <c r="J903" s="1" t="s">
        <v>9753</v>
      </c>
      <c r="K903" s="2"/>
      <c r="L903" s="3" t="s">
        <v>9219</v>
      </c>
      <c r="M903" s="1" t="s">
        <v>12183</v>
      </c>
      <c r="P903" s="7" t="s">
        <v>1241</v>
      </c>
      <c r="Q903" s="13" t="str">
        <f>INDEX($L:$L, MATCH("sequence", $B:$B, 0))</f>
        <v>&lt;span class="w"&gt;&lt;b&gt;【641.sequence：連続, 一連のもの】&lt;/b&gt;&lt;/span&gt;
&lt;span class="ml"&gt;ラテン語sequi（従う, 続く）に由来する。
&lt;span class="spacer"&gt;&lt;/span&gt;何かに従って続いていくことから「一連のもの, 連続」という意味になる。
&lt;div class="sample_image sequence"&gt;&lt;/div&gt;&lt;/span&gt;</v>
      </c>
      <c r="R903" s="13" t="str">
        <f>INDEX($L:$L, MATCH("consequence", $B:$B, 0))</f>
        <v>&lt;span class="w"&gt;&lt;b&gt;【272.consequence：（通例〜sで）結果】&lt;/b&gt;&lt;/span&gt;
&lt;span class="ml"&gt;ラテン語に由来する語で、以下の2つの要素から成る。
&lt;span class="spacer"&gt;&lt;/span&gt;com（共に）
sequi（従う, 後に続く）
&lt;span class="spacer"&gt;&lt;/span&gt;このまま日本語にすると「共に従う」となる。何かの後に従って続くイメージから、
→ある行動や過程のあとに続く「結果」という意味になる。
&lt;div class="sample_image consequence"&gt;&lt;/div&gt;&lt;/span&gt;</v>
      </c>
      <c r="S903" s="13" t="str">
        <f>INDEX($L:$L, MATCH("subsequent", $B:$B, 0))</f>
        <v>&lt;span class="w"&gt;&lt;b&gt;【1089.subsequent：その後の】&lt;/b&gt;&lt;/span&gt;
&lt;span class="ml"&gt;ラテン語に由来する語で、以下の2つの要素から成る。
&lt;span class="spacer"&gt;&lt;/span&gt;sub（下に, 後に）
sequi（従う）
&lt;span class="spacer"&gt;&lt;/span&gt;この語の核は「何かの後に従って続く」。subはサブメンバーのサブで、後に控えているイメージ。sequent部分はsequence（連続）の形容詞として覚える。何かの後に連続しているイメージから「その後の」という意味になる。&lt;/span&gt;</v>
      </c>
      <c r="T903" s="13" t="str">
        <f>INDEX($L:$L, MATCH("pursue", $B:$B, 0))</f>
        <v>&lt;span class="w"&gt;&lt;b&gt;【604.pursue：追い求める】&lt;/b&gt;&lt;/span&gt;
&lt;span class="ml"&gt;ラテン語に由来する語で、以下の2つの要素から成る。
&lt;span class="spacer"&gt;&lt;/span&gt;pro（前へ）
sequi（従う）
&lt;span class="spacer"&gt;&lt;/span&gt;このまま日本語にすると「前に従う」となる。この核は「前にいるものの後を追って従い続ける」。物理的に何かを追いかけることから、比喩的に目標や目的を「追い求める」という意味になった。
&lt;div class="sample_image pursue"&gt;&lt;/div&gt;&lt;/span&gt;</v>
      </c>
      <c r="AU903" s="15"/>
      <c r="AV903" s="1" t="s">
        <v>1502</v>
      </c>
      <c r="BG903" s="7" t="s">
        <v>1503</v>
      </c>
      <c r="BH903" s="1" t="s">
        <v>1947</v>
      </c>
      <c r="BI903" s="2" t="s">
        <v>4929</v>
      </c>
      <c r="BJ903" s="1" t="s">
        <v>2026</v>
      </c>
      <c r="BK903" s="1" t="s">
        <v>4930</v>
      </c>
      <c r="BL903" s="1" t="s">
        <v>1959</v>
      </c>
      <c r="BM903" s="1" t="s">
        <v>4931</v>
      </c>
      <c r="BN903" s="1" t="s">
        <v>2114</v>
      </c>
      <c r="BO903" s="1" t="s">
        <v>4932</v>
      </c>
      <c r="BP903" s="1" t="s">
        <v>1875</v>
      </c>
      <c r="BQ903" s="2" t="s">
        <v>4933</v>
      </c>
    </row>
    <row r="904" spans="1:69" ht="90" x14ac:dyDescent="0.45">
      <c r="A904" s="5">
        <v>903</v>
      </c>
      <c r="B904" s="6" t="s">
        <v>647</v>
      </c>
      <c r="C904" s="6" t="s">
        <v>1816</v>
      </c>
      <c r="D904" s="7" t="s">
        <v>9752</v>
      </c>
      <c r="E904" s="1" t="s">
        <v>647</v>
      </c>
      <c r="F904" s="1"/>
      <c r="G904" s="1"/>
      <c r="J904" s="1" t="s">
        <v>9753</v>
      </c>
      <c r="K904" s="2" t="s">
        <v>9220</v>
      </c>
      <c r="L904" s="2" t="s">
        <v>9221</v>
      </c>
      <c r="P904" s="7" t="s">
        <v>1241</v>
      </c>
      <c r="AU904" s="15"/>
      <c r="AV904" s="1" t="s">
        <v>1502</v>
      </c>
      <c r="BG904" s="7" t="s">
        <v>1503</v>
      </c>
      <c r="BH904" s="1" t="s">
        <v>1875</v>
      </c>
      <c r="BI904" s="2" t="s">
        <v>4934</v>
      </c>
    </row>
    <row r="905" spans="1:69" ht="90" x14ac:dyDescent="0.45">
      <c r="A905" s="5">
        <v>904</v>
      </c>
      <c r="B905" s="8" t="s">
        <v>648</v>
      </c>
      <c r="C905" s="6" t="s">
        <v>1816</v>
      </c>
      <c r="D905" s="7" t="s">
        <v>9752</v>
      </c>
      <c r="E905" s="1" t="s">
        <v>648</v>
      </c>
      <c r="F905" s="1"/>
      <c r="G905" s="1"/>
      <c r="J905" s="1" t="s">
        <v>9753</v>
      </c>
      <c r="L905" s="2" t="s">
        <v>9222</v>
      </c>
      <c r="P905" s="7" t="s">
        <v>1241</v>
      </c>
      <c r="AU905" s="15"/>
      <c r="AV905" s="1" t="s">
        <v>1502</v>
      </c>
      <c r="BG905" s="7" t="s">
        <v>1503</v>
      </c>
      <c r="BH905" s="1" t="s">
        <v>1976</v>
      </c>
      <c r="BI905" s="2" t="s">
        <v>4935</v>
      </c>
      <c r="BJ905" s="1" t="s">
        <v>1875</v>
      </c>
      <c r="BK905" s="2" t="s">
        <v>4936</v>
      </c>
      <c r="BL905" s="1" t="s">
        <v>1877</v>
      </c>
      <c r="BM905" s="2" t="s">
        <v>4937</v>
      </c>
    </row>
    <row r="906" spans="1:69" ht="90" x14ac:dyDescent="0.45">
      <c r="A906" s="5">
        <v>905</v>
      </c>
      <c r="B906" s="6" t="s">
        <v>649</v>
      </c>
      <c r="C906" s="6" t="s">
        <v>1816</v>
      </c>
      <c r="D906" s="7" t="s">
        <v>9752</v>
      </c>
      <c r="E906" s="1" t="s">
        <v>649</v>
      </c>
      <c r="F906" s="1"/>
      <c r="G906" s="1"/>
      <c r="J906" s="1" t="s">
        <v>9753</v>
      </c>
      <c r="K906" s="1" t="s">
        <v>4938</v>
      </c>
      <c r="L906" s="2" t="s">
        <v>9223</v>
      </c>
      <c r="P906" s="7" t="s">
        <v>1241</v>
      </c>
      <c r="AV906" s="1" t="s">
        <v>1502</v>
      </c>
      <c r="BG906" s="7" t="s">
        <v>1503</v>
      </c>
      <c r="BH906" s="1" t="s">
        <v>1872</v>
      </c>
      <c r="BI906" s="1" t="s">
        <v>4939</v>
      </c>
      <c r="BJ906" s="1" t="s">
        <v>1875</v>
      </c>
      <c r="BK906" s="2" t="s">
        <v>4940</v>
      </c>
    </row>
    <row r="907" spans="1:69" ht="144" x14ac:dyDescent="0.45">
      <c r="A907" s="5">
        <v>906</v>
      </c>
      <c r="B907" s="6" t="s">
        <v>650</v>
      </c>
      <c r="C907" s="6" t="s">
        <v>1816</v>
      </c>
      <c r="D907" s="7" t="s">
        <v>9752</v>
      </c>
      <c r="E907" s="1" t="s">
        <v>1537</v>
      </c>
      <c r="F907" s="1" t="s">
        <v>4941</v>
      </c>
      <c r="G907" s="1"/>
      <c r="J907" s="1" t="s">
        <v>9753</v>
      </c>
      <c r="K907" s="2"/>
      <c r="L907" s="3" t="s">
        <v>9224</v>
      </c>
      <c r="P907" s="7" t="s">
        <v>1241</v>
      </c>
      <c r="AU907" s="15"/>
      <c r="AV907" s="1" t="s">
        <v>1502</v>
      </c>
      <c r="BG907" s="7" t="s">
        <v>1503</v>
      </c>
      <c r="BH907" s="1" t="s">
        <v>1875</v>
      </c>
      <c r="BI907" s="2" t="s">
        <v>4942</v>
      </c>
      <c r="BJ907" s="1" t="s">
        <v>1877</v>
      </c>
      <c r="BK907" s="2" t="s">
        <v>4943</v>
      </c>
    </row>
    <row r="908" spans="1:69" ht="90" x14ac:dyDescent="0.45">
      <c r="A908" s="5">
        <v>907</v>
      </c>
      <c r="B908" s="6" t="s">
        <v>651</v>
      </c>
      <c r="C908" s="6" t="s">
        <v>1816</v>
      </c>
      <c r="D908" s="7" t="s">
        <v>9752</v>
      </c>
      <c r="E908" s="1" t="s">
        <v>651</v>
      </c>
      <c r="F908" s="1"/>
      <c r="G908" s="1"/>
      <c r="J908" s="1" t="s">
        <v>9753</v>
      </c>
      <c r="K908" s="2"/>
      <c r="L908" s="2" t="s">
        <v>9225</v>
      </c>
      <c r="P908" s="7" t="s">
        <v>1241</v>
      </c>
      <c r="AV908" s="1" t="s">
        <v>1502</v>
      </c>
      <c r="BG908" s="7" t="s">
        <v>1503</v>
      </c>
      <c r="BH908" s="1" t="s">
        <v>1872</v>
      </c>
      <c r="BI908" s="1" t="s">
        <v>4944</v>
      </c>
      <c r="BJ908" s="1" t="s">
        <v>1875</v>
      </c>
      <c r="BK908" s="2" t="s">
        <v>4945</v>
      </c>
      <c r="BL908" s="1" t="s">
        <v>1877</v>
      </c>
      <c r="BM908" s="2" t="s">
        <v>4946</v>
      </c>
    </row>
    <row r="909" spans="1:69" ht="90" x14ac:dyDescent="0.45">
      <c r="A909" s="5">
        <v>908</v>
      </c>
      <c r="B909" s="6" t="s">
        <v>652</v>
      </c>
      <c r="C909" s="6" t="s">
        <v>1816</v>
      </c>
      <c r="D909" s="7" t="s">
        <v>9752</v>
      </c>
      <c r="E909" s="1" t="s">
        <v>652</v>
      </c>
      <c r="F909" s="1"/>
      <c r="G909" s="1"/>
      <c r="J909" s="1" t="s">
        <v>9753</v>
      </c>
      <c r="K909" s="1" t="s">
        <v>4947</v>
      </c>
      <c r="L909" s="2" t="s">
        <v>9226</v>
      </c>
      <c r="M909" s="1" t="s">
        <v>12132</v>
      </c>
      <c r="P909" s="7" t="s">
        <v>1241</v>
      </c>
      <c r="Q909" s="13" t="str">
        <f>INDEX($L:$L, MATCH("flow", $B:$B, 0))</f>
        <v>&lt;span class="w"&gt;&lt;b&gt;【334.flow：流れる, 生じる】&lt;/b&gt;&lt;/span&gt;
&lt;span class="ml"&gt;印欧祖語*pleu-（流れる, 流動する）に由来する。
&lt;span class="spacer"&gt;&lt;/span&gt;印欧祖語から意味の変化はほとんどない。&lt;/span&gt;</v>
      </c>
      <c r="R909" s="13" t="str">
        <f>INDEX($L:$L, MATCH("flee", $B:$B, 0))</f>
        <v>&lt;span class="w"&gt;&lt;b&gt;【1312.flee：逃げる】&lt;/b&gt;&lt;/span&gt;
&lt;span class="ml"&gt;印欧祖語*pleu-（流れる）にさかのぼる。
&lt;span class="spacer"&gt;&lt;/span&gt;この印欧祖語からはflyやflowも生まれている。この語の核は「流れるような素早い動き」。流れるようにスッと危険や脅威から離れることから「逃げる」という意味になった。&lt;/span&gt;</v>
      </c>
      <c r="S909" s="13" t="str">
        <f>INDEX($L:$L, MATCH("fluent", $B:$B, 0))</f>
        <v>&lt;span class="w"&gt;&lt;b&gt;【988.fluent：流ちょうな】&lt;/b&gt;&lt;/span&gt;
&lt;span class="ml"&gt;ラテン語fluere（流れる, 流れ出る）に由来する。
&lt;span class="spacer"&gt;&lt;/span&gt;もともとは物理的な流れるという意味だったが、そこから水が流れるように言葉が出てくることから「流ちょうな」という意味になった。
&lt;span class="spacer"&gt;&lt;/span&gt;このfl部分の「流れる」というイメージは、fluid（液体）やinfluence（影響）、インフルエンザのfluにも見られる。&lt;/span&gt;</v>
      </c>
      <c r="T909" s="13" t="str">
        <f>INDEX($L:$L, MATCH("influence", $B:$B, 0))</f>
        <v>&lt;span class="w"&gt;&lt;b&gt;【49.influence：影響力】&lt;/b&gt;&lt;/span&gt;
&lt;span class="ml"&gt;ラテン語に由来する語で、以下の2つの要素から成る。
&lt;span class="spacer"&gt;&lt;/span&gt;in（中に）
fluere（流れる）
&lt;span class="spacer"&gt;&lt;/span&gt;このまま日本語にすると「中に流れる」となる。昔は占星術の用語として使われ、星から出る人格や運命に作用する力を意味した。ここから占星術に限定されず、一般的な目に見えない力＝「影響力」という意味になる。&lt;/span&gt;</v>
      </c>
      <c r="U909" s="13" t="str">
        <f>INDEX($L:$L, MATCH("fluid", $B:$B, 0))</f>
        <v>&lt;span class="w"&gt;&lt;b&gt;【1254.fluid：流動体, 液体, 気体】&lt;/b&gt;&lt;/span&gt;
&lt;span class="ml"&gt;ラテン語に由来する語で、以下の2つの要素から成る。
&lt;span class="spacer"&gt;&lt;/span&gt;fluere（流れる）
idus（形容詞化）
&lt;span class="spacer"&gt;&lt;/span&gt;この語の核は「形が定まらず流れるような感じ」。もともとは、流れるような様子を表す形容詞だったが、それが名詞として使われるようになり、流れるもの、すなわち「流動体, 液体, 気体」という意味になった。fluidは現在でも形容詞としても使われる。&lt;/span&gt;</v>
      </c>
      <c r="AV909" s="1" t="s">
        <v>1502</v>
      </c>
      <c r="BG909" s="7" t="s">
        <v>1503</v>
      </c>
      <c r="BH909" s="1" t="s">
        <v>1872</v>
      </c>
      <c r="BI909" s="1" t="s">
        <v>4948</v>
      </c>
      <c r="BJ909" s="1" t="s">
        <v>1875</v>
      </c>
      <c r="BK909" s="2" t="s">
        <v>4949</v>
      </c>
      <c r="BL909" s="1" t="s">
        <v>1877</v>
      </c>
      <c r="BM909" s="2" t="s">
        <v>4950</v>
      </c>
    </row>
    <row r="910" spans="1:69" ht="126" x14ac:dyDescent="0.45">
      <c r="A910" s="5">
        <v>909</v>
      </c>
      <c r="B910" s="6" t="s">
        <v>653</v>
      </c>
      <c r="C910" s="6" t="s">
        <v>1816</v>
      </c>
      <c r="D910" s="7" t="s">
        <v>9752</v>
      </c>
      <c r="E910" s="1" t="s">
        <v>653</v>
      </c>
      <c r="F910" s="1"/>
      <c r="G910" s="1"/>
      <c r="J910" s="1" t="s">
        <v>9753</v>
      </c>
      <c r="K910" s="2"/>
      <c r="L910" s="3" t="s">
        <v>9227</v>
      </c>
      <c r="P910" s="7" t="s">
        <v>1241</v>
      </c>
      <c r="AU910" s="15"/>
      <c r="AV910" s="1" t="s">
        <v>1502</v>
      </c>
      <c r="BG910" s="7" t="s">
        <v>1503</v>
      </c>
      <c r="BH910" s="1" t="s">
        <v>1947</v>
      </c>
      <c r="BI910" s="2" t="s">
        <v>4951</v>
      </c>
      <c r="BJ910" s="1" t="s">
        <v>1959</v>
      </c>
      <c r="BK910" s="1" t="s">
        <v>4952</v>
      </c>
      <c r="BL910" s="1" t="s">
        <v>1875</v>
      </c>
      <c r="BM910" s="2" t="s">
        <v>4953</v>
      </c>
    </row>
    <row r="911" spans="1:69" ht="162" x14ac:dyDescent="0.45">
      <c r="A911" s="5">
        <v>910</v>
      </c>
      <c r="B911" s="8" t="s">
        <v>654</v>
      </c>
      <c r="C911" s="6" t="s">
        <v>1816</v>
      </c>
      <c r="D911" s="7" t="s">
        <v>9752</v>
      </c>
      <c r="E911" s="1" t="s">
        <v>4500</v>
      </c>
      <c r="F911" s="1" t="s">
        <v>4954</v>
      </c>
      <c r="G911" s="1"/>
      <c r="J911" s="1" t="s">
        <v>9753</v>
      </c>
      <c r="K911" s="2" t="s">
        <v>9228</v>
      </c>
      <c r="L911" s="3" t="s">
        <v>9229</v>
      </c>
      <c r="M911" s="1" t="s">
        <v>12199</v>
      </c>
      <c r="P911" s="7" t="s">
        <v>1241</v>
      </c>
      <c r="Q911" s="13"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R911" s="13"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S911" s="13"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T911" s="13" t="str">
        <f>INDEX($L:$L, MATCH("establish", $B:$B, 0))</f>
        <v>&lt;span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v>
      </c>
      <c r="U911" s="13" t="str">
        <f>INDEX($L:$L, MATCH("static", $B:$B, 0))</f>
        <v>&lt;span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v>
      </c>
      <c r="V911" s="13"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W911" s="13"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X911" s="13"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Y911" s="13"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Z911" s="13"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AA911" s="13"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AB911" s="13" t="str">
        <f>INDEX($L:$L, MATCH("steady", $B:$B, 0))</f>
        <v>&lt;span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v>
      </c>
      <c r="AC911" s="13" t="str">
        <f>INDEX($L:$L, MATCH("restore", $B:$B, 0))</f>
        <v>&lt;span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v>
      </c>
      <c r="AD911" s="13"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AE911" s="13"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F911" s="13" t="str">
        <f>INDEX($L:$L, MATCH("constitute", $B:$B, 0))</f>
        <v>&lt;span class="w"&gt;&lt;b&gt;【1111.constitute：〜を構成する】&lt;/b&gt;&lt;/span&gt;
&lt;span class="ml"&gt;ラテン語に由来する語で、以下の2つの要素から成る。
&lt;span class="spacer"&gt;&lt;/span&gt;com（強意）
statuere（立たせる）
&lt;span class="spacer"&gt;&lt;/span&gt;この語の核は「何かをしっかり立たせる」。
S constitute Aは、SがAをしっかり立たせていることを表す。つまりSがあってAが成立するので「SはAを構成する」という意味になる。&lt;/span&gt;</v>
      </c>
      <c r="AG911" s="13" t="str">
        <f>INDEX($L:$L, MATCH("institution", $B:$B, 0))</f>
        <v>&lt;span class="w"&gt;&lt;b&gt;【355.institution：機関, 制度】&lt;/b&gt;&lt;/span&gt;
&lt;span class="ml"&gt;ラテン語に由来する語で、以下の3つの要素から成る。
&lt;span class="spacer"&gt;&lt;/span&gt;in（中に）
statuere（立てる, 設置する）
io（名詞化）
&lt;span class="spacer"&gt;&lt;/span&gt;このまま日本語にすると「中に立てること, 中に設置すること」となる。何かを中に立てて定着させるイメージから、社会の中に作られた仕組み＝「制度」という意味になる。またそういった仕組みを持つ組織＝「機関」という意味にもなる。
&lt;div class="sample_image institution"&gt;&lt;/div&gt;&lt;/span&gt;</v>
      </c>
      <c r="AV911" s="1" t="s">
        <v>1502</v>
      </c>
      <c r="BG911" s="7" t="s">
        <v>1503</v>
      </c>
      <c r="BH911" s="1" t="s">
        <v>1976</v>
      </c>
      <c r="BI911" s="1" t="s">
        <v>3795</v>
      </c>
      <c r="BJ911" s="1" t="s">
        <v>1947</v>
      </c>
      <c r="BK911" s="2" t="s">
        <v>4955</v>
      </c>
      <c r="BL911" s="1" t="s">
        <v>1875</v>
      </c>
      <c r="BM911" s="2" t="s">
        <v>4956</v>
      </c>
      <c r="BN911" s="1" t="s">
        <v>1877</v>
      </c>
      <c r="BO911" s="2" t="s">
        <v>4957</v>
      </c>
    </row>
    <row r="912" spans="1:69" ht="126" x14ac:dyDescent="0.45">
      <c r="A912" s="5">
        <v>911</v>
      </c>
      <c r="B912" s="8" t="s">
        <v>655</v>
      </c>
      <c r="C912" s="6" t="s">
        <v>1816</v>
      </c>
      <c r="D912" s="7" t="s">
        <v>9752</v>
      </c>
      <c r="E912" s="1" t="s">
        <v>31</v>
      </c>
      <c r="F912" s="1" t="s">
        <v>1706</v>
      </c>
      <c r="G912" s="1"/>
      <c r="J912" s="1" t="s">
        <v>9753</v>
      </c>
      <c r="K912" s="2"/>
      <c r="L912" s="3" t="s">
        <v>9230</v>
      </c>
      <c r="P912" s="7" t="s">
        <v>1241</v>
      </c>
      <c r="Q912" s="13" t="str">
        <f>INDEX($L:$L, MATCH("announce", $B:$B, 0))</f>
        <v>&lt;span class="w"&gt;&lt;b&gt;【510.announce：〜を発表（公表）する, 〜を知らせる】&lt;/b&gt;&lt;/span&gt;
&lt;span class="ml"&gt;ラテン語に由来する語で、以下の2つの要素から成る。
&lt;span class="spacer"&gt;&lt;/span&gt;ad（〜へ）
nuntius（使者, 伝令）から派生したnuntiare（伝える）
&lt;span class="spacer"&gt;&lt;/span&gt;このまま日本語にすると「（人々）へ伝える」となる。もともとは、使者が知らせを伝えるイメージで、そこから多くの人に対して伝える＝「発表する, 公表する, 知らせる」という意味になった。&lt;/span&gt;</v>
      </c>
      <c r="AU912" s="15"/>
      <c r="AV912" s="1" t="s">
        <v>1502</v>
      </c>
      <c r="BG912" s="7" t="s">
        <v>1503</v>
      </c>
      <c r="BH912" s="1" t="s">
        <v>1947</v>
      </c>
      <c r="BI912" s="2" t="s">
        <v>4958</v>
      </c>
      <c r="BJ912" s="1" t="s">
        <v>2036</v>
      </c>
      <c r="BK912" s="2" t="s">
        <v>4959</v>
      </c>
      <c r="BL912" s="1" t="s">
        <v>1959</v>
      </c>
      <c r="BM912" s="2" t="s">
        <v>4960</v>
      </c>
      <c r="BN912" s="1" t="s">
        <v>1875</v>
      </c>
      <c r="BO912" s="2" t="s">
        <v>4961</v>
      </c>
    </row>
    <row r="913" spans="1:69" ht="90" x14ac:dyDescent="0.45">
      <c r="A913" s="5">
        <v>912</v>
      </c>
      <c r="B913" s="6" t="s">
        <v>656</v>
      </c>
      <c r="C913" s="6" t="s">
        <v>1816</v>
      </c>
      <c r="D913" s="7" t="s">
        <v>9752</v>
      </c>
      <c r="E913" s="1" t="s">
        <v>656</v>
      </c>
      <c r="F913" s="1"/>
      <c r="G913" s="1"/>
      <c r="J913" s="1" t="s">
        <v>9753</v>
      </c>
      <c r="K913" s="1" t="s">
        <v>4962</v>
      </c>
      <c r="L913" s="2" t="s">
        <v>9231</v>
      </c>
      <c r="P913" s="7" t="s">
        <v>1241</v>
      </c>
      <c r="AU913" s="15"/>
      <c r="AV913" s="1" t="s">
        <v>1502</v>
      </c>
      <c r="BG913" s="7" t="s">
        <v>1503</v>
      </c>
      <c r="BH913" s="1" t="s">
        <v>1872</v>
      </c>
      <c r="BI913" s="2" t="s">
        <v>4963</v>
      </c>
      <c r="BJ913" s="1" t="s">
        <v>1875</v>
      </c>
      <c r="BK913" s="2" t="s">
        <v>4964</v>
      </c>
      <c r="BL913" s="1" t="s">
        <v>3496</v>
      </c>
      <c r="BM913" s="2" t="s">
        <v>4965</v>
      </c>
    </row>
    <row r="914" spans="1:69" ht="126" x14ac:dyDescent="0.45">
      <c r="A914" s="5">
        <v>913</v>
      </c>
      <c r="B914" s="6" t="s">
        <v>657</v>
      </c>
      <c r="C914" s="6" t="s">
        <v>1816</v>
      </c>
      <c r="D914" s="7" t="s">
        <v>9752</v>
      </c>
      <c r="E914" s="1" t="s">
        <v>1251</v>
      </c>
      <c r="F914" s="1" t="s">
        <v>53</v>
      </c>
      <c r="G914" s="1"/>
      <c r="J914" s="1" t="s">
        <v>9753</v>
      </c>
      <c r="K914" s="2"/>
      <c r="L914" s="2" t="s">
        <v>9232</v>
      </c>
      <c r="P914" s="7" t="s">
        <v>1241</v>
      </c>
      <c r="Q914" s="13"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R914" s="13"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S914" s="13"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T914" s="13" t="str">
        <f>INDEX($L:$L, MATCH("establish", $B:$B, 0))</f>
        <v>&lt;span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v>
      </c>
      <c r="U914" s="13" t="str">
        <f>INDEX($L:$L, MATCH("static", $B:$B, 0))</f>
        <v>&lt;span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v>
      </c>
      <c r="V914" s="13"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W914" s="13"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X914" s="13"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Y914" s="13"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Z914" s="13"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AA914" s="13"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AB914" s="13" t="str">
        <f>INDEX($L:$L, MATCH("steady", $B:$B, 0))</f>
        <v>&lt;span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v>
      </c>
      <c r="AC914"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D914" s="13"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AE914" s="13"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V914" s="1" t="s">
        <v>1502</v>
      </c>
      <c r="BG914" s="7" t="s">
        <v>1503</v>
      </c>
      <c r="BH914" s="1" t="s">
        <v>1976</v>
      </c>
      <c r="BI914" s="1" t="s">
        <v>3795</v>
      </c>
      <c r="BJ914" s="1" t="s">
        <v>1947</v>
      </c>
      <c r="BK914" s="2" t="s">
        <v>4966</v>
      </c>
      <c r="BL914" s="1" t="s">
        <v>1959</v>
      </c>
      <c r="BM914" s="2" t="s">
        <v>4967</v>
      </c>
      <c r="BN914" s="1" t="s">
        <v>1875</v>
      </c>
      <c r="BO914" s="2" t="s">
        <v>4968</v>
      </c>
    </row>
    <row r="915" spans="1:69" ht="108" x14ac:dyDescent="0.45">
      <c r="A915" s="5">
        <v>914</v>
      </c>
      <c r="B915" s="6" t="s">
        <v>658</v>
      </c>
      <c r="C915" s="6" t="s">
        <v>1816</v>
      </c>
      <c r="D915" s="7" t="s">
        <v>9752</v>
      </c>
      <c r="E915" s="1" t="s">
        <v>658</v>
      </c>
      <c r="F915" s="1"/>
      <c r="G915" s="1"/>
      <c r="J915" s="1" t="s">
        <v>9753</v>
      </c>
      <c r="K915" s="1" t="s">
        <v>4969</v>
      </c>
      <c r="L915" s="2" t="s">
        <v>9233</v>
      </c>
      <c r="P915" s="7" t="s">
        <v>1241</v>
      </c>
      <c r="AV915" s="1" t="s">
        <v>1502</v>
      </c>
      <c r="BG915" s="7" t="s">
        <v>1503</v>
      </c>
      <c r="BH915" s="1" t="s">
        <v>4970</v>
      </c>
      <c r="BI915" s="1" t="s">
        <v>4971</v>
      </c>
      <c r="BJ915" s="1" t="s">
        <v>1877</v>
      </c>
      <c r="BK915" s="2" t="s">
        <v>4972</v>
      </c>
      <c r="BL915" s="1" t="s">
        <v>3496</v>
      </c>
      <c r="BM915" s="2" t="s">
        <v>4973</v>
      </c>
    </row>
    <row r="916" spans="1:69" ht="72" x14ac:dyDescent="0.45">
      <c r="A916" s="5">
        <v>915</v>
      </c>
      <c r="B916" s="6" t="s">
        <v>659</v>
      </c>
      <c r="C916" s="6" t="s">
        <v>1816</v>
      </c>
      <c r="D916" s="7" t="s">
        <v>9752</v>
      </c>
      <c r="E916" s="1" t="s">
        <v>659</v>
      </c>
      <c r="F916" s="1"/>
      <c r="G916" s="1"/>
      <c r="J916" s="1" t="s">
        <v>9753</v>
      </c>
      <c r="K916" s="1" t="s">
        <v>9234</v>
      </c>
      <c r="L916" s="2" t="s">
        <v>9235</v>
      </c>
      <c r="P916" s="7" t="s">
        <v>1241</v>
      </c>
      <c r="Q916" s="13" t="str">
        <f>INDEX($L:$L, MATCH("grasp", $B:$B, 0))</f>
        <v>&lt;span class="w"&gt;&lt;b&gt;【1002.grasp：〜を把握する, 〜を理解する, 〜をしっかり握る】&lt;/b&gt;&lt;/span&gt;
&lt;span class="ml"&gt;印欧祖語*ghrebh-（つかむ）に由来する。
&lt;span class="spacer"&gt;&lt;/span&gt;gripやgrabのgrと同じで、この語の核は「つかむ」。物理的に「しっかり握る」という意味から、比喩的に意味や考えなどをつかむ＝「把握する, 理解する」という意味にもなる。&lt;/span&gt;</v>
      </c>
      <c r="R916" s="13" t="str">
        <f>INDEX($L:$L, MATCH("grip", $B:$B, 0))</f>
        <v>&lt;span class="w"&gt;&lt;b&gt;【1113.grip：〜を握る】&lt;/b&gt;&lt;/span&gt;
&lt;span class="ml"&gt;古英語grippan（つかむ, 握る）にさかのぼる。
&lt;span class="spacer"&gt;&lt;/span&gt;古英語から意味の変化はない。&lt;/span&gt;</v>
      </c>
      <c r="AU916" s="15"/>
      <c r="AV916" s="1" t="s">
        <v>1502</v>
      </c>
      <c r="BG916" s="7" t="s">
        <v>1503</v>
      </c>
      <c r="BH916" s="1" t="s">
        <v>1976</v>
      </c>
      <c r="BI916" s="2" t="s">
        <v>9236</v>
      </c>
      <c r="BJ916" s="1" t="s">
        <v>4974</v>
      </c>
      <c r="BK916" s="1" t="s">
        <v>4975</v>
      </c>
      <c r="BL916" s="1" t="s">
        <v>1877</v>
      </c>
      <c r="BM916" s="2" t="s">
        <v>4976</v>
      </c>
    </row>
    <row r="917" spans="1:69" ht="144" x14ac:dyDescent="0.45">
      <c r="A917" s="5">
        <v>916</v>
      </c>
      <c r="B917" s="8" t="s">
        <v>660</v>
      </c>
      <c r="C917" s="6" t="s">
        <v>1816</v>
      </c>
      <c r="D917" s="7" t="s">
        <v>9752</v>
      </c>
      <c r="E917" s="1" t="s">
        <v>1251</v>
      </c>
      <c r="F917" s="1" t="s">
        <v>1332</v>
      </c>
      <c r="G917" s="1"/>
      <c r="J917" s="1" t="s">
        <v>9753</v>
      </c>
      <c r="K917" s="2"/>
      <c r="L917" s="3" t="s">
        <v>9237</v>
      </c>
      <c r="M917" s="1" t="s">
        <v>12157</v>
      </c>
      <c r="P917" s="7" t="s">
        <v>1241</v>
      </c>
      <c r="Q917" s="13" t="str">
        <f>INDEX($L:$L, MATCH("maintain", $B:$B, 0))</f>
        <v>&lt;span class="w"&gt;&lt;b&gt;【206.maintain：～を維持する, ～を主張する】&lt;/b&gt;&lt;/span&gt;
&lt;span class="ml"&gt;ラテン語に由来する語で、以下の2つの要素から成る。
&lt;span class="spacer"&gt;&lt;/span&gt;manus（手）
tenere（保つ, 握る）
&lt;span class="spacer"&gt;&lt;/span&gt;このまま日本語にすると「手で保つ」となる。手を使って何かを支えるイメージから、状態が続くように支える＝「維持する」という意味になる。手ではなく発言で誰かを支えるとなれば「主張する」という意味になる。&lt;/span&gt;</v>
      </c>
      <c r="R917" s="13" t="str">
        <f>INDEX($L:$L, MATCH("obtain", $B:$B, 0))</f>
        <v>&lt;span class="w"&gt;&lt;b&gt;【507.obtain：〜を得る】&lt;/b&gt;&lt;/span&gt;
&lt;span class="ml"&gt;ラテン語に由来する語で、以下の2つの要素から成る。
&lt;span class="spacer"&gt;&lt;/span&gt;ob（強意）
tenere（保つ）
&lt;span class="spacer"&gt;&lt;/span&gt;この語の核は「しっかり保つ」。ここから、何かをしっかりつかみとってそれを離さない、つまり努力して何かを「得る」という意味になる。
&lt;div class="sample_image obtain"&gt;&lt;/div&gt;&lt;/span&gt;</v>
      </c>
      <c r="S917" s="13" t="str">
        <f>INDEX($L:$L, MATCH("sustain", $B:$B, 0))</f>
        <v>&lt;span class="w"&gt;&lt;b&gt;【738.sustain：〜を持続させる】&lt;/b&gt;&lt;/span&gt;
&lt;span class="ml"&gt;ラテン語に由来する語で、以下の2つの要素から成る。
&lt;span class="spacer"&gt;&lt;/span&gt;sub（下から）
tenere（保つ, 保持する）
&lt;span class="spacer"&gt;&lt;/span&gt;このまま日本語にすると「下から保つ」となる。下から支えるイメージから、何かを「持続させる」という意味になる。
&lt;div class="sample_image sustain"&gt;&lt;/div&gt;&lt;/span&gt;</v>
      </c>
      <c r="T917" s="13" t="str">
        <f>INDEX($L:$L, MATCH("entertain", $B:$B, 0))</f>
        <v>&lt;span class="w"&gt;&lt;b&gt;【919.entertain：〜を楽しませる, 〜をもてなす】&lt;/b&gt;&lt;/span&gt;
&lt;span class="ml"&gt;古フランス語に由来する語で、以下の2つの要素から成る。
&lt;span class="spacer"&gt;&lt;/span&gt;entre（間に）
tenir（保つ）
&lt;span class="spacer"&gt;&lt;/span&gt;この語の核は「自分と相手の間にある関係や状態を保つ」。良好な関係に保つために、客人を「もてなす」や相手を「楽しませる」という意味になる。&lt;/span&gt;</v>
      </c>
      <c r="U917" s="13" t="str">
        <f>INDEX($L:$L, MATCH("contain", $B:$B, 0))</f>
        <v>&lt;span class="w"&gt;&lt;b&gt;【130.contain：〜を含む, 感情などを抑える】&lt;/b&gt;&lt;/span&gt;
&lt;span class="ml"&gt;ラテン語に由来する語で、以下の2つの要素から成る。
&lt;span class="spacer"&gt;&lt;/span&gt;com（共に）
tenere（保持する）
&lt;span class="spacer"&gt;&lt;/span&gt;このまま日本語にすると「共に保持する」となる。ある状態や物を一緒にまとめて保っておくイメージ。ここから感情を自分の内側にまとめて保つ＝「感情などを抑える」、物を何かの中にまとめて保つ＝「含む」という意味になる。&lt;/span&gt;</v>
      </c>
      <c r="V917" s="13" t="str">
        <f>INDEX($L:$L, MATCH("content", $B:$B, 0))</f>
        <v>&lt;span class="w"&gt;&lt;b&gt;【249.content：内容. 中身, コンテンツ】&lt;/b&gt;&lt;/span&gt;
&lt;span class="ml"&gt;ラテン語に由来する語で、以下の2つの要素から成る。
&lt;span class="spacer"&gt;&lt;/span&gt;com（共に）
tenere（保つ, 握る）
&lt;span class="spacer"&gt;&lt;/span&gt;このまま日本語にすると「共に保つ」となる。内側にまとめて保たれているものから「内容, 中身, コンテンツ」という意味になる。
&lt;span class="spacer"&gt;&lt;/span&gt;contain（含む）の名詞と考えればよい。&lt;/span&gt;</v>
      </c>
      <c r="AU917" s="15"/>
      <c r="AV917" s="1" t="s">
        <v>1502</v>
      </c>
      <c r="BG917" s="7" t="s">
        <v>1503</v>
      </c>
      <c r="BH917" s="1" t="s">
        <v>1947</v>
      </c>
      <c r="BI917" s="2" t="s">
        <v>4977</v>
      </c>
      <c r="BJ917" s="1" t="s">
        <v>1959</v>
      </c>
      <c r="BK917" s="2" t="s">
        <v>4978</v>
      </c>
      <c r="BL917" s="1" t="s">
        <v>1875</v>
      </c>
      <c r="BM917" s="2" t="s">
        <v>4979</v>
      </c>
      <c r="BN917" s="1" t="s">
        <v>1877</v>
      </c>
      <c r="BO917" s="2" t="s">
        <v>4980</v>
      </c>
    </row>
    <row r="918" spans="1:69" ht="126" x14ac:dyDescent="0.45">
      <c r="A918" s="5">
        <v>917</v>
      </c>
      <c r="B918" s="6" t="s">
        <v>661</v>
      </c>
      <c r="C918" s="6" t="s">
        <v>1816</v>
      </c>
      <c r="D918" s="7" t="s">
        <v>9752</v>
      </c>
      <c r="E918" s="1" t="s">
        <v>1251</v>
      </c>
      <c r="F918" s="1" t="s">
        <v>4981</v>
      </c>
      <c r="G918" s="1"/>
      <c r="J918" s="1" t="s">
        <v>9753</v>
      </c>
      <c r="L918" s="2" t="s">
        <v>9238</v>
      </c>
      <c r="M918" s="1" t="s">
        <v>12113</v>
      </c>
      <c r="P918" s="7" t="s">
        <v>1241</v>
      </c>
      <c r="Q918" s="13" t="str">
        <f>INDEX($L:$L, MATCH("produce", $B:$B, 0))</f>
        <v>&lt;span class="w"&gt;&lt;b&gt;【10.produce：～を生産する】&lt;/b&gt;&lt;/span&gt;
&lt;span class="ml"&gt;ラテン語に由来する語で、以下の2つの要素からなる。
&lt;span class="spacer"&gt;&lt;/span&gt;pro（前に）
decere（導く）
&lt;span class="spacer"&gt;&lt;/span&gt;このまま日本語にすると「前に導く」となる。目の前にないものを相手の前に導き出すというイメージから「何かを生産する」という意味になる。&lt;/span&gt;</v>
      </c>
      <c r="R918" s="13" t="str">
        <f>INDEX($L:$L, MATCH("reduce", $B:$B, 0))</f>
        <v>&lt;span class="w"&gt;&lt;b&gt;【20.reduce：～を減らす】&lt;/b&gt;&lt;/span&gt;
&lt;span class="ml"&gt;ラテン語に由来する語で、以下の2つの要素から成る。
&lt;span class="spacer"&gt;&lt;/span&gt;re（元へ, 後ろへ）
ducere（導く）
&lt;span class="spacer"&gt;&lt;/span&gt;このまま日本語にすると「後ろに導く」となる。現状から後ろに下がる、つまりマイナスになるイメージから「減らす」という意味になる。&lt;/span&gt;</v>
      </c>
      <c r="S918" s="13" t="str">
        <f>INDEX($L:$L, MATCH("induce", $B:$B, 0))</f>
        <v>&lt;span class="w"&gt;&lt;b&gt;【1405.induce：〜を引き起こす, 〜を説得する】&lt;/b&gt;&lt;/span&gt;
&lt;span class="ml"&gt;ラテン語に由来する語で、以下の2つの要素から成る。
&lt;span class="spacer"&gt;&lt;/span&gt;in（中に）
ducere（導く）
&lt;span class="spacer"&gt;&lt;/span&gt;このまま日本語にすると「中に導く」となる。特定の考えや行動の中へと人を導くことから「説得する」という意味に、特定の状態へと事態を導くことから「引き起こす」という意味になる。
&lt;div class="sample_image induce"&gt;&lt;/div&gt;&lt;/span&gt;</v>
      </c>
      <c r="T918" s="13" t="str">
        <f>INDEX($L:$L, MATCH("educate", $B:$B, 0))</f>
        <v>&lt;span class="w"&gt;&lt;b&gt;【403.educate：〜を教育する】&lt;/b&gt;&lt;/span&gt;
&lt;span class="ml"&gt;ラテン語に由来する語で、以下の2つの要素から成る。
&lt;span class="spacer"&gt;&lt;/span&gt;ex（外に）
ducere（導く）
&lt;span class="spacer"&gt;&lt;/span&gt;このまま日本語にすると「外へ導く」となる。これはもともと内側にあるものを外へ引き出すイメージから、知能や能力を引き出して成長させることを表し、「教育する」という意味になる。&lt;/span&gt;</v>
      </c>
      <c r="U918" s="13" t="str">
        <f>INDEX($L:$L, MATCH("conduct", $B:$B, 0))</f>
        <v>&lt;span class="w"&gt;&lt;b&gt;【210.conduct：実施する, 導く】&lt;/b&gt;&lt;/span&gt;
&lt;span class="ml"&gt;ラテン語に由来する語で、以下の2つの要素から成る。
&lt;span class="spacer"&gt;&lt;/span&gt;com（共に）
ducere（導く）
&lt;span class="spacer"&gt;&lt;/span&gt;このまま日本語にすると「共に導く」となる。ある物事が行われるように導いていくイメージから「実施する, 導く」という意味になる。
&lt;div class="sample_image conduct"&gt;&lt;/div&gt;&lt;/span&gt;</v>
      </c>
      <c r="AU918" s="15"/>
      <c r="AV918" s="1" t="s">
        <v>1502</v>
      </c>
      <c r="BG918" s="7" t="s">
        <v>1503</v>
      </c>
      <c r="BH918" s="1" t="s">
        <v>1877</v>
      </c>
      <c r="BI918" s="2" t="s">
        <v>4982</v>
      </c>
    </row>
    <row r="919" spans="1:69" ht="72" x14ac:dyDescent="0.45">
      <c r="A919" s="5">
        <v>918</v>
      </c>
      <c r="B919" s="6" t="s">
        <v>662</v>
      </c>
      <c r="C919" s="6" t="s">
        <v>1816</v>
      </c>
      <c r="D919" s="7" t="s">
        <v>9752</v>
      </c>
      <c r="E919" s="1" t="s">
        <v>662</v>
      </c>
      <c r="F919" s="1"/>
      <c r="G919" s="1"/>
      <c r="J919" s="1" t="s">
        <v>9753</v>
      </c>
      <c r="K919" s="1" t="s">
        <v>4983</v>
      </c>
      <c r="L919" s="2" t="s">
        <v>9239</v>
      </c>
      <c r="P919" s="7" t="s">
        <v>1241</v>
      </c>
      <c r="AU919" s="15"/>
      <c r="AV919" s="1" t="s">
        <v>1502</v>
      </c>
      <c r="BG919" s="7" t="s">
        <v>1503</v>
      </c>
      <c r="BH919" s="1" t="s">
        <v>1875</v>
      </c>
      <c r="BI919" s="2" t="s">
        <v>4984</v>
      </c>
    </row>
    <row r="920" spans="1:69" ht="126" x14ac:dyDescent="0.45">
      <c r="A920" s="5">
        <v>919</v>
      </c>
      <c r="B920" s="8" t="s">
        <v>663</v>
      </c>
      <c r="C920" s="6" t="s">
        <v>1816</v>
      </c>
      <c r="D920" s="7" t="s">
        <v>9752</v>
      </c>
      <c r="E920" s="1" t="s">
        <v>4985</v>
      </c>
      <c r="F920" s="1" t="s">
        <v>1332</v>
      </c>
      <c r="G920" s="1"/>
      <c r="J920" s="1" t="s">
        <v>9753</v>
      </c>
      <c r="K920" s="1" t="s">
        <v>4986</v>
      </c>
      <c r="L920" s="2" t="s">
        <v>9240</v>
      </c>
      <c r="M920" s="1" t="s">
        <v>12157</v>
      </c>
      <c r="P920" s="7" t="s">
        <v>1241</v>
      </c>
      <c r="Q920" s="13" t="str">
        <f>INDEX($L:$L, MATCH("maintain", $B:$B, 0))</f>
        <v>&lt;span class="w"&gt;&lt;b&gt;【206.maintain：～を維持する, ～を主張する】&lt;/b&gt;&lt;/span&gt;
&lt;span class="ml"&gt;ラテン語に由来する語で、以下の2つの要素から成る。
&lt;span class="spacer"&gt;&lt;/span&gt;manus（手）
tenere（保つ, 握る）
&lt;span class="spacer"&gt;&lt;/span&gt;このまま日本語にすると「手で保つ」となる。手を使って何かを支えるイメージから、状態が続くように支える＝「維持する」という意味になる。手ではなく発言で誰かを支えるとなれば「主張する」という意味になる。&lt;/span&gt;</v>
      </c>
      <c r="R920" s="13" t="str">
        <f>INDEX($L:$L, MATCH("obtain", $B:$B, 0))</f>
        <v>&lt;span class="w"&gt;&lt;b&gt;【507.obtain：〜を得る】&lt;/b&gt;&lt;/span&gt;
&lt;span class="ml"&gt;ラテン語に由来する語で、以下の2つの要素から成る。
&lt;span class="spacer"&gt;&lt;/span&gt;ob（強意）
tenere（保つ）
&lt;span class="spacer"&gt;&lt;/span&gt;この語の核は「しっかり保つ」。ここから、何かをしっかりつかみとってそれを離さない、つまり努力して何かを「得る」という意味になる。
&lt;div class="sample_image obtain"&gt;&lt;/div&gt;&lt;/span&gt;</v>
      </c>
      <c r="S920" s="13" t="str">
        <f>INDEX($L:$L, MATCH("sustain", $B:$B, 0))</f>
        <v>&lt;span class="w"&gt;&lt;b&gt;【738.sustain：〜を持続させる】&lt;/b&gt;&lt;/span&gt;
&lt;span class="ml"&gt;ラテン語に由来する語で、以下の2つの要素から成る。
&lt;span class="spacer"&gt;&lt;/span&gt;sub（下から）
tenere（保つ, 保持する）
&lt;span class="spacer"&gt;&lt;/span&gt;このまま日本語にすると「下から保つ」となる。下から支えるイメージから、何かを「持続させる」という意味になる。
&lt;div class="sample_image sustain"&gt;&lt;/div&gt;&lt;/span&gt;</v>
      </c>
      <c r="T920" s="13" t="str">
        <f>INDEX($L:$L, MATCH("retain", $B:$B, 0))</f>
        <v>&lt;span class="w"&gt;&lt;b&gt;【916.retain：〜を保持する】&lt;/b&gt;&lt;/span&gt;
&lt;span class="ml"&gt;ラテン語に由来する語で、以下の2つの要素から成る。
&lt;span class="spacer"&gt;&lt;/span&gt;re（後ろに）
tenere（つかむ）
&lt;span class="spacer"&gt;&lt;/span&gt;このまま日本語にすると「つかんで後ろに」となる。何かを後ろ方向につかんで引き止めるイメージから、なくならないように留めておく、つまり何かを「保持する」という意味になる。
&lt;div class="sample_image retain"&gt;&lt;/div&gt;&lt;/span&gt;</v>
      </c>
      <c r="U920" s="13" t="str">
        <f>INDEX($L:$L, MATCH("contain", $B:$B, 0))</f>
        <v>&lt;span class="w"&gt;&lt;b&gt;【130.contain：〜を含む, 感情などを抑える】&lt;/b&gt;&lt;/span&gt;
&lt;span class="ml"&gt;ラテン語に由来する語で、以下の2つの要素から成る。
&lt;span class="spacer"&gt;&lt;/span&gt;com（共に）
tenere（保持する）
&lt;span class="spacer"&gt;&lt;/span&gt;このまま日本語にすると「共に保持する」となる。ある状態や物を一緒にまとめて保っておくイメージ。ここから感情を自分の内側にまとめて保つ＝「感情などを抑える」、物を何かの中にまとめて保つ＝「含む」という意味になる。&lt;/span&gt;</v>
      </c>
      <c r="V920" s="13" t="str">
        <f>INDEX($L:$L, MATCH("content", $B:$B, 0))</f>
        <v>&lt;span class="w"&gt;&lt;b&gt;【249.content：内容. 中身, コンテンツ】&lt;/b&gt;&lt;/span&gt;
&lt;span class="ml"&gt;ラテン語に由来する語で、以下の2つの要素から成る。
&lt;span class="spacer"&gt;&lt;/span&gt;com（共に）
tenere（保つ, 握る）
&lt;span class="spacer"&gt;&lt;/span&gt;このまま日本語にすると「共に保つ」となる。内側にまとめて保たれているものから「内容, 中身, コンテンツ」という意味になる。
&lt;span class="spacer"&gt;&lt;/span&gt;contain（含む）の名詞と考えればよい。&lt;/span&gt;</v>
      </c>
      <c r="AU920" s="15"/>
      <c r="AV920" s="1" t="s">
        <v>1502</v>
      </c>
      <c r="BG920" s="7" t="s">
        <v>1503</v>
      </c>
      <c r="BH920" s="1" t="s">
        <v>1947</v>
      </c>
      <c r="BI920" s="2" t="s">
        <v>4987</v>
      </c>
      <c r="BJ920" s="1" t="s">
        <v>1959</v>
      </c>
      <c r="BK920" s="2" t="s">
        <v>4988</v>
      </c>
      <c r="BL920" s="1" t="s">
        <v>1875</v>
      </c>
      <c r="BM920" s="2" t="s">
        <v>4989</v>
      </c>
      <c r="BN920" s="1" t="s">
        <v>1877</v>
      </c>
      <c r="BO920" s="2" t="s">
        <v>4990</v>
      </c>
    </row>
    <row r="921" spans="1:69" ht="234" x14ac:dyDescent="0.45">
      <c r="A921" s="5">
        <v>920</v>
      </c>
      <c r="B921" s="6" t="s">
        <v>664</v>
      </c>
      <c r="C921" s="6" t="s">
        <v>1816</v>
      </c>
      <c r="D921" s="7" t="s">
        <v>9752</v>
      </c>
      <c r="E921" s="1" t="s">
        <v>1730</v>
      </c>
      <c r="F921" s="1" t="s">
        <v>4991</v>
      </c>
      <c r="G921" s="1"/>
      <c r="J921" s="1" t="s">
        <v>9753</v>
      </c>
      <c r="L921" s="3" t="s">
        <v>9241</v>
      </c>
      <c r="P921" s="7" t="s">
        <v>1241</v>
      </c>
      <c r="AV921" s="1" t="s">
        <v>1502</v>
      </c>
      <c r="BG921" s="7" t="s">
        <v>1503</v>
      </c>
      <c r="BH921" s="1" t="s">
        <v>1947</v>
      </c>
      <c r="BI921" s="1" t="s">
        <v>4992</v>
      </c>
      <c r="BJ921" s="1" t="s">
        <v>1959</v>
      </c>
      <c r="BK921" s="2" t="s">
        <v>4993</v>
      </c>
      <c r="BL921" s="1" t="s">
        <v>1875</v>
      </c>
      <c r="BM921" s="2" t="s">
        <v>4994</v>
      </c>
      <c r="BN921" s="1" t="s">
        <v>1877</v>
      </c>
      <c r="BO921" s="2" t="s">
        <v>4995</v>
      </c>
    </row>
    <row r="922" spans="1:69" ht="126" x14ac:dyDescent="0.45">
      <c r="A922" s="5">
        <v>921</v>
      </c>
      <c r="B922" s="8" t="s">
        <v>665</v>
      </c>
      <c r="C922" s="6" t="s">
        <v>1816</v>
      </c>
      <c r="D922" s="7" t="s">
        <v>9752</v>
      </c>
      <c r="E922" s="1" t="s">
        <v>665</v>
      </c>
      <c r="F922" s="1"/>
      <c r="G922" s="1"/>
      <c r="J922" s="1" t="s">
        <v>9753</v>
      </c>
      <c r="K922" s="1" t="s">
        <v>4996</v>
      </c>
      <c r="L922" s="2" t="s">
        <v>9242</v>
      </c>
      <c r="M922" s="1" t="s">
        <v>12142</v>
      </c>
      <c r="P922" s="7" t="s">
        <v>1241</v>
      </c>
      <c r="Q922" s="13" t="str">
        <f>INDEX($L:$L, MATCH("culture", $B:$B, 0))</f>
        <v>&lt;span class="w"&gt;&lt;b&gt;【78.culture：文化, 教養, 耕作, 培養】&lt;/b&gt;&lt;/span&gt;
&lt;span class="ml"&gt;ラテン語に由来する語で、以下の2つの要素から成る。
&lt;span class="spacer"&gt;&lt;/span&gt;colere（耕す）
ura（名詞化）
&lt;span class="spacer"&gt;&lt;/span&gt;このまま日本語にすると「耕すこと」となる。もともとは土地を耕し、時間をかけて何かを育てることを意味した。ここから「耕作, 培養」といった意味につながる。
&lt;span class="spacer"&gt;&lt;/span&gt;さらにそこから発展して、作物に限らず、時間をかけて作られるものを意味するようになる。ある民族や集団が長い時間をかけて作り上げる「文化」や、人々が長い時間をかけて蓄積し、作り上げていく学問や文明などの「教養」という意味になる。&lt;/span&gt;</v>
      </c>
      <c r="R922" s="13" t="str">
        <f>INDEX($L:$L, MATCH("agriculture", $B:$B, 0))</f>
        <v>&lt;span class="w"&gt;&lt;b&gt;【375.agriculture：農業】&lt;/b&gt;&lt;/span&gt;
&lt;span class="ml"&gt;ラテン語に由来する語で、以下の2つの要素から成る。
&lt;span class="spacer"&gt;&lt;/span&gt;ager（畑）
cultura（耕すこと, 耕作）
&lt;span class="spacer"&gt;&lt;/span&gt;このまま日本語にすると「畑を耕すこと」となる。ここから「農業」という意味になる。
&lt;span class="spacer"&gt;&lt;/span&gt;culture部分を見ると「文化」という意味が思い浮かぶが、cultureの語源は「耕作」。土地を耕して成熟させるように、人々が発展させてきたものとして「文化」という意味になった。&lt;/span&gt;</v>
      </c>
      <c r="S922" s="13" t="str">
        <f>INDEX($L:$L, MATCH("colony", $B:$B, 0))</f>
        <v>&lt;span class="w"&gt;&lt;b&gt;【572.colony：植民地】&lt;/b&gt;&lt;/span&gt;
&lt;span class="ml"&gt;ラテン語colere（耕す, 住む）から派生したcolonia（農地, 定住地）に由来する。もともとの耕すという行為から、耕す人、そしてその人々が開拓した新しい定住地へと意味が発展した。
&lt;span class="spacer"&gt;&lt;/span&gt;この「開拓した地に住む」ということが、支配した国や地域に自国民を移住させて開拓を行うという概念と結びつき、「植民地」という意味になった。
&lt;div class="sample_image colony"&gt;&lt;/div&gt;&lt;/span&gt;</v>
      </c>
      <c r="AU922" s="15"/>
      <c r="AV922" s="1" t="s">
        <v>1502</v>
      </c>
      <c r="BG922" s="7" t="s">
        <v>1503</v>
      </c>
      <c r="BH922" s="1" t="s">
        <v>1947</v>
      </c>
      <c r="BI922" s="2" t="s">
        <v>4997</v>
      </c>
      <c r="BJ922" s="1" t="s">
        <v>1967</v>
      </c>
      <c r="BK922" s="2" t="s">
        <v>4998</v>
      </c>
      <c r="BL922" s="1" t="s">
        <v>1877</v>
      </c>
      <c r="BM922" s="2" t="s">
        <v>4999</v>
      </c>
    </row>
    <row r="923" spans="1:69" ht="126" x14ac:dyDescent="0.45">
      <c r="A923" s="5">
        <v>922</v>
      </c>
      <c r="B923" s="6" t="s">
        <v>666</v>
      </c>
      <c r="C923" s="6" t="s">
        <v>1816</v>
      </c>
      <c r="D923" s="7" t="s">
        <v>9752</v>
      </c>
      <c r="E923" s="1" t="s">
        <v>5000</v>
      </c>
      <c r="F923" s="1" t="s">
        <v>5001</v>
      </c>
      <c r="G923" s="1"/>
      <c r="J923" s="1" t="s">
        <v>9753</v>
      </c>
      <c r="K923" s="1" t="s">
        <v>5002</v>
      </c>
      <c r="L923" s="2" t="s">
        <v>9243</v>
      </c>
      <c r="P923" s="7" t="s">
        <v>1241</v>
      </c>
      <c r="Q923" s="13" t="str">
        <f>INDEX($L:$L, MATCH("layer", $B:$B, 0))</f>
        <v>&lt;span class="w"&gt;&lt;b&gt;【747.layer：層】&lt;/b&gt;&lt;/span&gt;
&lt;span class="ml"&gt;古英語lecgan（地面に置く, 横たえる：layの語源）にさかのぼる。&lt;span class="obsolete"&gt;er（〜する人, 〜するもの）は中英語段階で付いた。&lt;/span&gt;
&lt;span class="spacer"&gt;&lt;/span&gt;もともとは横たえる人、特にレンガや石を敷く人を表した。そこから敷かれるものを指すようになり、平らに敷き詰められたものから何かの「層」という意味になった。&lt;/span&gt;</v>
      </c>
      <c r="AV923" s="1" t="s">
        <v>1502</v>
      </c>
      <c r="BG923" s="7" t="s">
        <v>1503</v>
      </c>
      <c r="BH923" s="1" t="s">
        <v>1872</v>
      </c>
      <c r="BI923" s="1" t="s">
        <v>5003</v>
      </c>
      <c r="BJ923" s="1" t="s">
        <v>1875</v>
      </c>
      <c r="BK923" s="1" t="s">
        <v>5004</v>
      </c>
      <c r="BL923" s="1" t="s">
        <v>1877</v>
      </c>
      <c r="BM923" s="2" t="s">
        <v>5005</v>
      </c>
    </row>
    <row r="924" spans="1:69" ht="144" x14ac:dyDescent="0.45">
      <c r="A924" s="5">
        <v>923</v>
      </c>
      <c r="B924" s="8" t="s">
        <v>667</v>
      </c>
      <c r="C924" s="6" t="s">
        <v>1816</v>
      </c>
      <c r="D924" s="7" t="s">
        <v>9752</v>
      </c>
      <c r="E924" s="1" t="s">
        <v>5006</v>
      </c>
      <c r="F924" s="1" t="s">
        <v>5007</v>
      </c>
      <c r="G924" s="1"/>
      <c r="J924" s="1" t="s">
        <v>9753</v>
      </c>
      <c r="L924" s="3" t="s">
        <v>9244</v>
      </c>
      <c r="M924" s="1" t="s">
        <v>12195</v>
      </c>
      <c r="P924" s="7" t="s">
        <v>1241</v>
      </c>
      <c r="Q924" s="13" t="str">
        <f>INDEX($L:$L, MATCH("participate", $B:$B, 0))</f>
        <v>&lt;span class="w"&gt;&lt;b&gt;【332.participate：参加する】&lt;/b&gt;&lt;/span&gt;
&lt;span class="ml"&gt;ラテン語に由来する語で、以下の2つの要素から成る。
&lt;span class="spacer"&gt;&lt;/span&gt;pars（部分, パート）
capere（取る）
&lt;span class="spacer"&gt;&lt;/span&gt;このまま日本語にすると「部分を取る」となる。全体の中である役割や取り分を取ることから「参加する」という意味になる。
&lt;span class="spacer"&gt;&lt;/span&gt;英語take part in（〜に参加する）も同じ。&lt;/span&gt;</v>
      </c>
      <c r="R924" s="13" t="str">
        <f>INDEX($L:$L, MATCH("principle", $B:$B, 0))</f>
        <v>&lt;span class="w"&gt;&lt;b&gt;【343.principle：原理, 原則, 主義, 信条】&lt;/b&gt;&lt;/span&gt;
&lt;span class="ml"&gt;ラテン語に由来する語で、以下の2つの要素から成る。
&lt;span class="spacer"&gt;&lt;/span&gt;primus（第一の）
capere（取る）
&lt;span class="spacer"&gt;&lt;/span&gt;このまま日本語にすると「第一を取る」となる。1番目のポジションを取ることから、何かが成り立つための土台＝「原理, 原則」や、行動の土台となる「主義, 信条」という意味になる。&lt;/span&gt;</v>
      </c>
      <c r="S924" s="13" t="str">
        <f>INDEX($L:$L, MATCH("principal", $B:$B, 0))</f>
        <v>&lt;span class="w"&gt;&lt;b&gt;【683.principal：主要な】&lt;/b&gt;&lt;/span&gt;
&lt;span class="ml"&gt;ラテン語に由来する語で、以下の3つの要素から成る。
&lt;span class="spacer"&gt;&lt;/span&gt;primus（第一の）
capere（取る）
alis（形容詞化）
&lt;span class="spacer"&gt;&lt;/span&gt;この語の核は「第一の位置を取る」。集団や集合の中における第一の位置とは、最も重要な位置ということ。ここから「主要な」という意味になる。&lt;/span&gt;</v>
      </c>
      <c r="T924" s="13" t="str">
        <f>INDEX($L:$L, MATCH("capacity", $B:$B, 0))</f>
        <v>&lt;span class="w"&gt;&lt;b&gt;【348.capacity：容量, 収容能力】&lt;/b&gt;&lt;/span&gt;
&lt;span class="ml"&gt;ラテン語capere（取る）から派生した名詞capacitas（容量, 多くを収容できる能力）に由来する。
&lt;span class="spacer"&gt;&lt;/span&gt;取ることから、多くを保持できること＝「収容能力, 容量」という意味になる。&lt;/span&gt;</v>
      </c>
      <c r="U924" s="13" t="str">
        <f>INDEX($L:$L, MATCH("capable", $B:$B, 0))</f>
        <v>&lt;span class="w"&gt;&lt;b&gt;【381.capable：能力がある】&lt;/b&gt;&lt;/span&gt;
&lt;span class="ml"&gt;ラテン語に由来する語で、以下の2つの要素から成る。
&lt;span class="spacer"&gt;&lt;/span&gt;capere（つかむ, 取る）
bilis（～できる）
&lt;span class="spacer"&gt;&lt;/span&gt;このまま日本語にすると「つかむことができる」となる。もともとは、物や内容を受け入れることができるという意味で、そこから「受け入れる器がある」というニュアンスが生まれた（→capacity）。さらに受け入れたことを理解して扱えるという意味へと広がり、現在の「能力がある」という意味になった。&lt;/span&gt;</v>
      </c>
      <c r="V924" s="13" t="str">
        <f>INDEX($L:$L, MATCH("capture", $B:$B, 0))</f>
        <v>&lt;span class="w"&gt;&lt;b&gt;【610.capture：〜をとらえる】&lt;/b&gt;&lt;/span&gt;
&lt;span class="ml"&gt;ラテン語capere（取る, つかむ）に由来する。
&lt;span class="spacer"&gt;&lt;/span&gt;この語の核は「対象をつかんで自分のもとに置く」。単に取るだけでなく、逃げられない状態にすることを含む。そこから、人や物を「捕える」という意味になり、さらに比喩的に、注意・感情・映像などをとらえるという意味にも広がった。&lt;/span&gt;</v>
      </c>
      <c r="AU924" s="15"/>
      <c r="AV924" s="1" t="s">
        <v>1502</v>
      </c>
      <c r="BG924" s="7" t="s">
        <v>1503</v>
      </c>
      <c r="BH924" s="1" t="s">
        <v>1947</v>
      </c>
      <c r="BI924" s="2" t="s">
        <v>5008</v>
      </c>
      <c r="BJ924" s="1" t="s">
        <v>1877</v>
      </c>
      <c r="BK924" s="2" t="s">
        <v>5009</v>
      </c>
    </row>
    <row r="925" spans="1:69" ht="144" x14ac:dyDescent="0.45">
      <c r="A925" s="5">
        <v>924</v>
      </c>
      <c r="B925" s="6" t="s">
        <v>668</v>
      </c>
      <c r="C925" s="6" t="s">
        <v>1816</v>
      </c>
      <c r="D925" s="7" t="s">
        <v>9752</v>
      </c>
      <c r="E925" s="1" t="s">
        <v>5010</v>
      </c>
      <c r="F925" s="1" t="s">
        <v>1422</v>
      </c>
      <c r="G925" s="1"/>
      <c r="J925" s="1" t="s">
        <v>9753</v>
      </c>
      <c r="K925" s="2" t="s">
        <v>9245</v>
      </c>
      <c r="L925" s="2" t="s">
        <v>9246</v>
      </c>
      <c r="P925" s="7" t="s">
        <v>1241</v>
      </c>
      <c r="Q925" s="13" t="str">
        <f>INDEX($L:$L, MATCH("judge", $B:$B, 0))</f>
        <v>&lt;span class="w"&gt;&lt;b&gt;【310.judge：～を判断する, 判決を下す】&lt;/b&gt;&lt;/span&gt;
&lt;span class="ml"&gt;ラテン語に由来する語で、以下の2つの要素から成る。
&lt;span class="spacer"&gt;&lt;/span&gt;ius（法）
dicere（宣言する, 示す）
&lt;span class="spacer"&gt;&lt;/span&gt;このまま日本語にすると「法を宣言する」となる。ここから法を宣言する人＝裁判官という意味を経て「判決を下す」という意味になる。また法とは関係なく、自分で考えて「判断する」となる。&lt;/span&gt;</v>
      </c>
      <c r="R925" s="13" t="str">
        <f>INDEX($L:$L, MATCH("prejudice", $B:$B, 0))</f>
        <v>&lt;span class="w"&gt;&lt;b&gt;【768.prejudice：偏見】&lt;/b&gt;&lt;/span&gt;
&lt;span class="ml"&gt;ラテン語に由来する語で、以下の2つの要素から成る。
&lt;span class="spacer"&gt;&lt;/span&gt;prae（前もって）
iudexから派生したiudicium（判断）
&lt;span class="spacer"&gt;&lt;/span&gt;このまま日本語にすると「前もって行われる判断」となる。そこから先入観となり、特に否定的な意味での「偏見」という意味になった。
&lt;span class="spacer"&gt;&lt;/span&gt;ラテン語iudexはjudgeの語源でもある。そのためprejudiceは、前もって（pre）行われるジャッジ（判断）というイメージで覚えればよい。&lt;/span&gt;</v>
      </c>
      <c r="S925" s="13" t="s">
        <v>12102</v>
      </c>
      <c r="T925" s="13" t="s">
        <v>12103</v>
      </c>
      <c r="AU925" s="15"/>
      <c r="AV925" s="1" t="s">
        <v>1502</v>
      </c>
      <c r="BG925" s="7" t="s">
        <v>1503</v>
      </c>
      <c r="BH925" s="1" t="s">
        <v>1947</v>
      </c>
      <c r="BI925" s="2" t="s">
        <v>5011</v>
      </c>
      <c r="BJ925" s="1" t="s">
        <v>2036</v>
      </c>
      <c r="BK925" s="2" t="s">
        <v>5012</v>
      </c>
      <c r="BL925" s="1" t="s">
        <v>1959</v>
      </c>
      <c r="BM925" s="2" t="s">
        <v>5013</v>
      </c>
      <c r="BN925" s="1" t="s">
        <v>1875</v>
      </c>
      <c r="BO925" s="2" t="s">
        <v>5014</v>
      </c>
      <c r="BP925" s="1" t="s">
        <v>1877</v>
      </c>
      <c r="BQ925" s="2" t="s">
        <v>5015</v>
      </c>
    </row>
    <row r="926" spans="1:69" ht="126" x14ac:dyDescent="0.45">
      <c r="A926" s="5">
        <v>925</v>
      </c>
      <c r="B926" s="6" t="s">
        <v>669</v>
      </c>
      <c r="C926" s="6" t="s">
        <v>1816</v>
      </c>
      <c r="D926" s="7" t="s">
        <v>9752</v>
      </c>
      <c r="E926" s="1" t="s">
        <v>669</v>
      </c>
      <c r="F926" s="1"/>
      <c r="G926" s="1"/>
      <c r="J926" s="1" t="s">
        <v>9753</v>
      </c>
      <c r="K926" s="2" t="s">
        <v>9247</v>
      </c>
      <c r="L926" s="2" t="s">
        <v>9248</v>
      </c>
      <c r="P926" s="7" t="s">
        <v>1241</v>
      </c>
      <c r="AV926" s="1" t="s">
        <v>1502</v>
      </c>
      <c r="BG926" s="7" t="s">
        <v>1503</v>
      </c>
      <c r="BH926" s="1" t="s">
        <v>1947</v>
      </c>
      <c r="BI926" s="1" t="s">
        <v>5016</v>
      </c>
      <c r="BJ926" s="1" t="s">
        <v>2036</v>
      </c>
      <c r="BK926" s="2" t="s">
        <v>5017</v>
      </c>
      <c r="BL926" s="1" t="s">
        <v>1875</v>
      </c>
      <c r="BM926" s="2" t="s">
        <v>5018</v>
      </c>
      <c r="BN926" s="1" t="s">
        <v>1877</v>
      </c>
      <c r="BO926" s="2" t="s">
        <v>5019</v>
      </c>
    </row>
    <row r="927" spans="1:69" ht="180" x14ac:dyDescent="0.45">
      <c r="A927" s="5">
        <v>926</v>
      </c>
      <c r="B927" s="6" t="s">
        <v>670</v>
      </c>
      <c r="C927" s="6" t="s">
        <v>1816</v>
      </c>
      <c r="D927" s="7" t="s">
        <v>9752</v>
      </c>
      <c r="E927" s="1" t="s">
        <v>670</v>
      </c>
      <c r="F927" s="1"/>
      <c r="G927" s="1"/>
      <c r="J927" s="1" t="s">
        <v>9753</v>
      </c>
      <c r="L927" s="2" t="s">
        <v>9249</v>
      </c>
      <c r="P927" s="7" t="s">
        <v>1241</v>
      </c>
      <c r="AV927" s="1" t="s">
        <v>1502</v>
      </c>
      <c r="BG927" s="7" t="s">
        <v>1503</v>
      </c>
      <c r="BH927" s="1" t="s">
        <v>1947</v>
      </c>
      <c r="BI927" s="1" t="s">
        <v>9250</v>
      </c>
      <c r="BJ927" s="1" t="s">
        <v>2036</v>
      </c>
      <c r="BK927" s="1" t="s">
        <v>5020</v>
      </c>
      <c r="BL927" s="1" t="s">
        <v>1875</v>
      </c>
      <c r="BM927" s="2" t="s">
        <v>5021</v>
      </c>
      <c r="BN927" s="1" t="s">
        <v>1877</v>
      </c>
      <c r="BO927" s="2" t="s">
        <v>5022</v>
      </c>
      <c r="BP927" s="1" t="s">
        <v>3496</v>
      </c>
      <c r="BQ927" s="2" t="s">
        <v>5023</v>
      </c>
    </row>
    <row r="928" spans="1:69" ht="126" x14ac:dyDescent="0.45">
      <c r="A928" s="5">
        <v>927</v>
      </c>
      <c r="B928" s="8" t="s">
        <v>671</v>
      </c>
      <c r="C928" s="6" t="s">
        <v>1816</v>
      </c>
      <c r="D928" s="7" t="s">
        <v>9752</v>
      </c>
      <c r="E928" s="1" t="s">
        <v>5024</v>
      </c>
      <c r="F928" s="1" t="s">
        <v>1422</v>
      </c>
      <c r="G928" s="1"/>
      <c r="J928" s="1" t="s">
        <v>9753</v>
      </c>
      <c r="L928" s="2" t="s">
        <v>9251</v>
      </c>
      <c r="P928" s="7" t="s">
        <v>1241</v>
      </c>
      <c r="Q928" s="13" t="str">
        <f>INDEX($L:$L, MATCH("classic", $B:$B, 0))</f>
        <v>&lt;span class="w"&gt;&lt;b&gt;【781.classic：名作の, 第一級の, 典型的な, 定番の】&lt;/b&gt;&lt;/span&gt;
&lt;span class="ml"&gt;ラテン語に由来する語で、以下の2つの要素から成る。
&lt;span class="spacer"&gt;&lt;/span&gt;classis（階級, 区分）
icus（形容詞化）
&lt;span class="spacer"&gt;&lt;/span&gt;もともとは、ローマ市民を分けた階級、さらにその中でも第一階級を表した。そこから、文化や文学において「第一級の, 名作の」という意味になり、第一級の作品はいつも模範となるため「定番の, 典型的な」という意味にもなった。&lt;/span&gt;</v>
      </c>
      <c r="AU928" s="15"/>
      <c r="AV928" s="1" t="s">
        <v>1502</v>
      </c>
      <c r="BG928" s="7" t="s">
        <v>1503</v>
      </c>
      <c r="BH928" s="1" t="s">
        <v>1947</v>
      </c>
      <c r="BI928" s="2" t="s">
        <v>5025</v>
      </c>
      <c r="BJ928" s="1" t="s">
        <v>1996</v>
      </c>
      <c r="BK928" s="2" t="s">
        <v>5026</v>
      </c>
      <c r="BL928" s="1" t="s">
        <v>1877</v>
      </c>
      <c r="BM928" s="2" t="s">
        <v>5027</v>
      </c>
      <c r="BN928" s="1" t="s">
        <v>3496</v>
      </c>
      <c r="BO928" s="2" t="s">
        <v>5028</v>
      </c>
    </row>
    <row r="929" spans="1:69" ht="162" x14ac:dyDescent="0.45">
      <c r="A929" s="5">
        <v>928</v>
      </c>
      <c r="B929" s="8" t="s">
        <v>672</v>
      </c>
      <c r="C929" s="6" t="s">
        <v>1816</v>
      </c>
      <c r="D929" s="7" t="s">
        <v>9752</v>
      </c>
      <c r="E929" s="1" t="s">
        <v>4500</v>
      </c>
      <c r="F929" s="1" t="s">
        <v>1614</v>
      </c>
      <c r="G929" s="1"/>
      <c r="J929" s="1" t="s">
        <v>9753</v>
      </c>
      <c r="L929" s="3" t="s">
        <v>9252</v>
      </c>
      <c r="M929" s="1" t="s">
        <v>12203</v>
      </c>
      <c r="P929" s="7" t="s">
        <v>1241</v>
      </c>
      <c r="Q929" s="13" t="str">
        <f>INDEX($L:$L, MATCH("admit", $B:$B, 0))</f>
        <v>&lt;span class="w"&gt;&lt;b&gt;【406.admit：〜を認める, 入場・入学を認める】&lt;/b&gt;&lt;/span&gt;
&lt;span class="ml"&gt;ラテン語に由来する語で、以下の2つの要素から成る。
&lt;span class="spacer"&gt;&lt;/span&gt;ad（～へ）
mittere（送る, 放つ）
&lt;span class="spacer"&gt;&lt;/span&gt;このまま日本語にすると「〜へ送る」となる。これは、外から来たものをそのまま内側へ送るイメージ。そこから、学校や会場で内側へ送るなら「入場・入学を認める」、議論において主張や真実を内側に送るなら「認める」という意味になる。
&lt;div class="sample_image admit"&gt;&lt;/div&gt;&lt;/span&gt;</v>
      </c>
      <c r="R929" s="13" t="str">
        <f>INDEX($L:$L, MATCH("emit", $B:$B, 0))</f>
        <v>&lt;span class="w"&gt;&lt;b&gt;【1322.emit：（光・熱などを）放つ, 排出する】&lt;/b&gt;&lt;/span&gt;
&lt;span class="ml"&gt;ラテン語に由来する語で、以下の2つの要素から成る。
&lt;span class="spacer"&gt;&lt;/span&gt;ex（外に）
mittere（送る）
&lt;span class="spacer"&gt;&lt;/span&gt;このまま日本語にすると「外に送る」となる。物理的に何かを外へ送り出すという動作から、目に見えないエネルギーや気体などを「放つ, 排出する」という意味になった。
&lt;div class="sample_image emit"&gt;&lt;/div&gt;&lt;/span&gt;</v>
      </c>
      <c r="S929" s="13" t="str">
        <f>INDEX($L:$L, MATCH("commit", $B:$B, 0))</f>
        <v>&lt;span class="w"&gt;&lt;b&gt;【601.commit：（受け身で）献身する, 罪などを犯す】&lt;/b&gt;&lt;/span&gt;
&lt;span class="ml"&gt;ラテン語に由来する語で、以下の2つの要素から成る。
&lt;span class="spacer"&gt;&lt;/span&gt;com（共に）
mittere（送る, 放つ）
&lt;span class="spacer"&gt;&lt;/span&gt;このまま日本語にすると「共に送る」となる。ここから現代英語の「献身する」や「罪などを犯す」という意味への発展経緯は明らかではないため、あくまでイメージで覚えておく。この語の核は「対象の元へ何かをまとめて送る」。
&lt;span class="spacer"&gt;&lt;/span&gt;①まだ実行していないものを現実に送る感じから「何かを行う」となる。特に後戻りできない重大なことを行うことから「罪などを犯す」という意味になる。
&lt;span class="spacer"&gt;&lt;/span&gt;②自分自身や自分の能力、時間、権限など、自分と自分に関するものをまとめて対象に送る感じから「献身する, 専念する」という意味になる。この場合は、commit oneself to A / be committed to Aといった形で使われる。&lt;/span&gt;</v>
      </c>
      <c r="T929" s="13" t="str">
        <f>INDEX($L:$L, MATCH("permit", $B:$B, 0))</f>
        <v>&lt;span class="w"&gt;&lt;b&gt;【628.permit：〜を許可する】&lt;/b&gt;&lt;/span&gt;
&lt;span class="ml"&gt;ラテン語に由来する語で、以下の2つの要素から成る。
&lt;span class="spacer"&gt;&lt;/span&gt;per（前へ, 通って）
mittere（送る, 放つ）
&lt;span class="spacer"&gt;&lt;/span&gt;このまま日本語にすると「通して送る」となる。これは、通過を妨げないで行かせることから「許可する」という意味になる。
&lt;div class="sample_image permit"&gt;&lt;/div&gt;&lt;/span&gt;</v>
      </c>
      <c r="U929" s="13" t="str">
        <f>INDEX($L:$L, MATCH("transmit", $B:$B, 0))</f>
        <v>&lt;span class="w"&gt;&lt;b&gt;【1028.transmit：〜を伝える, （電波や信号など）を送る】&lt;/b&gt;&lt;/span&gt;
&lt;span class="ml"&gt;ラテン語に由来する語で、以下の2つの要素から成る。
&lt;span class="spacer"&gt;&lt;/span&gt;trans（越えて, 向こうへ）
mittere（送る, 放つ）
&lt;span class="spacer"&gt;&lt;/span&gt;このまま日本語にすると「越えて送る」となる。もともとは、何かを隔てた向こう側へ送るという物理的な移動を表した。そこからエネルギーや情報など、空間を越えて「伝える, 送る」という意味になった。
&lt;div class="sample_image transmit"&gt;&lt;/div&gt;&lt;/span&gt;</v>
      </c>
      <c r="AU929" s="15"/>
      <c r="AV929" s="1" t="s">
        <v>1502</v>
      </c>
      <c r="BG929" s="7" t="s">
        <v>1503</v>
      </c>
      <c r="BH929" s="1" t="s">
        <v>1947</v>
      </c>
      <c r="BI929" s="2" t="s">
        <v>5029</v>
      </c>
      <c r="BJ929" s="1" t="s">
        <v>1875</v>
      </c>
      <c r="BK929" s="2" t="s">
        <v>5030</v>
      </c>
      <c r="BL929" s="1" t="s">
        <v>1877</v>
      </c>
      <c r="BM929" s="2" t="s">
        <v>5031</v>
      </c>
    </row>
    <row r="930" spans="1:69" ht="54" x14ac:dyDescent="0.45">
      <c r="A930" s="5">
        <v>929</v>
      </c>
      <c r="B930" s="6" t="s">
        <v>673</v>
      </c>
      <c r="C930" s="6" t="s">
        <v>1816</v>
      </c>
      <c r="D930" s="7" t="s">
        <v>9752</v>
      </c>
      <c r="E930" s="1" t="s">
        <v>673</v>
      </c>
      <c r="F930" s="1"/>
      <c r="G930" s="1"/>
      <c r="J930" s="1" t="s">
        <v>9753</v>
      </c>
      <c r="K930" s="2" t="s">
        <v>9253</v>
      </c>
      <c r="L930" s="2" t="s">
        <v>9254</v>
      </c>
      <c r="P930" s="7" t="s">
        <v>1241</v>
      </c>
      <c r="AU930" s="15"/>
      <c r="AV930" s="1" t="s">
        <v>1502</v>
      </c>
      <c r="BG930" s="7" t="s">
        <v>1503</v>
      </c>
      <c r="BH930" s="1" t="s">
        <v>2458</v>
      </c>
      <c r="BI930" s="2" t="s">
        <v>5032</v>
      </c>
      <c r="BJ930" s="1" t="s">
        <v>1947</v>
      </c>
      <c r="BK930" s="2" t="s">
        <v>5033</v>
      </c>
      <c r="BL930" s="1" t="s">
        <v>2036</v>
      </c>
      <c r="BM930" s="1" t="s">
        <v>5034</v>
      </c>
      <c r="BN930" s="1" t="s">
        <v>1996</v>
      </c>
      <c r="BO930" s="1" t="s">
        <v>5035</v>
      </c>
      <c r="BP930" s="1" t="s">
        <v>1877</v>
      </c>
      <c r="BQ930" s="2" t="s">
        <v>5036</v>
      </c>
    </row>
    <row r="931" spans="1:69" ht="126" x14ac:dyDescent="0.45">
      <c r="A931" s="5">
        <v>930</v>
      </c>
      <c r="B931" s="8" t="s">
        <v>674</v>
      </c>
      <c r="C931" s="6" t="s">
        <v>1816</v>
      </c>
      <c r="D931" s="7" t="s">
        <v>9752</v>
      </c>
      <c r="E931" s="1" t="s">
        <v>674</v>
      </c>
      <c r="F931" s="1"/>
      <c r="G931" s="1"/>
      <c r="J931" s="1" t="s">
        <v>9753</v>
      </c>
      <c r="L931" s="2" t="s">
        <v>9255</v>
      </c>
      <c r="P931" s="7" t="s">
        <v>5037</v>
      </c>
      <c r="AU931" s="15"/>
      <c r="AV931" s="1" t="s">
        <v>1502</v>
      </c>
      <c r="BG931" s="7" t="s">
        <v>1503</v>
      </c>
      <c r="BH931" s="1" t="s">
        <v>1872</v>
      </c>
      <c r="BI931" s="2" t="s">
        <v>5038</v>
      </c>
      <c r="BJ931" s="1" t="s">
        <v>1875</v>
      </c>
      <c r="BK931" s="2" t="s">
        <v>5039</v>
      </c>
    </row>
    <row r="932" spans="1:69" ht="108" x14ac:dyDescent="0.45">
      <c r="A932" s="5">
        <v>931</v>
      </c>
      <c r="B932" s="6" t="s">
        <v>675</v>
      </c>
      <c r="C932" s="6" t="s">
        <v>1816</v>
      </c>
      <c r="D932" s="7" t="s">
        <v>9752</v>
      </c>
      <c r="E932" s="1" t="s">
        <v>675</v>
      </c>
      <c r="F932" s="1"/>
      <c r="G932" s="1"/>
      <c r="J932" s="1" t="s">
        <v>9753</v>
      </c>
      <c r="K932" s="3" t="s">
        <v>9256</v>
      </c>
      <c r="L932" s="2" t="s">
        <v>9257</v>
      </c>
      <c r="P932" s="7" t="s">
        <v>1241</v>
      </c>
      <c r="AU932" s="15"/>
      <c r="AV932" s="1" t="s">
        <v>1502</v>
      </c>
      <c r="BG932" s="7" t="s">
        <v>1503</v>
      </c>
      <c r="BH932" s="1" t="s">
        <v>1877</v>
      </c>
      <c r="BI932" s="2" t="s">
        <v>5040</v>
      </c>
    </row>
    <row r="933" spans="1:69" ht="72" x14ac:dyDescent="0.45">
      <c r="A933" s="5">
        <v>932</v>
      </c>
      <c r="B933" s="6" t="s">
        <v>676</v>
      </c>
      <c r="C933" s="6" t="s">
        <v>1816</v>
      </c>
      <c r="D933" s="7" t="s">
        <v>9752</v>
      </c>
      <c r="E933" s="1" t="s">
        <v>676</v>
      </c>
      <c r="F933" s="1"/>
      <c r="G933" s="1"/>
      <c r="J933" s="1" t="s">
        <v>9753</v>
      </c>
      <c r="K933" s="2" t="s">
        <v>9258</v>
      </c>
      <c r="L933" s="2" t="s">
        <v>9259</v>
      </c>
      <c r="P933" s="7" t="s">
        <v>1241</v>
      </c>
      <c r="AU933" s="15"/>
      <c r="AV933" s="1" t="s">
        <v>1502</v>
      </c>
      <c r="BG933" s="7" t="s">
        <v>1503</v>
      </c>
      <c r="BH933" s="1" t="s">
        <v>1872</v>
      </c>
      <c r="BI933" s="2" t="s">
        <v>5041</v>
      </c>
      <c r="BJ933" s="1" t="s">
        <v>1875</v>
      </c>
      <c r="BK933" s="2" t="s">
        <v>5042</v>
      </c>
    </row>
    <row r="934" spans="1:69" ht="108" x14ac:dyDescent="0.45">
      <c r="A934" s="5">
        <v>933</v>
      </c>
      <c r="B934" s="6" t="s">
        <v>677</v>
      </c>
      <c r="C934" s="6" t="s">
        <v>1816</v>
      </c>
      <c r="D934" s="7" t="s">
        <v>9752</v>
      </c>
      <c r="E934" s="1" t="s">
        <v>677</v>
      </c>
      <c r="F934" s="1"/>
      <c r="G934" s="1"/>
      <c r="J934" s="1" t="s">
        <v>9753</v>
      </c>
      <c r="L934" s="3" t="s">
        <v>9260</v>
      </c>
      <c r="P934" s="7" t="s">
        <v>1241</v>
      </c>
      <c r="AU934" s="15"/>
      <c r="AV934" s="1" t="s">
        <v>1502</v>
      </c>
      <c r="BG934" s="7" t="s">
        <v>1503</v>
      </c>
      <c r="BH934" s="1" t="s">
        <v>1947</v>
      </c>
      <c r="BI934" s="2" t="s">
        <v>9261</v>
      </c>
      <c r="BJ934" s="1" t="s">
        <v>1877</v>
      </c>
      <c r="BK934" s="2" t="s">
        <v>5043</v>
      </c>
    </row>
    <row r="935" spans="1:69" ht="108" x14ac:dyDescent="0.45">
      <c r="A935" s="5">
        <v>934</v>
      </c>
      <c r="B935" s="6" t="s">
        <v>678</v>
      </c>
      <c r="C935" s="6" t="s">
        <v>1816</v>
      </c>
      <c r="D935" s="7" t="s">
        <v>9752</v>
      </c>
      <c r="E935" s="1" t="s">
        <v>678</v>
      </c>
      <c r="F935" s="1"/>
      <c r="G935" s="1"/>
      <c r="J935" s="1" t="s">
        <v>9753</v>
      </c>
      <c r="L935" s="2" t="s">
        <v>9262</v>
      </c>
      <c r="P935" s="7" t="s">
        <v>1241</v>
      </c>
      <c r="AV935" s="1" t="s">
        <v>1502</v>
      </c>
      <c r="BG935" s="7" t="s">
        <v>1503</v>
      </c>
      <c r="BH935" s="1" t="s">
        <v>3414</v>
      </c>
      <c r="BI935" s="1" t="s">
        <v>5044</v>
      </c>
      <c r="BJ935" s="1" t="s">
        <v>5045</v>
      </c>
      <c r="BK935" s="1" t="s">
        <v>5046</v>
      </c>
      <c r="BL935" s="1" t="s">
        <v>1875</v>
      </c>
      <c r="BM935" s="2" t="s">
        <v>5047</v>
      </c>
      <c r="BN935" s="1" t="s">
        <v>1877</v>
      </c>
      <c r="BO935" s="2" t="s">
        <v>5048</v>
      </c>
    </row>
    <row r="936" spans="1:69" ht="144" x14ac:dyDescent="0.45">
      <c r="A936" s="5">
        <v>935</v>
      </c>
      <c r="B936" s="6" t="s">
        <v>679</v>
      </c>
      <c r="C936" s="6" t="s">
        <v>1816</v>
      </c>
      <c r="D936" s="7" t="s">
        <v>9752</v>
      </c>
      <c r="E936" s="1" t="s">
        <v>679</v>
      </c>
      <c r="F936" s="1"/>
      <c r="G936" s="1"/>
      <c r="J936" s="1" t="s">
        <v>9753</v>
      </c>
      <c r="K936" s="1" t="s">
        <v>5049</v>
      </c>
      <c r="L936" s="2" t="s">
        <v>9263</v>
      </c>
      <c r="P936" s="7" t="s">
        <v>1241</v>
      </c>
      <c r="AV936" s="1" t="s">
        <v>1502</v>
      </c>
      <c r="BG936" s="7" t="s">
        <v>1503</v>
      </c>
      <c r="BH936" s="1" t="s">
        <v>1947</v>
      </c>
      <c r="BI936" s="1" t="s">
        <v>5050</v>
      </c>
      <c r="BJ936" s="1" t="s">
        <v>2026</v>
      </c>
      <c r="BK936" s="1" t="s">
        <v>5051</v>
      </c>
      <c r="BL936" s="1" t="s">
        <v>1959</v>
      </c>
      <c r="BM936" s="1" t="s">
        <v>5052</v>
      </c>
      <c r="BN936" s="1" t="s">
        <v>1875</v>
      </c>
      <c r="BO936" s="2" t="s">
        <v>5053</v>
      </c>
      <c r="BP936" s="1" t="s">
        <v>1877</v>
      </c>
      <c r="BQ936" s="2" t="s">
        <v>5054</v>
      </c>
    </row>
    <row r="937" spans="1:69" ht="126" x14ac:dyDescent="0.45">
      <c r="A937" s="5" t="s">
        <v>5055</v>
      </c>
      <c r="B937" s="8" t="s">
        <v>680</v>
      </c>
      <c r="C937" s="6" t="s">
        <v>1816</v>
      </c>
      <c r="D937" s="7" t="s">
        <v>9752</v>
      </c>
      <c r="E937" s="1" t="s">
        <v>1413</v>
      </c>
      <c r="F937" s="1" t="s">
        <v>5056</v>
      </c>
      <c r="G937" s="1"/>
      <c r="J937" s="1" t="s">
        <v>9753</v>
      </c>
      <c r="L937" s="3" t="s">
        <v>9264</v>
      </c>
      <c r="M937" s="1" t="s">
        <v>12169</v>
      </c>
      <c r="P937" s="7" t="s">
        <v>1241</v>
      </c>
      <c r="Q937" s="13" t="str">
        <f>INDEX($L:$L, MATCH("succeed", $B:$B, 0))</f>
        <v>&lt;span class="w"&gt;&lt;b&gt;【240.succeed：成功する（in）, 継承する（to）】&lt;/b&gt;&lt;/span&gt;
&lt;span class="ml"&gt;ラテン語に由来する語で、以下の2つの要素から成る。
&lt;span class="spacer"&gt;&lt;/span&gt;sub（後に）
cedere（行く, 進む）
&lt;span class="spacer"&gt;&lt;/span&gt;このまま日本語にすると「後に行く」となる。ここから次の2つの意味に発展する。
&lt;span class="spacer"&gt;&lt;/span&gt;①前任者の後を行くというイメージから「何かを継承する」という意味になる。この場合はsucceed &lt;strong&gt;to&lt;/strong&gt; Aで「Aに成功する」となる。
&lt;span class="spacer"&gt;&lt;/span&gt;②行為の後に結果が続くというイメージから「成功する」という意味になる。この場合はsucceed &lt;strong&gt;in&lt;/strong&gt; Aで「Aを継承する」となる。
&lt;div class="sample_image succeed"&gt;&lt;/div&gt;
&lt;span class="spacer"&gt;&lt;/span&gt;&lt;span class="obsolete"&gt;succeedは、もともとは何かに続いて結果が出るという意味で、良い結果（成功）を意味したわけではない。
&lt;span class="spacer"&gt;&lt;/span&gt;16世紀頃にsucceed well（ことがうまくいく）という表現があり、ここからwellが省略されてsucceed（成功する）となった。
&lt;span class="spacer"&gt;&lt;/span&gt;これと同じことがlikeでも起こり、最初はlike ~ wellで「好む」という意味だったが、likeの1語のみになった。
&lt;span class="spacer"&gt;&lt;/span&gt;「～の方が好き / ～が一番好き」という場合、wellの比較級 / 最上級を使ってlike ~ better / the bestとなるが、これはlike〜wellの名残である。&lt;/span&gt;&lt;/span&gt;</v>
      </c>
      <c r="R937" s="13" t="str">
        <f>INDEX($L:$L, MATCH("proceed", $B:$B, 0))</f>
        <v>&lt;span class="w"&gt;&lt;b&gt;【1101.proceed：進む, 進行する】&lt;/b&gt;&lt;/span&gt;
&lt;span class="ml"&gt;ラテン語に由来する語で、以下の2つの要素から成る。
&lt;span class="spacer"&gt;&lt;/span&gt;pro（前へ）
cedere（行く, 進む）
&lt;span class="spacer"&gt;&lt;/span&gt;このまま日本語にすると「前へ進む」となり「進む, 進行する」という意味になる。名詞になるとprocess（過程, 経過）やprocedure（手続き）という進行途中や進行手順を表す。&lt;/span&gt;</v>
      </c>
      <c r="S937" s="13" t="str">
        <f>INDEX($L:$L, MATCH("excess", $B:$B, 0))</f>
        <v>&lt;span class="w"&gt;&lt;b&gt;【1163.excess：過剰, 超過】&lt;/b&gt;&lt;/span&gt;
&lt;span class="ml"&gt;ラテン語に由来する語で、以下の3つの要素から成る。
&lt;span class="spacer"&gt;&lt;/span&gt;ex（外に）
cedere（行く）
us（名詞化）
&lt;span class="spacer"&gt;&lt;/span&gt;このまま日本語にすると「外に行くこと」となる。もともとは、物理的に何かの範囲や領域、境界から外へ出ることを表した。そこから意味が抽象化し、基準や度合を超えること、つまり「超過, 過剰」という意味になった。&lt;/span&gt;</v>
      </c>
      <c r="T937" s="13" t="str">
        <f>INDEX($L:$L, MATCH("access", $B:$B, 0))</f>
        <v>&lt;span class="w"&gt;&lt;b&gt;【169.access：利用, 入手, 接近】&lt;/b&gt;&lt;/span&gt;
&lt;span class="ml"&gt;ラテン語に由来する語で、以下の2つの要素から成る。
&lt;span class="spacer"&gt;&lt;/span&gt;ad（～へ）
cedere（行く）
&lt;span class="spacer"&gt;&lt;/span&gt;このまま日本語にすると「〜へ行く」となる。ここから「接近」という意味になる。さらに接近という物理的な移動から、近づいて何かを使うという「入手, 利用」という意味になる。
&lt;span class="spacer"&gt;&lt;/span&gt;The hotel has easy access to the station.
そのホテルは駅へのアクセスが良いという物理的な接近の話。
&lt;span class="spacer"&gt;&lt;/span&gt;Students have access to the library.
生徒は図書館を利用できるという利用可能性の話。&lt;/span&gt;</v>
      </c>
      <c r="U937" s="13" t="str">
        <f>INDEX($L:$L, MATCH("recession", $B:$B, 0))</f>
        <v>&lt;span class="w"&gt;&lt;b&gt;【1171.recession：不況, 後退】&lt;/b&gt;&lt;/span&gt;
&lt;span class="ml"&gt;ラテン語に由来する語で、以下の3つの要素から成る。
&lt;span class="spacer"&gt;&lt;/span&gt;re（後ろへ）
cedere（行く, 進む）
io（名詞化）
&lt;span class="spacer"&gt;&lt;/span&gt;このまま日本語にすると「後ろへ行くこと」つまり「後退」という意味になる。世界恐慌時にdepression（大不況）よりも程度が軽く、一時的な経済の後退を表す言葉として使われたことから「不況」という意味になった。
&lt;div class="sample_image recession"&gt;&lt;/div&gt;&lt;/span&gt;</v>
      </c>
      <c r="V937" s="13" t="str">
        <f>INDEX($L:$L, MATCH("necessary", $B:$B, 0))</f>
        <v>&lt;span class="w"&gt;&lt;b&gt;【199.necessary：必要な】&lt;/b&gt;&lt;/span&gt;
&lt;span class="ml"&gt;ラテン語に由来する語で、以下の3つの要素から成る。
&lt;span class="spacer"&gt;&lt;/span&gt;ne（=not：否定）
cedere（退く）
arius（形容詞化）
&lt;span class="spacer"&gt;&lt;/span&gt;このまま日本語にすると「退けない」となる。つまり何かを避けられない、それなしでは通れないということから不可欠＝「必要な」という意味になる。&lt;/span&gt;</v>
      </c>
      <c r="W937" s="13" t="str">
        <f>INDEX($L:$L, MATCH("cease", $B:$B, 0))</f>
        <v>&lt;span class="w"&gt;&lt;b&gt;【1135.cease：〜をやめる】&lt;/b&gt;&lt;/span&gt;
&lt;span class="ml"&gt;ラテン語cedere（行く, 退く）から派生した反復形cessare（やめる）に由来する。
&lt;span class="spacer"&gt;&lt;/span&gt;もともとはその場から立ち去る、身を引くという物理的な動作を表した。そこから、今まで行っていた活動や状態から身を引く＝「やめる」という意味になった。&lt;/span&gt;</v>
      </c>
      <c r="X937" s="13" t="str">
        <f>INDEX($L:$L, MATCH("precede", $B:$B, 0))</f>
        <v>&lt;span class="w"&gt;&lt;b&gt;【1302.precede：〜に先行する】&lt;/b&gt;&lt;/span&gt;
&lt;span class="ml"&gt;ラテン語に由来する語で、以下の2つの要素から成る。
&lt;span class="spacer"&gt;&lt;/span&gt;prae（前に）
cedere（行く）
&lt;span class="spacer"&gt;&lt;/span&gt;このまま日本語にすると「前に行く」となり、時間的・空間的に何かに「先行する」という意味になる。&lt;/span&gt;
&lt;div class="animation precede"&gt;&lt;/div&gt;</v>
      </c>
      <c r="Y937" s="13" t="str">
        <f>INDEX($L:$L, MATCH("unprecedented", $B:$B, 0))</f>
        <v>&lt;span class="w"&gt;&lt;b&gt;【1380.unprecedented：前例のない】&lt;/b&gt;&lt;/span&gt;
&lt;span class="ml"&gt;近代英語にさかのぼり、以下の3つの要素から成る。
&lt;span class="spacer"&gt;&lt;/span&gt;un（否定）
precedent（前例を与える）
ed（過去分詞化）
&lt;span class="spacer"&gt;&lt;/span&gt;precedent部分は、ラテン語prae（前に）＋cedere（行く）に由来するprecede（先行する）と関連する。
&lt;span class="spacer"&gt;&lt;/span&gt;否定のunが付くことで、先行するものがない、つまり「前例がない」という意味になる。&lt;/span&gt;</v>
      </c>
      <c r="Z937" s="13" t="str">
        <f>INDEX($L:$L, MATCH("ancestor", $B:$B, 0))</f>
        <v>&lt;span class="w"&gt;&lt;b&gt;【274.ancestor：祖先】&lt;/b&gt;&lt;/span&gt;
&lt;span class="ml"&gt;ラテン語に由来する語で、以下の3つの要素から成る。
&lt;span class="spacer"&gt;&lt;/span&gt;ante（前に）
cedere（行く, 進む）
or（〜する人）
&lt;span class="spacer"&gt;&lt;/span&gt;このまま日本語にすると「前に行く人」となる。自分たちよりも時間的に前を行く人から先代の人＝「祖先」という意味になる。
&lt;div class="sample_image ancestor"&gt;&lt;/div&gt;&lt;/span&gt;</v>
      </c>
      <c r="AU937" s="15"/>
      <c r="AV937" s="1" t="s">
        <v>1502</v>
      </c>
      <c r="BG937" s="7" t="s">
        <v>1503</v>
      </c>
      <c r="BH937" s="1" t="s">
        <v>1947</v>
      </c>
      <c r="BI937" s="2" t="s">
        <v>5057</v>
      </c>
      <c r="BJ937" s="1" t="s">
        <v>1959</v>
      </c>
      <c r="BK937" s="2" t="s">
        <v>5058</v>
      </c>
      <c r="BL937" s="1" t="s">
        <v>1875</v>
      </c>
      <c r="BM937" s="2" t="s">
        <v>5059</v>
      </c>
    </row>
    <row r="938" spans="1:69" ht="144" x14ac:dyDescent="0.45">
      <c r="A938" s="5">
        <v>937</v>
      </c>
      <c r="B938" s="6" t="s">
        <v>681</v>
      </c>
      <c r="C938" s="6" t="s">
        <v>1816</v>
      </c>
      <c r="D938" s="7" t="s">
        <v>9752</v>
      </c>
      <c r="E938" s="1" t="s">
        <v>5000</v>
      </c>
      <c r="F938" s="1" t="s">
        <v>5060</v>
      </c>
      <c r="G938" s="1"/>
      <c r="J938" s="1" t="s">
        <v>9753</v>
      </c>
      <c r="K938" s="1" t="s">
        <v>5061</v>
      </c>
      <c r="L938" s="2" t="s">
        <v>9265</v>
      </c>
      <c r="P938" s="7" t="s">
        <v>1241</v>
      </c>
      <c r="Q938" s="13" t="str">
        <f>INDEX($L:$L, MATCH("ongoing", $B:$B, 0))</f>
        <v>&lt;span class="w"&gt;&lt;b&gt;【1300.ongoing：進行中の, 継続している】&lt;/b&gt;&lt;/span&gt;
&lt;span class="ml"&gt;近代英語近代英語にさかのぼり、以下の2つの要素から成る。
&lt;span class="spacer"&gt;&lt;/span&gt;on（〜を続けて）
going（進行）
&lt;span class="spacer"&gt;&lt;/span&gt;前置詞onの核は「接触」だが、接触し続けて離れないイメージから、副詞onは「継続」を表す。たとえばkeep on doing（何かをし続ける）やgo on（何かがそのまま続く）のonがそれである。
&lt;span class="spacer"&gt;&lt;/span&gt;この継続を表すonと進行を表すgoingが合わさって「進行中の, 継続中の」という意味になる。&lt;/span&gt;</v>
      </c>
      <c r="AU938" s="15"/>
      <c r="AV938" s="1" t="s">
        <v>1502</v>
      </c>
      <c r="BG938" s="7" t="s">
        <v>1503</v>
      </c>
      <c r="BH938" s="1" t="s">
        <v>1872</v>
      </c>
      <c r="BI938" s="2" t="s">
        <v>5062</v>
      </c>
      <c r="BJ938" s="1" t="s">
        <v>1875</v>
      </c>
      <c r="BK938" s="2" t="s">
        <v>5063</v>
      </c>
      <c r="BL938" s="1" t="s">
        <v>1877</v>
      </c>
      <c r="BM938" s="2" t="s">
        <v>5064</v>
      </c>
    </row>
    <row r="939" spans="1:69" ht="126" x14ac:dyDescent="0.45">
      <c r="A939" s="5">
        <v>938</v>
      </c>
      <c r="B939" s="6" t="s">
        <v>682</v>
      </c>
      <c r="C939" s="6" t="s">
        <v>1816</v>
      </c>
      <c r="D939" s="7" t="s">
        <v>9752</v>
      </c>
      <c r="E939" s="1" t="s">
        <v>46</v>
      </c>
      <c r="F939" s="1" t="s">
        <v>5065</v>
      </c>
      <c r="G939" s="1"/>
      <c r="J939" s="1" t="s">
        <v>9753</v>
      </c>
      <c r="L939" s="2" t="s">
        <v>9266</v>
      </c>
      <c r="P939" s="7" t="s">
        <v>1241</v>
      </c>
      <c r="AU939" s="15"/>
      <c r="AV939" s="1" t="s">
        <v>1502</v>
      </c>
      <c r="BG939" s="7" t="s">
        <v>1503</v>
      </c>
      <c r="BH939" s="1" t="s">
        <v>1947</v>
      </c>
      <c r="BI939" s="2" t="s">
        <v>5066</v>
      </c>
      <c r="BJ939" s="1" t="s">
        <v>2036</v>
      </c>
      <c r="BK939" s="2" t="s">
        <v>9267</v>
      </c>
      <c r="BL939" s="1" t="s">
        <v>1996</v>
      </c>
      <c r="BM939" s="2" t="s">
        <v>5067</v>
      </c>
      <c r="BN939" s="1" t="s">
        <v>1877</v>
      </c>
      <c r="BO939" s="2" t="s">
        <v>5068</v>
      </c>
    </row>
    <row r="940" spans="1:69" ht="144" x14ac:dyDescent="0.45">
      <c r="A940" s="5">
        <v>939</v>
      </c>
      <c r="B940" s="6" t="s">
        <v>683</v>
      </c>
      <c r="C940" s="6" t="s">
        <v>1816</v>
      </c>
      <c r="D940" s="7" t="s">
        <v>9752</v>
      </c>
      <c r="E940" s="1" t="s">
        <v>46</v>
      </c>
      <c r="F940" s="1" t="s">
        <v>5069</v>
      </c>
      <c r="G940" s="1"/>
      <c r="J940" s="1" t="s">
        <v>9753</v>
      </c>
      <c r="L940" s="2" t="s">
        <v>9268</v>
      </c>
      <c r="P940" s="7" t="s">
        <v>1241</v>
      </c>
      <c r="AV940" s="1" t="s">
        <v>1502</v>
      </c>
      <c r="BG940" s="7" t="s">
        <v>1503</v>
      </c>
      <c r="BH940" s="1" t="s">
        <v>5070</v>
      </c>
      <c r="BI940" s="1" t="s">
        <v>5071</v>
      </c>
      <c r="BJ940" s="1" t="s">
        <v>1947</v>
      </c>
      <c r="BK940" s="2" t="s">
        <v>5072</v>
      </c>
      <c r="BL940" s="1" t="s">
        <v>1996</v>
      </c>
      <c r="BM940" s="2" t="s">
        <v>5073</v>
      </c>
      <c r="BN940" s="1" t="s">
        <v>1877</v>
      </c>
      <c r="BO940" s="2" t="s">
        <v>5074</v>
      </c>
    </row>
    <row r="941" spans="1:69" ht="126" x14ac:dyDescent="0.45">
      <c r="A941" s="5">
        <v>940</v>
      </c>
      <c r="B941" s="6" t="s">
        <v>684</v>
      </c>
      <c r="C941" s="6" t="s">
        <v>1816</v>
      </c>
      <c r="D941" s="7" t="s">
        <v>9752</v>
      </c>
      <c r="E941" s="1" t="s">
        <v>1821</v>
      </c>
      <c r="F941" s="1" t="s">
        <v>5075</v>
      </c>
      <c r="G941" s="1"/>
      <c r="J941" s="1" t="s">
        <v>9753</v>
      </c>
      <c r="L941" s="2" t="s">
        <v>9269</v>
      </c>
      <c r="P941" s="7" t="s">
        <v>1241</v>
      </c>
      <c r="AU941" s="15"/>
      <c r="AV941" s="1" t="s">
        <v>1502</v>
      </c>
      <c r="BG941" s="7" t="s">
        <v>1503</v>
      </c>
      <c r="BH941" s="1" t="s">
        <v>1872</v>
      </c>
      <c r="BI941" s="2" t="s">
        <v>5076</v>
      </c>
      <c r="BJ941" s="1" t="s">
        <v>1875</v>
      </c>
      <c r="BK941" s="2" t="s">
        <v>5077</v>
      </c>
    </row>
    <row r="942" spans="1:69" ht="144" x14ac:dyDescent="0.45">
      <c r="A942" s="5">
        <v>941</v>
      </c>
      <c r="B942" s="8" t="s">
        <v>685</v>
      </c>
      <c r="C942" s="6" t="s">
        <v>6850</v>
      </c>
      <c r="D942" s="7" t="s">
        <v>9752</v>
      </c>
      <c r="E942" s="1" t="s">
        <v>8998</v>
      </c>
      <c r="F942" s="1" t="s">
        <v>8999</v>
      </c>
      <c r="G942" s="1"/>
      <c r="J942" s="1" t="s">
        <v>9753</v>
      </c>
      <c r="K942" s="1" t="s">
        <v>9270</v>
      </c>
      <c r="L942" s="2" t="s">
        <v>9271</v>
      </c>
      <c r="P942" s="7" t="s">
        <v>1241</v>
      </c>
      <c r="Q942" s="13" t="str">
        <f>INDEX($L:$L, MATCH("legal", $B:$B, 0))</f>
        <v>&lt;span class="w"&gt;&lt;b&gt;【294.legal：法律の, 合法の】&lt;/b&gt;&lt;/span&gt;
&lt;span class="ml"&gt;ラテン語に由来する語で、以下の2つの要素から成る。
&lt;span class="spacer"&gt;&lt;/span&gt;lex（命令, 法）
alis（形容詞化）
&lt;span class="spacer"&gt;&lt;/span&gt;ラテン語から意味の変化はほとんどなく「法の」という意味になる。また法によって認められている、つまり「合法の」という意味にもなる。&lt;/span&gt;</v>
      </c>
      <c r="R942" s="13" t="str">
        <f>INDEX($L:$L, MATCH("loyal", $B:$B, 0))</f>
        <v>&lt;span class="w"&gt;&lt;b&gt;【1500.loyal：忠実な】&lt;/b&gt;&lt;/span&gt;
&lt;span class="ml"&gt;ラテン語に由来する語で、以下の2つの要素から成る。
&lt;span class="spacer"&gt;&lt;/span&gt;lex（法）
alis（形容詞化）
&lt;span class="spacer"&gt;&lt;/span&gt;もともとは、法に従う・法を守ることを表す語だったが、そこから、君主や政府などに対して誓いや義務を守り、忠誠を尽くすことを表すようになった。そしてさらに一般的に、相手を裏切らず支え続ける「忠実な」という意味になった。&lt;/span&gt;</v>
      </c>
      <c r="AU942" s="15"/>
      <c r="AV942" s="1" t="s">
        <v>1502</v>
      </c>
      <c r="BG942" s="7" t="s">
        <v>1503</v>
      </c>
      <c r="BH942" s="1" t="s">
        <v>2034</v>
      </c>
      <c r="BI942" s="2" t="s">
        <v>5084</v>
      </c>
      <c r="BJ942" s="1" t="s">
        <v>2147</v>
      </c>
      <c r="BK942" s="2" t="s">
        <v>5085</v>
      </c>
      <c r="BL942" s="1" t="s">
        <v>1504</v>
      </c>
      <c r="BM942" s="1" t="s">
        <v>5086</v>
      </c>
      <c r="BN942" s="1" t="s">
        <v>2044</v>
      </c>
      <c r="BO942" s="2" t="s">
        <v>5087</v>
      </c>
    </row>
    <row r="943" spans="1:69" ht="126" x14ac:dyDescent="0.45">
      <c r="A943" s="5">
        <v>942</v>
      </c>
      <c r="B943" s="8" t="s">
        <v>5088</v>
      </c>
      <c r="C943" s="6" t="s">
        <v>6850</v>
      </c>
      <c r="D943" s="7" t="s">
        <v>9752</v>
      </c>
      <c r="E943" s="1" t="s">
        <v>1001</v>
      </c>
      <c r="F943" s="1" t="s">
        <v>1584</v>
      </c>
      <c r="G943" s="1"/>
      <c r="J943" s="1" t="s">
        <v>9753</v>
      </c>
      <c r="K943" s="2" t="s">
        <v>9272</v>
      </c>
      <c r="L943" s="2" t="s">
        <v>9273</v>
      </c>
      <c r="M943" s="1" t="s">
        <v>12207</v>
      </c>
      <c r="P943" s="7" t="s">
        <v>1241</v>
      </c>
      <c r="Q943" s="13" t="str">
        <f>INDEX($L:$L, MATCH("inform", $B:$B, 0))</f>
        <v>&lt;span class="w"&gt;&lt;b&gt;【508.inform：〜に知らせる, 情報を提供する】&lt;/b&gt;&lt;/span&gt;
&lt;span class="ml"&gt;ラテン語に由来する語で、以下の2つの要素から成る。
&lt;span class="spacer"&gt;&lt;/span&gt;in（中に）
formare（形作る）
&lt;span class="spacer"&gt;&lt;/span&gt;このまま日本語にすると「内側に形作る」となる。これは、相手の頭の中に知識を形成するというイメージ。ここから、教育によって教えることへとつながる。そして教育することから情報の伝達が意味の中心となり、相手に「情報を与える, 知らせる」という意味になった。&lt;/span&gt;</v>
      </c>
      <c r="R943" s="13" t="str">
        <f>INDEX($L:$L, MATCH("transform", $B:$B, 0))</f>
        <v>&lt;span class="w"&gt;&lt;b&gt;【519.transform：〜を変える】&lt;/b&gt;&lt;/span&gt;
&lt;span class="ml"&gt;ラテン語に由来する語で、以下の2つの要素から成る。
&lt;span class="spacer"&gt;&lt;/span&gt;trans（越えて）
forma（形）から派生したformare（形作る）
&lt;span class="spacer"&gt;&lt;/span&gt;このまま日本語にすると「越えて形作る」となる。これは、今ある状態から別の状態へと形を変えるイメージで、形や質を「変える」という意味になる。&lt;/span&gt;</v>
      </c>
      <c r="S943" s="13" t="str">
        <f>INDEX($L:$L, MATCH("reform", $B:$B, 0))</f>
        <v>&lt;span class="w"&gt;&lt;b&gt;【735.reform：〜を改革する, 〜を改心させる】&lt;/b&gt;&lt;/span&gt;
&lt;span class="ml"&gt;ラテン語に由来する語で、以下の2つの要素から成る。
&lt;span class="spacer"&gt;&lt;/span&gt;re（再び）
formare（形作る）
&lt;span class="spacer"&gt;&lt;/span&gt;このまま日本語にすると「再び形作る」となる。これは、前よりも良い形に変えることを表し、人を「改心させる」や政府や制度を「改革する」という意味になる。&lt;/span&gt;</v>
      </c>
      <c r="T943" s="13" t="str">
        <f>INDEX($L:$L, MATCH("platform", $B:$B, 0))</f>
        <v>&lt;span class="w"&gt;&lt;b&gt;【771.platform：プラットフォーム, 演壇, 舞台】&lt;/b&gt;&lt;/span&gt;
&lt;span class="ml"&gt;古フランス語に由来する語で、以下の2つの要素から成る。
&lt;span class="spacer"&gt;&lt;/span&gt;plat（平らな, 水平な）
forme（形）
&lt;span class="spacer"&gt;&lt;/span&gt;このまま日本語にすると「平らな形」となる。最初は建物の平面図や地形の平らな場所を指したが、そこから物理的な一段高くなった台、つまり「駅のホーム」や「演壇, 舞台」といった意味になった。
&lt;span class="spacer"&gt;&lt;/span&gt;さらにその後、意見や方針を発表するための基盤＝政党の綱領や現代のITプラットフォームなどといった抽象的な意味にも広がった。&lt;/span&gt;</v>
      </c>
      <c r="U943" s="13" t="str">
        <f>INDEX($L:$L, MATCH("format", $B:$B, 0))</f>
        <v>&lt;span class="w"&gt;&lt;b&gt;【1263.format：書式, 形式】&lt;/b&gt;&lt;/span&gt;
&lt;span class="ml"&gt;ラテン語forma（型, 形）に由来する。
&lt;span class="spacer"&gt;&lt;/span&gt;もともとは、本を作る際の形や大きさなど、決められた型を表した。本や文章は決まった形を持たないので、どんなふうにでも表現できてしまう。それらに対して、形やサイズ、どこにどんな文章を配置するかなど、明確な形を与えるのがフォーマット。
&lt;span class="spacer"&gt;&lt;/span&gt;いまでは本に限らず、データや履歴書、テレビ番組などの様々なものに対して決まった形、つまり「書式, 形式」という意味で使われる。&lt;/span&gt;</v>
      </c>
      <c r="V943" s="13" t="str">
        <f>INDEX($L:$L, MATCH("informal", $B:$B, 0))</f>
        <v>&lt;span class="w"&gt;&lt;b&gt;【982.informal：形式ばらない】&lt;/b&gt;&lt;/span&gt;
&lt;span class="ml"&gt;ラテン語に由来する語で、以下の3つの要素から成る。
&lt;span class="spacer"&gt;&lt;/span&gt;&lt;span class="obsolete"&gt;in（否定）は英語段階で付いた&lt;/span&gt;
forma（形, 型）
alis（形容詞化）
&lt;span class="spacer"&gt;&lt;/span&gt;形や型を表すformから、決まった型があるformalになる。そしてそれを否定したinformalは「型がない, 形式ばらない」という意味になる。&lt;/span&gt;</v>
      </c>
      <c r="W943" s="13" t="str">
        <f>INDEX($L:$L, MATCH("formula", $B:$B, 0))</f>
        <v>&lt;span class="w"&gt;&lt;b&gt;【1366.formula：方法, 公式】&lt;/b&gt;&lt;/span&gt;
&lt;span class="ml"&gt;ラテン語
forma（形, 型）
ula（小さいことを表す）
&lt;span class="spacer"&gt;&lt;/span&gt;このまま日本語にすると「小さな型（フォーム）」となり、もともとは同じものを量産するためのひな型を表した。ひな型に材料を流し込めば必ず同じ形ができるように、同じ手順を踏めば同じ結果になるという考えから、決まった型通りの「方法」や数学の「公式」という意味になった。&lt;/span&gt;</v>
      </c>
      <c r="AU943" s="15"/>
      <c r="AV943" s="1" t="s">
        <v>1502</v>
      </c>
      <c r="BG943" s="7" t="s">
        <v>1503</v>
      </c>
      <c r="BH943" s="1" t="s">
        <v>2034</v>
      </c>
      <c r="BI943" s="2" t="s">
        <v>5089</v>
      </c>
      <c r="BJ943" s="1" t="s">
        <v>1504</v>
      </c>
      <c r="BK943" s="1" t="s">
        <v>5090</v>
      </c>
      <c r="BL943" s="1" t="s">
        <v>2044</v>
      </c>
      <c r="BM943" s="2" t="s">
        <v>5091</v>
      </c>
      <c r="BN943" s="1" t="s">
        <v>1883</v>
      </c>
      <c r="BO943" s="2" t="s">
        <v>5092</v>
      </c>
    </row>
    <row r="944" spans="1:69" ht="378" x14ac:dyDescent="0.45">
      <c r="A944" s="5">
        <v>943</v>
      </c>
      <c r="B944" s="8" t="s">
        <v>5093</v>
      </c>
      <c r="C944" s="6" t="s">
        <v>6850</v>
      </c>
      <c r="D944" s="7" t="s">
        <v>9752</v>
      </c>
      <c r="E944" s="1" t="s">
        <v>1631</v>
      </c>
      <c r="F944" s="1" t="s">
        <v>9000</v>
      </c>
      <c r="G944" s="1" t="s">
        <v>1584</v>
      </c>
      <c r="J944" s="1" t="s">
        <v>9753</v>
      </c>
      <c r="K944" s="2" t="s">
        <v>9274</v>
      </c>
      <c r="L944" s="3" t="s">
        <v>10269</v>
      </c>
      <c r="P944" s="7" t="s">
        <v>1241</v>
      </c>
      <c r="Q944" s="13" t="str">
        <f>INDEX($L:$L, MATCH("measure", $B:$B, 0))</f>
        <v>&lt;span class="w"&gt;&lt;b&gt;【32.measure：～を計測する】&lt;/b&gt;&lt;/span&gt;
&lt;span class="ml"&gt;ラテン語metri（測る）に由来する。
&lt;span class="spacer"&gt;&lt;/span&gt;ラテン語から意味の変化はほとんどない。&lt;/span&gt;</v>
      </c>
      <c r="AU944" s="15"/>
      <c r="AV944" s="1" t="s">
        <v>1502</v>
      </c>
      <c r="BG944" s="7" t="s">
        <v>1503</v>
      </c>
      <c r="BH944" s="1" t="s">
        <v>2034</v>
      </c>
      <c r="BI944" s="2" t="s">
        <v>9275</v>
      </c>
      <c r="BJ944" s="1" t="s">
        <v>2044</v>
      </c>
      <c r="BK944" s="2" t="s">
        <v>5094</v>
      </c>
      <c r="BL944" s="1" t="s">
        <v>1883</v>
      </c>
      <c r="BM944" s="2" t="s">
        <v>5095</v>
      </c>
      <c r="BN944" s="1" t="s">
        <v>4071</v>
      </c>
      <c r="BO944" s="2" t="s">
        <v>5096</v>
      </c>
    </row>
    <row r="945" spans="1:71" ht="108" x14ac:dyDescent="0.45">
      <c r="A945" s="5">
        <v>944</v>
      </c>
      <c r="B945" s="6" t="s">
        <v>686</v>
      </c>
      <c r="C945" s="6" t="s">
        <v>6850</v>
      </c>
      <c r="D945" s="7" t="s">
        <v>9752</v>
      </c>
      <c r="E945" s="1" t="s">
        <v>686</v>
      </c>
      <c r="F945" s="1"/>
      <c r="G945" s="1"/>
      <c r="J945" s="1" t="s">
        <v>9753</v>
      </c>
      <c r="K945" s="2" t="s">
        <v>9276</v>
      </c>
      <c r="L945" s="2" t="s">
        <v>9277</v>
      </c>
      <c r="P945" s="7" t="s">
        <v>1241</v>
      </c>
      <c r="Q945" s="13" t="str">
        <f>INDEX($L:$L, MATCH("nerve", $B:$B, 0))</f>
        <v>&lt;span class="w"&gt;&lt;b&gt;【851.nerve：神経, 神経過敏, 〜する度胸（to do）】&lt;/b&gt;&lt;/span&gt;
&lt;span class="ml"&gt;ラテン語nervus（腱, 弓の弦）に由来する。
&lt;span class="spacer"&gt;&lt;/span&gt;もともとは、動物の強靭な腱や、それを乾燥させて作った弓・楽器の弦を表した。この語の核は「ピンと張り詰めた丈夫な糸」。
&lt;span class="spacer"&gt;&lt;/span&gt;古代の医学において、脳や脊髄から伸びる糸のような器官が発見され、これが弓や楽器の弦に似ていたことから「神経」という意味になった。また感情と神経の結びつきから、神経質な状態やイライラした状態＝「神経過敏」という意味に、神経の図太さから「度胸」という意味にもなった。&lt;/span&gt;</v>
      </c>
      <c r="AV945" s="1" t="s">
        <v>1502</v>
      </c>
      <c r="BG945" s="7" t="s">
        <v>1503</v>
      </c>
      <c r="BH945" s="1" t="s">
        <v>2458</v>
      </c>
      <c r="BI945" s="1" t="s">
        <v>5097</v>
      </c>
      <c r="BJ945" s="1" t="s">
        <v>3460</v>
      </c>
      <c r="BK945" s="2" t="s">
        <v>5098</v>
      </c>
      <c r="BL945" s="1" t="s">
        <v>1877</v>
      </c>
      <c r="BM945" s="2" t="s">
        <v>5099</v>
      </c>
    </row>
    <row r="946" spans="1:71" ht="180" x14ac:dyDescent="0.45">
      <c r="A946" s="5">
        <v>945</v>
      </c>
      <c r="B946" s="6" t="s">
        <v>687</v>
      </c>
      <c r="C946" s="6" t="s">
        <v>6850</v>
      </c>
      <c r="D946" s="7" t="s">
        <v>9752</v>
      </c>
      <c r="E946" s="1" t="s">
        <v>9278</v>
      </c>
      <c r="F946" s="1" t="s">
        <v>1584</v>
      </c>
      <c r="G946" s="1"/>
      <c r="J946" s="1" t="s">
        <v>9753</v>
      </c>
      <c r="K946" s="2" t="s">
        <v>9279</v>
      </c>
      <c r="L946" s="2" t="s">
        <v>12087</v>
      </c>
      <c r="M946" s="1" t="s">
        <v>12206</v>
      </c>
      <c r="P946" s="7" t="s">
        <v>1241</v>
      </c>
      <c r="Q946" s="13" t="str">
        <f>INDEX($L:$L, MATCH("sensitive", $B:$B, 0))</f>
        <v>&lt;span class="w"&gt;&lt;b&gt;【494.sensitive：敏感な, 神経質な】&lt;/b&gt;&lt;/span&gt;
&lt;span class="ml"&gt;ラテン語に由来する語で、以下の2つの要素から成る。
&lt;span class="spacer"&gt;&lt;/span&gt;sentire（感じる）
ivus（形容詞化）
&lt;span class="spacer"&gt;&lt;/span&gt;この語の核は「感覚で受け取ること」。もともとは物理的な刺激を感じ取る能力がある状態を表していた。そこから、わずかな変化も察知する「敏感な, 神経質な」という意味になった。&lt;/span&gt;</v>
      </c>
      <c r="R946" s="13" t="str">
        <f>INDEX($L:$L, MATCH("sensory", $B:$B, 0))</f>
        <v>&lt;span class="w"&gt;&lt;b&gt;【1197.sensory：感覚の】&lt;/b&gt;&lt;/span&gt;
&lt;span class="ml"&gt;ラテン語に由来する語で、以下の2つの要素から成る。
&lt;span class="spacer"&gt;&lt;/span&gt;sentire（感じる）から派生したsensus（感覚）
orius（形容詞化）
&lt;span class="spacer"&gt;&lt;/span&gt;このまま日本語にすれば「感覚の」という意味になる。sense（感覚）の形容詞として覚えればよい。&lt;/span&gt;</v>
      </c>
      <c r="S946" s="13" t="str">
        <f>INDEX($L:$L, MATCH("sensible", $B:$B, 0))</f>
        <v>&lt;span class="w"&gt;&lt;b&gt;【1183.sensible：賢明な, 実用的な】&lt;/b&gt;&lt;/span&gt;
&lt;span class="ml"&gt;ラテン語に由来する語で、以下の2つの要素から成る。
&lt;span class="spacer"&gt;&lt;/span&gt;sentire（感じる）から派生したsensus（感覚）
bilis（できる）
&lt;span class="spacer"&gt;&lt;/span&gt;もともとは、感覚によって把握できるという物理的な知覚を表していた。そこから、精神（理性）で把握する能力があるという知的な意味へと変化して「賢明な」という意味になった。
&lt;span class="spacer"&gt;&lt;/span&gt;また、この賢明であるということから衣服や靴などについて、しっかり考えて作られており、機能的で理にかなっている＝「実用的な」という意味になった。
&lt;div class="sample_image sensible"&gt;&lt;/div&gt;&lt;/span&gt;</v>
      </c>
      <c r="T946" s="13" t="str">
        <f>INDEX($L:$L, MATCH("consent", $B:$B, 0))</f>
        <v>&lt;span class="w"&gt;&lt;b&gt;【1275.consent：同意, 承諾】&lt;/b&gt;&lt;/span&gt;
&lt;span class="ml"&gt;ラテン語に由来する語で、以下の2つの要素から成る。
&lt;span class="spacer"&gt;&lt;/span&gt;con（共に）
sentire（感じる）
&lt;span class="spacer"&gt;&lt;/span&gt;このまま日本語にすると「共に感じる」となる。感情や判断が一致することから「同意, 承諾」という意味になった。&lt;/span&gt;</v>
      </c>
      <c r="U946" s="13" t="str">
        <f>INDEX($L:$L, MATCH("consensus", $B:$B, 0))</f>
        <v>&lt;span class="w"&gt;&lt;b&gt;【1153.consensus：総意, 意見の一致】&lt;/b&gt;&lt;/span&gt;
&lt;span class="ml"&gt;ラテン語に由来する語で、以下の2つの要素から成る。
&lt;span class="spacer"&gt;&lt;/span&gt;con（共に）
sentire（感じる）
&lt;span class="spacer"&gt;&lt;/span&gt;このまま日本語にすると「共に感じる」となる。もともとは、生理学において、身体の異なる器官が連動して反応すること（交感・共鳴）を表した。その異なるもの同士の連動というニュアンスが、人間社会の集団に対して使われるようになり、集団における人々の考えの連動＝「総意, 意見の一致」という意味になった。
&lt;div class="sample_image consensus"&gt;&lt;/div&gt;&lt;/span&gt;</v>
      </c>
      <c r="V946" s="13" t="str">
        <f>INDEX($L:$L, MATCH("scent", $B:$B, 0))</f>
        <v>&lt;span class="w"&gt;&lt;b&gt;【1156.scent：香り】&lt;/b&gt;&lt;/span&gt;
&lt;span class="ml"&gt;ラテン語sentire（感じる）に由来する。
&lt;span class="spacer"&gt;&lt;/span&gt;感覚の中でも嗅覚に関して使われ、もともとは狩猟において、猟犬が嗅ぎ取る獣のにおいを表した。そこから、空気中にただよう様々な印象的なにおいを表すようになり、一般的な「香り」という意味になった。
&lt;span class="spacer"&gt;&lt;/span&gt;scentのスペルには、本来cは存在しなかった。しかし後にscienceのような他のscというスペルに影響され、cが挿入された。つまり、本当はsense（感覚）に似たsentというスペルだった。&lt;/span&gt;</v>
      </c>
      <c r="AU946" s="15"/>
      <c r="AV946" s="1" t="s">
        <v>1502</v>
      </c>
      <c r="BG946" s="7" t="s">
        <v>1503</v>
      </c>
      <c r="BH946" s="1" t="s">
        <v>1947</v>
      </c>
      <c r="BI946" s="2" t="s">
        <v>5100</v>
      </c>
      <c r="BJ946" s="1" t="s">
        <v>2036</v>
      </c>
      <c r="BK946" s="1" t="s">
        <v>5101</v>
      </c>
      <c r="BL946" s="1" t="s">
        <v>1967</v>
      </c>
      <c r="BM946" s="1" t="s">
        <v>5102</v>
      </c>
      <c r="BN946" s="1" t="s">
        <v>1996</v>
      </c>
      <c r="BO946" s="2" t="s">
        <v>5103</v>
      </c>
      <c r="BP946" s="1" t="s">
        <v>1877</v>
      </c>
      <c r="BQ946" s="2" t="s">
        <v>5104</v>
      </c>
    </row>
    <row r="947" spans="1:71" ht="144" x14ac:dyDescent="0.45">
      <c r="A947" s="5">
        <v>946</v>
      </c>
      <c r="B947" s="6" t="s">
        <v>688</v>
      </c>
      <c r="C947" s="6" t="s">
        <v>6850</v>
      </c>
      <c r="D947" s="7" t="s">
        <v>9752</v>
      </c>
      <c r="E947" s="1" t="s">
        <v>688</v>
      </c>
      <c r="F947" s="1"/>
      <c r="G947" s="1"/>
      <c r="J947" s="1" t="s">
        <v>9753</v>
      </c>
      <c r="K947" s="1" t="s">
        <v>9280</v>
      </c>
      <c r="L947" s="3" t="s">
        <v>9281</v>
      </c>
      <c r="P947" s="7" t="s">
        <v>1241</v>
      </c>
      <c r="AV947" s="1" t="s">
        <v>1502</v>
      </c>
      <c r="BG947" s="7" t="s">
        <v>1503</v>
      </c>
      <c r="BH947" s="1" t="s">
        <v>2458</v>
      </c>
      <c r="BI947" s="1" t="s">
        <v>5105</v>
      </c>
      <c r="BJ947" s="1" t="s">
        <v>1947</v>
      </c>
      <c r="BK947" s="1" t="s">
        <v>5106</v>
      </c>
      <c r="BL947" s="1" t="s">
        <v>2036</v>
      </c>
      <c r="BM947" s="1" t="s">
        <v>5107</v>
      </c>
      <c r="BN947" s="1" t="s">
        <v>1996</v>
      </c>
      <c r="BO947" s="1" t="s">
        <v>5108</v>
      </c>
      <c r="BP947" s="1" t="s">
        <v>1877</v>
      </c>
      <c r="BQ947" s="2" t="s">
        <v>5109</v>
      </c>
      <c r="BR947" s="1" t="s">
        <v>3496</v>
      </c>
      <c r="BS947" s="2" t="s">
        <v>5110</v>
      </c>
    </row>
    <row r="948" spans="1:71" ht="162" x14ac:dyDescent="0.45">
      <c r="A948" s="5">
        <v>947</v>
      </c>
      <c r="B948" s="6" t="s">
        <v>689</v>
      </c>
      <c r="C948" s="6" t="s">
        <v>6850</v>
      </c>
      <c r="D948" s="7" t="s">
        <v>9752</v>
      </c>
      <c r="E948" s="1" t="s">
        <v>5111</v>
      </c>
      <c r="F948" s="1" t="s">
        <v>5112</v>
      </c>
      <c r="G948" s="1"/>
      <c r="J948" s="1" t="s">
        <v>9753</v>
      </c>
      <c r="L948" s="2" t="s">
        <v>9282</v>
      </c>
      <c r="P948" s="7" t="s">
        <v>1241</v>
      </c>
      <c r="AU948" s="15"/>
      <c r="AV948" s="1" t="s">
        <v>1502</v>
      </c>
      <c r="BG948" s="7" t="s">
        <v>1503</v>
      </c>
      <c r="BH948" s="1" t="s">
        <v>2458</v>
      </c>
      <c r="BI948" s="2" t="s">
        <v>5113</v>
      </c>
      <c r="BJ948" s="1" t="s">
        <v>1947</v>
      </c>
      <c r="BK948" s="1" t="s">
        <v>5114</v>
      </c>
      <c r="BL948" s="1" t="s">
        <v>1996</v>
      </c>
      <c r="BM948" s="2" t="s">
        <v>5115</v>
      </c>
      <c r="BN948" s="1" t="s">
        <v>1877</v>
      </c>
      <c r="BO948" s="2" t="s">
        <v>5116</v>
      </c>
    </row>
    <row r="949" spans="1:71" ht="234" x14ac:dyDescent="0.45">
      <c r="A949" s="5">
        <v>948</v>
      </c>
      <c r="B949" s="6" t="s">
        <v>690</v>
      </c>
      <c r="C949" s="6" t="s">
        <v>6850</v>
      </c>
      <c r="D949" s="7" t="s">
        <v>9752</v>
      </c>
      <c r="E949" s="1" t="s">
        <v>690</v>
      </c>
      <c r="F949" s="1"/>
      <c r="G949" s="1"/>
      <c r="J949" s="1" t="s">
        <v>9753</v>
      </c>
      <c r="L949" s="3" t="s">
        <v>9283</v>
      </c>
      <c r="P949" s="7" t="s">
        <v>1241</v>
      </c>
      <c r="AV949" s="1" t="s">
        <v>1502</v>
      </c>
      <c r="BG949" s="7" t="s">
        <v>1503</v>
      </c>
      <c r="BH949" s="1" t="s">
        <v>1947</v>
      </c>
      <c r="BI949" s="1" t="s">
        <v>5117</v>
      </c>
      <c r="BJ949" s="1" t="s">
        <v>2026</v>
      </c>
      <c r="BK949" s="2" t="s">
        <v>5118</v>
      </c>
      <c r="BL949" s="1" t="s">
        <v>1959</v>
      </c>
      <c r="BM949" s="1" t="s">
        <v>5119</v>
      </c>
      <c r="BN949" s="1" t="s">
        <v>2114</v>
      </c>
      <c r="BO949" s="2" t="s">
        <v>5120</v>
      </c>
      <c r="BP949" s="1" t="s">
        <v>1875</v>
      </c>
      <c r="BQ949" s="2" t="s">
        <v>5121</v>
      </c>
      <c r="BR949" s="1" t="s">
        <v>1877</v>
      </c>
      <c r="BS949" s="2" t="s">
        <v>5122</v>
      </c>
    </row>
    <row r="950" spans="1:71" ht="126" x14ac:dyDescent="0.45">
      <c r="A950" s="5">
        <v>949</v>
      </c>
      <c r="B950" s="6" t="s">
        <v>691</v>
      </c>
      <c r="C950" s="6" t="s">
        <v>6850</v>
      </c>
      <c r="D950" s="7" t="s">
        <v>9752</v>
      </c>
      <c r="E950" s="1" t="s">
        <v>1833</v>
      </c>
      <c r="F950" s="1" t="s">
        <v>5123</v>
      </c>
      <c r="G950" s="1" t="s">
        <v>5124</v>
      </c>
      <c r="J950" s="1" t="s">
        <v>9753</v>
      </c>
      <c r="K950" s="1" t="s">
        <v>5125</v>
      </c>
      <c r="L950" s="2" t="s">
        <v>9284</v>
      </c>
      <c r="P950" s="7" t="s">
        <v>1241</v>
      </c>
      <c r="AU950" s="15"/>
      <c r="AV950" s="1" t="s">
        <v>1502</v>
      </c>
      <c r="BG950" s="7" t="s">
        <v>1503</v>
      </c>
      <c r="BH950" s="1" t="s">
        <v>1947</v>
      </c>
      <c r="BI950" s="2" t="s">
        <v>9285</v>
      </c>
      <c r="BJ950" s="1" t="s">
        <v>3460</v>
      </c>
      <c r="BK950" s="1" t="s">
        <v>5126</v>
      </c>
      <c r="BL950" s="1" t="s">
        <v>1877</v>
      </c>
      <c r="BM950" s="2" t="s">
        <v>5127</v>
      </c>
    </row>
    <row r="951" spans="1:71" ht="144" x14ac:dyDescent="0.45">
      <c r="A951" s="5">
        <v>950</v>
      </c>
      <c r="B951" s="8" t="s">
        <v>692</v>
      </c>
      <c r="C951" s="6" t="s">
        <v>6850</v>
      </c>
      <c r="D951" s="7" t="s">
        <v>9752</v>
      </c>
      <c r="E951" s="1" t="s">
        <v>5128</v>
      </c>
      <c r="F951" s="1" t="s">
        <v>60</v>
      </c>
      <c r="G951" s="1"/>
      <c r="J951" s="1" t="s">
        <v>9753</v>
      </c>
      <c r="K951" s="1" t="s">
        <v>5129</v>
      </c>
      <c r="L951" s="2" t="s">
        <v>9286</v>
      </c>
      <c r="P951" s="7" t="s">
        <v>1241</v>
      </c>
      <c r="AU951" s="15"/>
      <c r="AV951" s="1" t="s">
        <v>1502</v>
      </c>
      <c r="BG951" s="7" t="s">
        <v>1503</v>
      </c>
      <c r="BH951" s="1" t="s">
        <v>3496</v>
      </c>
      <c r="BI951" s="2" t="s">
        <v>5130</v>
      </c>
    </row>
    <row r="952" spans="1:71" ht="126" x14ac:dyDescent="0.45">
      <c r="A952" s="5">
        <v>951</v>
      </c>
      <c r="B952" s="6" t="s">
        <v>693</v>
      </c>
      <c r="C952" s="6" t="s">
        <v>6850</v>
      </c>
      <c r="D952" s="7" t="s">
        <v>9752</v>
      </c>
      <c r="E952" s="1" t="s">
        <v>693</v>
      </c>
      <c r="F952" s="1"/>
      <c r="G952" s="1"/>
      <c r="J952" s="1" t="s">
        <v>9753</v>
      </c>
      <c r="L952" s="3" t="s">
        <v>9287</v>
      </c>
      <c r="P952" s="7" t="s">
        <v>1241</v>
      </c>
      <c r="AU952" s="15"/>
      <c r="AV952" s="1" t="s">
        <v>1502</v>
      </c>
      <c r="BG952" s="7" t="s">
        <v>1503</v>
      </c>
      <c r="BH952" s="1" t="s">
        <v>1947</v>
      </c>
      <c r="BI952" s="2" t="s">
        <v>5131</v>
      </c>
      <c r="BJ952" s="1" t="s">
        <v>2036</v>
      </c>
      <c r="BK952" s="1" t="s">
        <v>5132</v>
      </c>
      <c r="BL952" s="1" t="s">
        <v>1872</v>
      </c>
      <c r="BM952" s="1" t="s">
        <v>5133</v>
      </c>
      <c r="BN952" s="1" t="s">
        <v>1875</v>
      </c>
      <c r="BO952" s="1" t="s">
        <v>5134</v>
      </c>
      <c r="BP952" s="1" t="s">
        <v>1877</v>
      </c>
      <c r="BQ952" s="2" t="s">
        <v>5135</v>
      </c>
    </row>
    <row r="953" spans="1:71" ht="126" x14ac:dyDescent="0.45">
      <c r="A953" s="5">
        <v>952</v>
      </c>
      <c r="B953" s="6" t="s">
        <v>694</v>
      </c>
      <c r="C953" s="6" t="s">
        <v>6850</v>
      </c>
      <c r="D953" s="7" t="s">
        <v>9752</v>
      </c>
      <c r="E953" s="1" t="s">
        <v>1721</v>
      </c>
      <c r="F953" s="1" t="s">
        <v>5136</v>
      </c>
      <c r="G953" s="1"/>
      <c r="J953" s="1" t="s">
        <v>9753</v>
      </c>
      <c r="K953" s="1" t="s">
        <v>9288</v>
      </c>
      <c r="L953" s="2" t="s">
        <v>9289</v>
      </c>
      <c r="M953" s="1" t="s">
        <v>12216</v>
      </c>
      <c r="P953" s="7" t="s">
        <v>1241</v>
      </c>
      <c r="Q953" s="13" t="str">
        <f>INDEX($L:$L, MATCH("usage", $B:$B, 0))</f>
        <v>&lt;span class="w"&gt;&lt;b&gt;【776.usage：使われ方, 語法, 慣習】&lt;/b&gt;&lt;/span&gt;
&lt;span class="ml"&gt;ラテン語に由来する語で、以下の2つの要素から成る。
uti（使う：useの語源）
&lt;span class="obsolete"&gt;age（〜すること）はフランス語段階で付いた&lt;/span&gt;
&lt;span class="spacer"&gt;&lt;/span&gt;このまま日本語にすると「使うこと」となる。もともとは、人々が繰り返し使うことによって作り上げられる「慣習」を意味した。
&lt;span class="spacer"&gt;&lt;/span&gt;そこから、繰り返し使われることで確立された言葉の使い方＝「語法」や、言葉に限らず様々なものの日常的な「使われ方」、データや資源などの「使用量」などの意味になった。&lt;/span&gt;</v>
      </c>
      <c r="R953" s="13" t="str">
        <f>INDEX($L:$L, MATCH("utility", $B:$B, 0))</f>
        <v>&lt;span class="w"&gt;&lt;b&gt;【1251.utility：公共事業, 公共料金, 実用性】&lt;/b&gt;&lt;/span&gt;
&lt;span class="ml"&gt;ラテン語に由来する語で、以下の3つの要素から成る。
&lt;span class="spacer"&gt;&lt;/span&gt;uti（利用する：useの語源）
ilis（形容詞化）
tas（名詞化）
&lt;span class="spacer"&gt;&lt;/span&gt;この語は、動詞「使う」から形容詞「使える状態の」となり、さらに名詞「使えること, 役立つこと」へと発展した。実際に使えて役立つことから「実用性」という意味になる。
&lt;span class="spacer"&gt;&lt;/span&gt;またpublic utilityで「公共の役立つこと＝公共事業」という意味で使われていたが、次第にutilityの1語で「公共事業」や「公共料金」を意味するようになった。&lt;/span&gt;</v>
      </c>
      <c r="S953" s="13" t="str">
        <f>INDEX($L:$L, MATCH("utilize", $B:$B, 0))</f>
        <v>&lt;span class="w"&gt;&lt;b&gt;【1324.utilize：〜を利用する, 〜を活用する】&lt;/b&gt;&lt;/span&gt;
&lt;span class="ml"&gt;ラテン語に由来する語で、以下の3つの要素から成る。
&lt;span class="spacer"&gt;&lt;/span&gt;uti（使う）
ilis（形容詞化）
&lt;span class="obsolete"&gt;ize（動詞化）はイタリア語やフランス語段階で付いた&lt;/span&gt;
&lt;span class="spacer"&gt;&lt;/span&gt;utilizeは、utilにizeが付くことで動詞となっているが、ityが付けばutility（実用性, 公共事業）となる。つまりutil部分の核は「実用面で役立つ」であり、動詞utilizeは「役立つ状態にする」が根本にある。
&lt;span class="spacer"&gt;&lt;/span&gt;役に立つようにすることから「利用する, 活用する」という意味になる。&lt;/span&gt;</v>
      </c>
      <c r="AU953" s="15"/>
      <c r="AV953" s="1" t="s">
        <v>1502</v>
      </c>
      <c r="BG953" s="7" t="s">
        <v>1503</v>
      </c>
      <c r="BH953" s="1" t="s">
        <v>1947</v>
      </c>
      <c r="BI953" s="2" t="s">
        <v>5137</v>
      </c>
      <c r="BJ953" s="1" t="s">
        <v>1959</v>
      </c>
      <c r="BK953" s="2" t="s">
        <v>5138</v>
      </c>
      <c r="BL953" s="1" t="s">
        <v>1875</v>
      </c>
      <c r="BM953" s="2" t="s">
        <v>5139</v>
      </c>
      <c r="BN953" s="1" t="s">
        <v>3496</v>
      </c>
      <c r="BO953" s="2" t="s">
        <v>5140</v>
      </c>
    </row>
    <row r="954" spans="1:71" ht="108" x14ac:dyDescent="0.45">
      <c r="A954" s="5">
        <v>953</v>
      </c>
      <c r="B954" s="6" t="s">
        <v>695</v>
      </c>
      <c r="C954" s="6" t="s">
        <v>6850</v>
      </c>
      <c r="D954" s="7" t="s">
        <v>9752</v>
      </c>
      <c r="E954" s="1" t="s">
        <v>695</v>
      </c>
      <c r="F954" s="1"/>
      <c r="G954" s="1"/>
      <c r="J954" s="1" t="s">
        <v>9753</v>
      </c>
      <c r="L954" s="2" t="s">
        <v>9290</v>
      </c>
      <c r="P954" s="7" t="s">
        <v>1241</v>
      </c>
      <c r="AV954" s="1" t="s">
        <v>1502</v>
      </c>
      <c r="BG954" s="7" t="s">
        <v>1503</v>
      </c>
      <c r="BH954" s="1" t="s">
        <v>1947</v>
      </c>
      <c r="BI954" s="1" t="s">
        <v>9291</v>
      </c>
      <c r="BJ954" s="1" t="s">
        <v>1959</v>
      </c>
      <c r="BK954" s="2" t="s">
        <v>5141</v>
      </c>
      <c r="BL954" s="1" t="s">
        <v>1875</v>
      </c>
      <c r="BM954" s="2" t="s">
        <v>5142</v>
      </c>
    </row>
    <row r="955" spans="1:71" ht="108" x14ac:dyDescent="0.45">
      <c r="A955" s="5">
        <v>954</v>
      </c>
      <c r="B955" s="6" t="s">
        <v>696</v>
      </c>
      <c r="C955" s="6" t="s">
        <v>6850</v>
      </c>
      <c r="D955" s="7" t="s">
        <v>9752</v>
      </c>
      <c r="E955" s="1" t="s">
        <v>696</v>
      </c>
      <c r="F955" s="1"/>
      <c r="G955" s="1"/>
      <c r="J955" s="1" t="s">
        <v>9753</v>
      </c>
      <c r="L955" s="2" t="s">
        <v>9292</v>
      </c>
      <c r="P955" s="7" t="s">
        <v>1241</v>
      </c>
      <c r="Q955" s="13" t="str">
        <f>INDEX($L:$L, MATCH("profession", $B:$B, 0))</f>
        <v>&lt;span class="w"&gt;&lt;b&gt;【750.profession：職業, 専門職】&lt;/b&gt;&lt;/span&gt;
&lt;span class="ml"&gt;ラテン語に由来する語で、以下の2つの要素から成る。
&lt;span class="spacer"&gt;&lt;/span&gt;pro（前へ）
fateri（話す, 告げる）
io（名詞化）
&lt;span class="spacer"&gt;&lt;/span&gt;この語の核は「人前で話すこと」。自分が熟達しいると公言できる専門知識や技術が必要な「職業, 専門職」という意味になった。&lt;/span&gt;</v>
      </c>
      <c r="AU955" s="15"/>
      <c r="AV955" s="1" t="s">
        <v>1502</v>
      </c>
      <c r="BG955" s="7" t="s">
        <v>1503</v>
      </c>
      <c r="BH955" s="1" t="s">
        <v>1947</v>
      </c>
      <c r="BI955" s="2" t="s">
        <v>5143</v>
      </c>
      <c r="BJ955" s="1" t="s">
        <v>1959</v>
      </c>
      <c r="BK955" s="1" t="s">
        <v>696</v>
      </c>
      <c r="BL955" s="1" t="s">
        <v>1875</v>
      </c>
      <c r="BM955" s="2" t="s">
        <v>5144</v>
      </c>
      <c r="BN955" s="1" t="s">
        <v>1877</v>
      </c>
      <c r="BO955" s="2" t="s">
        <v>5145</v>
      </c>
    </row>
    <row r="956" spans="1:71" ht="144" x14ac:dyDescent="0.45">
      <c r="A956" s="5">
        <v>955</v>
      </c>
      <c r="B956" s="6" t="s">
        <v>697</v>
      </c>
      <c r="C956" s="6" t="s">
        <v>6850</v>
      </c>
      <c r="D956" s="7" t="s">
        <v>9752</v>
      </c>
      <c r="E956" s="1" t="s">
        <v>5146</v>
      </c>
      <c r="F956" s="1" t="s">
        <v>5147</v>
      </c>
      <c r="G956" s="1"/>
      <c r="J956" s="1" t="s">
        <v>9753</v>
      </c>
      <c r="K956" s="1" t="s">
        <v>5148</v>
      </c>
      <c r="L956" s="2" t="s">
        <v>9293</v>
      </c>
      <c r="P956" s="7" t="s">
        <v>1241</v>
      </c>
      <c r="AU956" s="15"/>
      <c r="AV956" s="1" t="s">
        <v>1502</v>
      </c>
      <c r="BG956" s="7" t="s">
        <v>1503</v>
      </c>
      <c r="BH956" s="1" t="s">
        <v>2458</v>
      </c>
      <c r="BI956" s="2" t="s">
        <v>5149</v>
      </c>
      <c r="BJ956" s="1" t="s">
        <v>1947</v>
      </c>
      <c r="BK956" s="1" t="s">
        <v>5150</v>
      </c>
      <c r="BL956" s="1" t="s">
        <v>1959</v>
      </c>
      <c r="BM956" s="2" t="s">
        <v>5151</v>
      </c>
      <c r="BN956" s="1" t="s">
        <v>1875</v>
      </c>
      <c r="BO956" s="2" t="s">
        <v>5152</v>
      </c>
      <c r="BP956" s="1" t="s">
        <v>1877</v>
      </c>
      <c r="BQ956" s="2" t="s">
        <v>5153</v>
      </c>
    </row>
    <row r="957" spans="1:71" ht="144" x14ac:dyDescent="0.45">
      <c r="A957" s="5">
        <v>956</v>
      </c>
      <c r="B957" s="6" t="s">
        <v>698</v>
      </c>
      <c r="C957" s="6" t="s">
        <v>6850</v>
      </c>
      <c r="D957" s="7" t="s">
        <v>9752</v>
      </c>
      <c r="E957" s="1" t="s">
        <v>5154</v>
      </c>
      <c r="F957" s="1" t="s">
        <v>5155</v>
      </c>
      <c r="G957" s="1"/>
      <c r="J957" s="1" t="s">
        <v>9753</v>
      </c>
      <c r="K957" s="2" t="s">
        <v>9294</v>
      </c>
      <c r="L957" s="2" t="s">
        <v>9295</v>
      </c>
      <c r="P957" s="7" t="s">
        <v>1241</v>
      </c>
      <c r="Q957" s="13" t="str">
        <f>INDEX($L:$L, MATCH("scenery", $B:$B, 0))</f>
        <v>&lt;span class="w"&gt;&lt;b&gt;【1175.scenery：（集合的・全体的な）景色（不可算）】&lt;/b&gt;&lt;/span&gt;
&lt;span class="ml"&gt;近代英語にさかのぼり、以下の2つの要素から成る。
&lt;span class="spacer"&gt;&lt;/span&gt;scene（舞台の一つひとつの場面）
ery（集合化）
&lt;span class="spacer"&gt;&lt;/span&gt;sceneは古代ギリシャ語skēnē（テント, 小屋）に由来する。古代ギリシャの演劇では、俳優が着替えや休憩をするためのテントや小屋が舞台の後ろに建てられており、それを舞台のシーンを表す背景として使うようになった。
&lt;span class="spacer"&gt;&lt;/span&gt;そして舞台の場面を表す背景から発展して、現実において、まるで舞台背景のような、その場所全体の外観＝「景色」という意味になった。&lt;/span&gt;</v>
      </c>
      <c r="AV957" s="1" t="s">
        <v>1502</v>
      </c>
      <c r="BG957" s="7" t="s">
        <v>1503</v>
      </c>
      <c r="BH957" s="1" t="s">
        <v>2458</v>
      </c>
      <c r="BI957" s="1" t="s">
        <v>9296</v>
      </c>
      <c r="BJ957" s="1" t="s">
        <v>1947</v>
      </c>
      <c r="BK957" s="1" t="s">
        <v>5156</v>
      </c>
      <c r="BL957" s="1" t="s">
        <v>2036</v>
      </c>
      <c r="BM957" s="2" t="s">
        <v>5157</v>
      </c>
      <c r="BN957" s="1" t="s">
        <v>1994</v>
      </c>
      <c r="BO957" s="1" t="s">
        <v>698</v>
      </c>
      <c r="BP957" s="1" t="s">
        <v>1877</v>
      </c>
      <c r="BQ957" s="2" t="s">
        <v>5158</v>
      </c>
    </row>
    <row r="958" spans="1:71" ht="144" x14ac:dyDescent="0.45">
      <c r="A958" s="5">
        <v>957</v>
      </c>
      <c r="B958" s="8" t="s">
        <v>699</v>
      </c>
      <c r="C958" s="6" t="s">
        <v>6850</v>
      </c>
      <c r="D958" s="7" t="s">
        <v>9752</v>
      </c>
      <c r="E958" s="1" t="s">
        <v>1538</v>
      </c>
      <c r="F958" s="1" t="s">
        <v>5159</v>
      </c>
      <c r="G958" s="1"/>
      <c r="J958" s="1" t="s">
        <v>9753</v>
      </c>
      <c r="K958" s="1" t="s">
        <v>9297</v>
      </c>
      <c r="L958" s="2" t="s">
        <v>9298</v>
      </c>
      <c r="P958" s="7" t="s">
        <v>1241</v>
      </c>
      <c r="Q958" s="13" t="str">
        <f>INDEX($L:$L, MATCH("surgery", $B:$B, 0))</f>
        <v>&lt;span class="w"&gt;&lt;b&gt;【658.surgery：外科手術】&lt;/b&gt;&lt;/span&gt;
&lt;span class="ml"&gt;ギリシャ語に由来する語で、以下の2つの要素から成る。
&lt;span class="spacer"&gt;&lt;/span&gt;kheir（手）
ergon（仕事）
&lt;span class="spacer"&gt;&lt;/span&gt;このまま日本語にすると「手仕事」となる。特に医療において手で行う治療を指し、そこから「外科手術」という意味になった。
&lt;span class="spacer"&gt;&lt;/span&gt;外科医はsurgeonという。&lt;/span&gt;</v>
      </c>
      <c r="R958" s="13" t="str">
        <f>INDEX($L:$L, MATCH("physician", $B:$B, 0))</f>
        <v>&lt;span class="w"&gt;&lt;b&gt;【570.physician：医師, 内科医】&lt;/b&gt;&lt;/span&gt;
&lt;span class="ml"&gt;ギリシャ語physis（自然）に由来する。
&lt;span class="spacer"&gt;&lt;/span&gt;ここでいう自然とは、人工の対義語となる森や川などの自然ではなく、あるものに生まれつき備わった成長や変化の原理を意味する。
&lt;span class="spacer"&gt;&lt;/span&gt;大昔の医師は自然の法則や体液のバランスを理解し、その摂理によって健康を回復させる学者であったため、「自然」から「医師, 内科医」という意味が生まれた。
&lt;span class="spacer"&gt;&lt;/span&gt;一方で外科医（surgeon）は、語源的に「手で行う仕事」を意味する。自然の力や理論に基づく内科的治療に対し、実際に刃物を握って物理的な手作業で治療を行う職人であったためphysicianとは明確に区別され、現在でもその区別が残っている。&lt;/span&gt;</v>
      </c>
      <c r="AU958" s="15"/>
      <c r="AV958" s="1" t="s">
        <v>1502</v>
      </c>
      <c r="BG958" s="7" t="s">
        <v>1503</v>
      </c>
      <c r="BH958" s="1" t="s">
        <v>2458</v>
      </c>
      <c r="BI958" s="2" t="s">
        <v>5160</v>
      </c>
      <c r="BJ958" s="1" t="s">
        <v>3460</v>
      </c>
      <c r="BK958" s="2" t="s">
        <v>9299</v>
      </c>
      <c r="BL958" s="1" t="s">
        <v>3496</v>
      </c>
      <c r="BM958" s="2" t="s">
        <v>5161</v>
      </c>
    </row>
    <row r="959" spans="1:71" ht="72" x14ac:dyDescent="0.45">
      <c r="A959" s="5">
        <v>958</v>
      </c>
      <c r="B959" s="6" t="s">
        <v>700</v>
      </c>
      <c r="C959" s="6" t="s">
        <v>6850</v>
      </c>
      <c r="D959" s="7" t="s">
        <v>9752</v>
      </c>
      <c r="E959" s="1" t="s">
        <v>700</v>
      </c>
      <c r="F959" s="1"/>
      <c r="G959" s="1"/>
      <c r="J959" s="1" t="s">
        <v>9753</v>
      </c>
      <c r="K959" s="1" t="s">
        <v>5162</v>
      </c>
      <c r="L959" s="2" t="s">
        <v>9300</v>
      </c>
      <c r="P959" s="7" t="s">
        <v>1241</v>
      </c>
      <c r="AV959" s="1" t="s">
        <v>1502</v>
      </c>
      <c r="BG959" s="7" t="s">
        <v>1503</v>
      </c>
      <c r="BH959" s="1" t="s">
        <v>1872</v>
      </c>
      <c r="BI959" s="1" t="s">
        <v>5163</v>
      </c>
    </row>
    <row r="960" spans="1:71" ht="144" x14ac:dyDescent="0.45">
      <c r="A960" s="5">
        <v>959</v>
      </c>
      <c r="B960" s="6" t="s">
        <v>701</v>
      </c>
      <c r="C960" s="6" t="s">
        <v>6850</v>
      </c>
      <c r="D960" s="7" t="s">
        <v>9752</v>
      </c>
      <c r="E960" s="1" t="s">
        <v>5006</v>
      </c>
      <c r="F960" s="1" t="s">
        <v>5164</v>
      </c>
      <c r="G960" s="1" t="s">
        <v>1551</v>
      </c>
      <c r="J960" s="1" t="s">
        <v>9753</v>
      </c>
      <c r="L960" s="2" t="s">
        <v>9301</v>
      </c>
      <c r="P960" s="7" t="s">
        <v>1241</v>
      </c>
      <c r="Q960" s="13" t="str">
        <f>INDEX($L:$L, MATCH("biological", $B:$B, 0))</f>
        <v>&lt;span class="w"&gt;&lt;b&gt;【390.biological：生物学の】&lt;/b&gt;&lt;/span&gt;
&lt;span class="ml"&gt;ギリシャ語に由来する語で、以下の2つの要素から成る。
&lt;span class="spacer"&gt;&lt;/span&gt;bios（生命, 生物）
logy（学問）
&lt;span class="spacer"&gt;&lt;/span&gt;ここから1802年にbiology（生物学）が造られる。そしてここに形容詞を作るicalが付いて「生物学の」という意味になる。&lt;/span&gt;</v>
      </c>
      <c r="R960" s="13" t="str">
        <f>INDEX($L:$L, MATCH("microbe", $B:$B, 0))</f>
        <v>&lt;span class="w"&gt;&lt;b&gt;【1162.microbe：微生物, 細菌】&lt;/b&gt;&lt;/span&gt;
&lt;span class="ml"&gt;ギリシャ語をもとに造られた語で、以下の2つの要素から成る。
&lt;span class="spacer"&gt;&lt;/span&gt;mikros（小さい）
bios（生命）
&lt;span class="spacer"&gt;&lt;/span&gt;このまま日本語にすると「小さい生命」すなわち「微生物, 細菌」という意味になる。microは日本語でも使われるマイクロ（ミクロ）で、be部分はbiology（生物学）のバイオ（bio）のこと。&lt;/span&gt;</v>
      </c>
      <c r="AU960" s="15"/>
      <c r="AV960" s="1" t="s">
        <v>1502</v>
      </c>
      <c r="BG960" s="7" t="s">
        <v>1503</v>
      </c>
      <c r="BH960" s="1" t="s">
        <v>2458</v>
      </c>
      <c r="BI960" s="2" t="s">
        <v>5165</v>
      </c>
      <c r="BJ960" s="1" t="s">
        <v>2036</v>
      </c>
      <c r="BK960" s="1" t="s">
        <v>5166</v>
      </c>
      <c r="BL960" s="1" t="s">
        <v>1996</v>
      </c>
      <c r="BM960" s="2" t="s">
        <v>5167</v>
      </c>
      <c r="BN960" s="1" t="s">
        <v>1877</v>
      </c>
      <c r="BO960" s="2" t="s">
        <v>5168</v>
      </c>
    </row>
    <row r="961" spans="1:69" ht="234" x14ac:dyDescent="0.45">
      <c r="A961" s="5">
        <v>960</v>
      </c>
      <c r="B961" s="6" t="s">
        <v>5171</v>
      </c>
      <c r="C961" s="6" t="s">
        <v>6850</v>
      </c>
      <c r="D961" s="7" t="s">
        <v>9752</v>
      </c>
      <c r="E961" s="1" t="s">
        <v>702</v>
      </c>
      <c r="F961" s="1"/>
      <c r="G961" s="1"/>
      <c r="J961" s="1" t="s">
        <v>9753</v>
      </c>
      <c r="K961" s="2" t="s">
        <v>9302</v>
      </c>
      <c r="L961" s="2" t="s">
        <v>9303</v>
      </c>
      <c r="P961" s="7" t="s">
        <v>1241</v>
      </c>
      <c r="AU961" s="15"/>
      <c r="AV961" s="1" t="s">
        <v>1502</v>
      </c>
      <c r="BG961" s="7" t="s">
        <v>1503</v>
      </c>
      <c r="BH961" s="1" t="s">
        <v>1947</v>
      </c>
      <c r="BI961" s="2" t="s">
        <v>5169</v>
      </c>
      <c r="BJ961" s="1" t="s">
        <v>1996</v>
      </c>
      <c r="BK961" s="1" t="s">
        <v>5170</v>
      </c>
      <c r="BL961" s="1" t="s">
        <v>1877</v>
      </c>
      <c r="BM961" s="2" t="s">
        <v>9304</v>
      </c>
    </row>
    <row r="962" spans="1:69" ht="144" x14ac:dyDescent="0.45">
      <c r="A962" s="5">
        <v>961</v>
      </c>
      <c r="B962" s="6" t="s">
        <v>703</v>
      </c>
      <c r="C962" s="6" t="s">
        <v>6850</v>
      </c>
      <c r="D962" s="7" t="s">
        <v>9752</v>
      </c>
      <c r="E962" s="1" t="s">
        <v>5172</v>
      </c>
      <c r="F962" s="1" t="s">
        <v>5173</v>
      </c>
      <c r="G962" s="1"/>
      <c r="J962" s="1" t="s">
        <v>9753</v>
      </c>
      <c r="K962" s="1" t="s">
        <v>9305</v>
      </c>
      <c r="L962" s="2" t="s">
        <v>9306</v>
      </c>
      <c r="P962" s="7" t="s">
        <v>1241</v>
      </c>
      <c r="AU962" s="15"/>
      <c r="AV962" s="1" t="s">
        <v>1502</v>
      </c>
      <c r="BG962" s="7" t="s">
        <v>1503</v>
      </c>
      <c r="BH962" s="1" t="s">
        <v>2458</v>
      </c>
      <c r="BI962" s="2" t="s">
        <v>5174</v>
      </c>
      <c r="BJ962" s="1" t="s">
        <v>1947</v>
      </c>
      <c r="BK962" s="2" t="s">
        <v>5175</v>
      </c>
      <c r="BL962" s="1" t="s">
        <v>1959</v>
      </c>
      <c r="BM962" s="2" t="s">
        <v>5176</v>
      </c>
      <c r="BN962" s="1" t="s">
        <v>1996</v>
      </c>
      <c r="BO962" s="1" t="s">
        <v>5177</v>
      </c>
      <c r="BP962" s="1" t="s">
        <v>1875</v>
      </c>
      <c r="BQ962" s="2" t="s">
        <v>5178</v>
      </c>
    </row>
    <row r="963" spans="1:69" ht="54" x14ac:dyDescent="0.45">
      <c r="A963" s="5">
        <v>962</v>
      </c>
      <c r="B963" s="6" t="s">
        <v>704</v>
      </c>
      <c r="C963" s="6" t="s">
        <v>6850</v>
      </c>
      <c r="D963" s="7" t="s">
        <v>9752</v>
      </c>
      <c r="E963" s="1" t="s">
        <v>704</v>
      </c>
      <c r="F963" s="1"/>
      <c r="G963" s="1"/>
      <c r="J963" s="1" t="s">
        <v>9753</v>
      </c>
      <c r="K963" s="1" t="s">
        <v>5179</v>
      </c>
      <c r="L963" s="2" t="s">
        <v>9307</v>
      </c>
      <c r="P963" s="7" t="s">
        <v>1241</v>
      </c>
      <c r="AV963" s="1" t="s">
        <v>1502</v>
      </c>
      <c r="BG963" s="7" t="s">
        <v>1503</v>
      </c>
      <c r="BH963" s="1" t="s">
        <v>1872</v>
      </c>
      <c r="BI963" s="1" t="s">
        <v>5180</v>
      </c>
      <c r="BJ963" s="1" t="s">
        <v>1875</v>
      </c>
      <c r="BK963" s="1" t="s">
        <v>5181</v>
      </c>
    </row>
    <row r="964" spans="1:69" ht="108" x14ac:dyDescent="0.45">
      <c r="A964" s="5">
        <v>963</v>
      </c>
      <c r="B964" s="8" t="s">
        <v>705</v>
      </c>
      <c r="C964" s="6" t="s">
        <v>6850</v>
      </c>
      <c r="D964" s="7" t="s">
        <v>9752</v>
      </c>
      <c r="E964" s="1" t="s">
        <v>705</v>
      </c>
      <c r="F964" s="1"/>
      <c r="G964" s="1"/>
      <c r="J964" s="1" t="s">
        <v>9753</v>
      </c>
      <c r="L964" s="2" t="s">
        <v>9308</v>
      </c>
      <c r="P964" s="7" t="s">
        <v>1241</v>
      </c>
      <c r="Q964" s="13" t="str">
        <f>INDEX($L:$L, MATCH("welfare", $B:$B, 0))</f>
        <v>&lt;span class="w"&gt;&lt;b&gt;【578.welfare：福祉】&lt;/b&gt;&lt;/span&gt;
&lt;span class="ml"&gt;古英語にさかのぼり、以下の2つの要素から成る。
&lt;span class="spacer"&gt;&lt;/span&gt;wel（良く：wellの語源）
faran（やっていく, 進む）
&lt;span class="spacer"&gt;&lt;/span&gt;このまま日本語にすると「良くやっていく」となる。もともとは、安心もしくは安全な状態で暮らしていくことを表し、ここから市民の安全な生活維持のための「福祉」という意味になった。
&lt;span class="spacer"&gt;&lt;/span&gt;別れを意味するfarewellも同じ古英語にさかのぼる。faren wel（あなたが良くやっていけますように）という別れの挨拶が元になっている。
&lt;span class="spacer"&gt;&lt;/span&gt;またfare（運賃）も古英語faran（進む）にさかのぼる。移動や旅から、その移動手段、そして移動手段の料金という意味になった。&lt;/span&gt;</v>
      </c>
      <c r="AV964" s="1" t="s">
        <v>1502</v>
      </c>
      <c r="BG964" s="7" t="s">
        <v>1503</v>
      </c>
      <c r="BH964" s="1" t="s">
        <v>1872</v>
      </c>
      <c r="BI964" s="1" t="s">
        <v>5182</v>
      </c>
      <c r="BJ964" s="1" t="s">
        <v>1875</v>
      </c>
      <c r="BK964" s="2" t="s">
        <v>9309</v>
      </c>
      <c r="BL964" s="1" t="s">
        <v>1877</v>
      </c>
      <c r="BM964" s="2" t="s">
        <v>5183</v>
      </c>
    </row>
    <row r="965" spans="1:69" ht="162" x14ac:dyDescent="0.45">
      <c r="A965" s="5">
        <v>964</v>
      </c>
      <c r="B965" s="8" t="s">
        <v>706</v>
      </c>
      <c r="C965" s="6" t="s">
        <v>6850</v>
      </c>
      <c r="D965" s="7" t="s">
        <v>9752</v>
      </c>
      <c r="E965" s="1" t="s">
        <v>1725</v>
      </c>
      <c r="F965" s="1" t="s">
        <v>9310</v>
      </c>
      <c r="G965" s="1" t="s">
        <v>1584</v>
      </c>
      <c r="J965" s="1" t="s">
        <v>9753</v>
      </c>
      <c r="L965" s="3" t="s">
        <v>9311</v>
      </c>
      <c r="M965" s="1" t="s">
        <v>12137</v>
      </c>
      <c r="P965" s="7" t="s">
        <v>1241</v>
      </c>
      <c r="Q965" s="13" t="str">
        <f>INDEX($L:$L, MATCH("issue", $B:$B, 0))</f>
        <v>&lt;span class="w"&gt;&lt;b&gt;【63.issue：問題, 発行（物）, 発表】&lt;/b&gt;&lt;/span&gt;
&lt;span class="ml"&gt;ラテン語に由来する語で、以下の2つの要素から成る。
&lt;span class="spacer"&gt;&lt;/span&gt;ex（外に）
ire（行く）
&lt;span class="spacer"&gt;&lt;/span&gt;このまま日本語にすると「外に行く」となる。この語の核は「内側から表（外）に出る」であり、ここから「発行（物）, 発表」という意味になる。
&lt;span class="spacer"&gt;&lt;/span&gt;また裁判で表に出てきた争点という法的な意味で使われ、決定すべき重要な「問題」という一般的な意味になった。&lt;/span&gt;</v>
      </c>
      <c r="R965" s="13" t="str">
        <f>INDEX($L:$L, MATCH("ambition", $B:$B, 0))</f>
        <v>&lt;span class="w"&gt;&lt;b&gt;【978.ambition：願望, 野望】&lt;/b&gt;&lt;/span&gt;
&lt;span class="ml"&gt;ラテン語に由来する語で、以下の3つの要素から成る。
&lt;span class="spacer"&gt;&lt;/span&gt;amb（周囲に）
ire（行く）
io（名詞化）
&lt;span class="spacer"&gt;&lt;/span&gt;このまま日本語にすると「周囲を行くこと」となる。もともとは選挙で票を得るためにあちこち行くことを表し、名誉や権力を求めて走るという政治的な活動を指していた。そこから一般的に、何かを成し遂げようとする前向きな気持ちを表すようになって「願望, 野望」という意味になった。
&lt;div class="sample_image ambition"&gt;&lt;/div&gt;&lt;/span&gt;</v>
      </c>
      <c r="S965" s="13" t="str">
        <f>INDEX($L:$L, MATCH("initial", $B:$B, 0))</f>
        <v>&lt;span class="w"&gt;&lt;b&gt;【597.initial：初めの】&lt;/b&gt;&lt;/span&gt;
&lt;span class="ml"&gt;ラテン語に由来する語で、以下の4つの要素から成る。
&lt;span class="spacer"&gt;&lt;/span&gt;in（中に）
ire（行く）
ium（名詞化）
alis（形容詞化）
&lt;span class="spacer"&gt;&lt;/span&gt;この語の核は「中へ入って行く」こと。もともとは物理的にどこかの場所へ足を踏み入れる動作から、その「入り口」を表していた。やがて、その空間的な入口という概念が時間やプロセスへと拡張され、物事の「始まり」や行動の「開始」も意味するようになった。つまり、空間・時間・プロセスのすべてにおける「一番最初」を指すことから、「初めの」という意味へと繋がっていった。&lt;/span&gt;</v>
      </c>
      <c r="AU965" s="15"/>
      <c r="AV965" s="1" t="s">
        <v>1502</v>
      </c>
      <c r="BG965" s="7" t="s">
        <v>1503</v>
      </c>
      <c r="BH965" s="1" t="s">
        <v>1947</v>
      </c>
      <c r="BI965" s="2" t="s">
        <v>5185</v>
      </c>
      <c r="BJ965" s="1" t="s">
        <v>1875</v>
      </c>
      <c r="BK965" s="2" t="s">
        <v>5186</v>
      </c>
      <c r="BL965" s="1" t="s">
        <v>1877</v>
      </c>
      <c r="BM965" s="2" t="s">
        <v>5187</v>
      </c>
    </row>
    <row r="966" spans="1:69" ht="126" x14ac:dyDescent="0.45">
      <c r="A966" s="5">
        <v>965</v>
      </c>
      <c r="B966" s="8" t="s">
        <v>707</v>
      </c>
      <c r="C966" s="6" t="s">
        <v>6850</v>
      </c>
      <c r="D966" s="7" t="s">
        <v>9752</v>
      </c>
      <c r="E966" s="1" t="s">
        <v>5188</v>
      </c>
      <c r="F966" s="1" t="s">
        <v>5189</v>
      </c>
      <c r="G966" s="1"/>
      <c r="J966" s="1" t="s">
        <v>9753</v>
      </c>
      <c r="K966" s="1" t="s">
        <v>5190</v>
      </c>
      <c r="L966" s="2" t="s">
        <v>9317</v>
      </c>
      <c r="P966" s="7" t="s">
        <v>1241</v>
      </c>
      <c r="Q966" s="13" t="str">
        <f>INDEX($L:$L, MATCH("major", $B:$B, 0))</f>
        <v>&lt;span class="w"&gt;&lt;b&gt;【88.major：主要な, 大きい（方の）】&lt;/b&gt;&lt;/span&gt;
&lt;span class="ml"&gt;ラテン語に由来する語で、以下の2つの要素から成る。
&lt;span class="spacer"&gt;&lt;/span&gt;magnus（大きい, 偉大な）
ior（比較級を作る）
&lt;span class="spacer"&gt;&lt;/span&gt;このまま日本語にすると「より大きい」となる。これはラテン語の比較級で、他と比べてより大きいということから「主要な, 大きい（方の）」という意味になる。
&lt;span class="spacer"&gt;&lt;/span&gt;巨大であることを示すメガや、地震の大きさを示すマグニチュードもラテン語magnusに由来する。
&lt;span class="spacer"&gt;&lt;/span&gt;minor（マイナー, ささいな, 小さい）の対義語。&lt;/span&gt;</v>
      </c>
      <c r="R966" s="13" t="str">
        <f>INDEX($L:$L, MATCH("magnificent", $B:$B, 0))</f>
        <v>&lt;span class="w"&gt;&lt;b&gt;【1298.magnificent：壮大な, 見事な】&lt;/b&gt;&lt;/span&gt;
&lt;span class="ml"&gt;ラテン語に由来する語で、以下の2つの要素から成る。
&lt;span class="spacer"&gt;&lt;/span&gt;magnus（大きい）
facere（作る, 行う）
&lt;span class="spacer"&gt;&lt;/span&gt;もともとは、人が規模の大きいことを成し遂げることを表した。そこから人物の行動だけでなく、その人たちが建てた豪華絢爛な宮殿や、圧倒されるような大自然の風景など、視覚的にスケールが大きくて素晴らしいもの全体を表現するようになって「壮大な, 見事な」という意味になった。
&lt;div class="sample_image magnificent"&gt;&lt;/div&gt;
&lt;span class="spacer"&gt;&lt;/span&gt;magni部分は、地震の規模を示すマグニチュード（magnitudo）と同じ。&lt;/span&gt;</v>
      </c>
      <c r="AU966" s="15"/>
      <c r="AV966" s="1" t="s">
        <v>1502</v>
      </c>
      <c r="BG966" s="7" t="s">
        <v>1503</v>
      </c>
      <c r="BH966" s="1" t="s">
        <v>1947</v>
      </c>
      <c r="BI966" s="2" t="s">
        <v>5191</v>
      </c>
      <c r="BJ966" s="1" t="s">
        <v>1996</v>
      </c>
      <c r="BK966" s="1" t="s">
        <v>707</v>
      </c>
      <c r="BL966" s="1" t="s">
        <v>1877</v>
      </c>
      <c r="BM966" s="2" t="s">
        <v>5192</v>
      </c>
    </row>
    <row r="967" spans="1:69" ht="288" x14ac:dyDescent="0.45">
      <c r="A967" s="5">
        <v>966</v>
      </c>
      <c r="B967" s="6" t="s">
        <v>708</v>
      </c>
      <c r="C967" s="6" t="s">
        <v>6850</v>
      </c>
      <c r="D967" s="7" t="s">
        <v>9752</v>
      </c>
      <c r="E967" s="1" t="s">
        <v>708</v>
      </c>
      <c r="F967" s="1"/>
      <c r="G967" s="1"/>
      <c r="J967" s="1" t="s">
        <v>9753</v>
      </c>
      <c r="K967" s="2" t="s">
        <v>9312</v>
      </c>
      <c r="L967" s="2" t="s">
        <v>9313</v>
      </c>
      <c r="P967" s="7" t="s">
        <v>1241</v>
      </c>
      <c r="AU967" s="15"/>
      <c r="AV967" s="1" t="s">
        <v>1502</v>
      </c>
      <c r="BG967" s="7" t="s">
        <v>1503</v>
      </c>
      <c r="BH967" s="1" t="s">
        <v>2458</v>
      </c>
      <c r="BI967" s="2" t="s">
        <v>9314</v>
      </c>
      <c r="BJ967" s="1" t="s">
        <v>2036</v>
      </c>
      <c r="BK967" s="1" t="s">
        <v>5193</v>
      </c>
      <c r="BL967" s="1" t="s">
        <v>1996</v>
      </c>
      <c r="BM967" s="1" t="s">
        <v>5194</v>
      </c>
      <c r="BN967" s="1" t="s">
        <v>1875</v>
      </c>
      <c r="BO967" s="2" t="s">
        <v>5195</v>
      </c>
      <c r="BP967" s="1" t="s">
        <v>1877</v>
      </c>
      <c r="BQ967" s="2" t="s">
        <v>5196</v>
      </c>
    </row>
    <row r="968" spans="1:69" ht="90" x14ac:dyDescent="0.45">
      <c r="A968" s="5">
        <v>967</v>
      </c>
      <c r="B968" s="6" t="s">
        <v>709</v>
      </c>
      <c r="C968" s="6" t="s">
        <v>6850</v>
      </c>
      <c r="D968" s="7" t="s">
        <v>9752</v>
      </c>
      <c r="E968" s="1" t="s">
        <v>5197</v>
      </c>
      <c r="F968" s="1" t="s">
        <v>49</v>
      </c>
      <c r="G968" s="1"/>
      <c r="J968" s="1" t="s">
        <v>9753</v>
      </c>
      <c r="K968" s="1" t="s">
        <v>5198</v>
      </c>
      <c r="L968" s="2" t="s">
        <v>9315</v>
      </c>
      <c r="P968" s="7" t="s">
        <v>1241</v>
      </c>
      <c r="Q968" s="13" t="str">
        <f>INDEX($L:$L, MATCH("landmine", $B:$B, 0))</f>
        <v>&lt;span class="w"&gt;&lt;b&gt;【1150.landmine：地雷】&lt;/b&gt;&lt;/span&gt;
&lt;span class="ml"&gt;近代英語にさかのぼり、以下の2つの要素から成る。
&lt;span class="spacer"&gt;&lt;/span&gt;land（土地, 地面）
mine（爆発物）
&lt;span class="spacer"&gt;&lt;/span&gt;もともとmineは「鉱山, 坑道」や「掘る」を意味した。中世の戦争では、強固な城壁を崩すための戦術として、壁の下まで地下トンネル（坑道）を掘り、支柱を燃やして地盤沈下を起こさせ、城壁を陥没させるという方法がとられた。
&lt;span class="spacer"&gt;&lt;/span&gt;その後、火薬が軍事利用されるようになり、掘った坑道の中に火薬を仕掛けて一気に爆破する戦術へと進化したことから、爆発物自体をmineと呼ぶようになった。
&lt;span class="spacer"&gt;&lt;/span&gt;そこからlandmineは、地面に設置された爆弾＝「地雷」という意味になる。&lt;/span&gt;</v>
      </c>
      <c r="R968" s="13" t="str">
        <f>INDEX($L:$L, MATCH("undermine", $B:$B, 0))</f>
        <v>&lt;span class="w"&gt;&lt;b&gt;【1432.undermine：〜を徐々にむしばむ, 〜を侵食する, 弱める, 損なわせる】&lt;/b&gt;&lt;/span&gt;
&lt;span class="ml"&gt;中英語にさかのぼり、以下の2つの要素から成る。
&lt;span class="spacer"&gt;&lt;/span&gt;under（下に）
mine（掘る）
&lt;span class="spacer"&gt;&lt;/span&gt;このまま日本語にすると「下に掘る」となる。もともとは軍事的な戦術において、城壁や建物の下を掘り、そこから上にあるものを崩すことを表した。undermineで重要なのは「土台からその上にあるものを破壊する」というイメージ。
&lt;span class="spacer"&gt;&lt;/span&gt;そこから、物理的に土台を「侵食する」、体や健康を「徐々にむしばむ」、立場・計画・信頼などを「弱める, 損なわせる」といった意味になった。
&lt;div class="sample_image undermine"&gt;&lt;/div&gt;&lt;/span&gt;</v>
      </c>
      <c r="AU968" s="15"/>
      <c r="AV968" s="1" t="s">
        <v>1502</v>
      </c>
      <c r="BG968" s="7" t="s">
        <v>1503</v>
      </c>
      <c r="BH968" s="1" t="s">
        <v>1967</v>
      </c>
      <c r="BI968" s="2" t="s">
        <v>5199</v>
      </c>
      <c r="BJ968" s="1" t="s">
        <v>1959</v>
      </c>
      <c r="BK968" s="1" t="s">
        <v>709</v>
      </c>
      <c r="BL968" s="1" t="s">
        <v>1875</v>
      </c>
      <c r="BM968" s="2" t="s">
        <v>5200</v>
      </c>
      <c r="BN968" s="1" t="s">
        <v>1877</v>
      </c>
      <c r="BO968" s="2" t="s">
        <v>5201</v>
      </c>
    </row>
    <row r="969" spans="1:69" ht="108" x14ac:dyDescent="0.45">
      <c r="A969" s="5">
        <v>968</v>
      </c>
      <c r="B969" s="6" t="s">
        <v>710</v>
      </c>
      <c r="C969" s="6" t="s">
        <v>6850</v>
      </c>
      <c r="D969" s="7" t="s">
        <v>9752</v>
      </c>
      <c r="E969" s="1" t="s">
        <v>710</v>
      </c>
      <c r="F969" s="1"/>
      <c r="G969" s="1"/>
      <c r="J969" s="1" t="s">
        <v>9753</v>
      </c>
      <c r="L969" s="2" t="s">
        <v>9318</v>
      </c>
      <c r="P969" s="7" t="s">
        <v>1241</v>
      </c>
      <c r="AU969" s="15"/>
      <c r="AV969" s="1" t="s">
        <v>1502</v>
      </c>
      <c r="BG969" s="7" t="s">
        <v>1503</v>
      </c>
      <c r="BH969" s="1" t="s">
        <v>2458</v>
      </c>
      <c r="BI969" s="2" t="s">
        <v>5202</v>
      </c>
      <c r="BJ969" s="1" t="s">
        <v>3408</v>
      </c>
      <c r="BK969" s="1" t="s">
        <v>5203</v>
      </c>
      <c r="BL969" s="1" t="s">
        <v>1877</v>
      </c>
      <c r="BM969" s="2" t="s">
        <v>5204</v>
      </c>
    </row>
    <row r="970" spans="1:69" ht="144" x14ac:dyDescent="0.45">
      <c r="A970" s="5">
        <v>969</v>
      </c>
      <c r="B970" s="6" t="s">
        <v>711</v>
      </c>
      <c r="C970" s="6" t="s">
        <v>6850</v>
      </c>
      <c r="D970" s="7" t="s">
        <v>9752</v>
      </c>
      <c r="E970" s="1" t="s">
        <v>1626</v>
      </c>
      <c r="F970" s="1" t="s">
        <v>5205</v>
      </c>
      <c r="G970" s="1"/>
      <c r="J970" s="1" t="s">
        <v>9753</v>
      </c>
      <c r="L970" s="2" t="s">
        <v>9319</v>
      </c>
      <c r="M970" s="1" t="s">
        <v>12182</v>
      </c>
      <c r="P970" s="7" t="s">
        <v>1241</v>
      </c>
      <c r="Q970" s="13" t="str">
        <f>INDEX($L:$L, MATCH("contrast", $B:$B, 0))</f>
        <v>&lt;span class="w"&gt;&lt;b&gt;【245.contrast：対照】&lt;/b&gt;&lt;/span&gt;
&lt;span class="ml"&gt;ラテン語に由来する語で、以下の2つの要素から成る。
&lt;span class="spacer"&gt;&lt;/span&gt;contra（～に対して）
stare（立つ）
&lt;span class="spacer"&gt;&lt;/span&gt;このまま日本語にすると「反対に立つ」となる。あるものと反対に立つものを比べて違いがはっきりするイメージから「対照」という意味になる。&lt;/span&gt;</v>
      </c>
      <c r="R970" s="13" t="str">
        <f>INDEX($L:$L, MATCH("contrary", $B:$B, 0))</f>
        <v>&lt;span class="w"&gt;&lt;b&gt;【488.contrary：反対の】&lt;/b&gt;&lt;/span&gt;
&lt;span class="ml"&gt;ラテン語に由来する語で、以下の2つの要素から成る。
&lt;span class="spacer"&gt;&lt;/span&gt;contra（〜に対して, 反対に）
arius（形容詞化）
&lt;span class="spacer"&gt;&lt;/span&gt;このまま日本語にすると「反対の」という意味になる。&lt;/span&gt;</v>
      </c>
      <c r="S970" s="13" t="str">
        <f>INDEX($L:$L, MATCH("controversy", $B:$B, 0))</f>
        <v>&lt;span class="w"&gt;&lt;b&gt;【1152.controversy：論争】&lt;/b&gt;&lt;/span&gt;
&lt;span class="ml"&gt;ラテン語に由来する語で、以下の3つの要素から成る。
&lt;span class="spacer"&gt;&lt;/span&gt;contra（反対に）
versus（〜の方に向けられた)
ia（名詞化）
&lt;span class="spacer"&gt;&lt;/span&gt;この語の核は「相手と同じ方向ではなく反対に向いていること、向き合っていること」。つまり考えや立場が対立して争っていることを表し、そこから 「論争」という意味になる。
&lt;div class="sample_image controversy"&gt;&lt;/div&gt;&lt;/span&gt;</v>
      </c>
      <c r="T970" s="13" t="str">
        <f>INDEX($L:$L, MATCH("contradict", $B:$B, 0))</f>
        <v>&lt;span class="w"&gt;&lt;b&gt;【1412.contradict：〜と矛盾する, 〜と反対の意見を言う】&lt;/b&gt;&lt;/span&gt;
&lt;span class="ml"&gt;ラテン語に由来する語で、以下の2つの要素から成る。
&lt;span class="spacer"&gt;&lt;/span&gt;contra（〜に対して）
dicere（言う, 話す）
&lt;span class="spacer"&gt;&lt;/span&gt;相手に反対して話すことから「反対の意見を言う」という意味に、発言や事実と反対のことを言うことから「矛盾する」という意味になる。
&lt;div class="sample_image contradict"&gt;&lt;/div&gt;&lt;/span&gt;</v>
      </c>
      <c r="U970" s="13" t="str">
        <f>INDEX($L:$L, MATCH("encounter", $B:$B, 0))</f>
        <v>&lt;span class="w"&gt;&lt;b&gt;【415.encounter：〜に遭遇する, 〜に偶然出会う】&lt;/b&gt;&lt;/span&gt;
&lt;span class="ml"&gt;ラテン語に由来する語で、以下の2つの要素から成る。
&lt;span class="spacer"&gt;&lt;/span&gt;in（中に）
contra（反対して, 〜に対して）
&lt;span class="spacer"&gt;&lt;/span&gt;この語の核は「何かと対する状況の中にいる」ということ。何かと向かい合う状況の中にいるイメージから「遭遇する, 偶然出会う」という意味になる。
&lt;div class="sample_image encounter"&gt;&lt;/div&gt;&lt;/span&gt;</v>
      </c>
      <c r="V970" s="13" t="str">
        <f>INDEX($L:$L, MATCH("proportion", $B:$B, 0))</f>
        <v>&lt;span class="w"&gt;&lt;b&gt;【464.proportion：割合, つり合い, 比例】&lt;/b&gt;&lt;/span&gt;
&lt;span class="ml"&gt;ラテン語に由来する語で、以下の2つの要素から成る。
&lt;span class="spacer"&gt;&lt;/span&gt;pro（〜に対して）
pars（部分）から派生した*portio（部分）
&lt;span class="spacer"&gt;&lt;/span&gt;この二つが合わさることで、「全体や他の要素に対して（pro）、ある部分（portio）がどのような関係にあるか」を表すようになる。
&lt;span class="spacer"&gt;&lt;/span&gt;具体的には、全体と部分、あるいは部分同士の大きさを比較する考え方から、主に以下の3つの意味へと派生した。
&lt;span class="spacer"&gt;&lt;/span&gt;「割合」： 全体と部分の大きさの比較。全体（100）に対して、ある部分（10）なら10％という割合になる。
&lt;span class="spacer"&gt;&lt;/span&gt;「比例」： ある部分と全体・他の部分との比較。ある部分が変化した際、同じ比率で全体や他の部分も連動して変化する。
&lt;span class="spacer"&gt;&lt;/span&gt;「つり合い」： ある部分と全体・他の部分との比較。全体や他の部分に対して、ある部分の大きさやバランスが適切に保たれている状態。
&lt;div class="sample_image proportion"&gt;&lt;/div&gt;&lt;/span&gt;</v>
      </c>
      <c r="W970" s="13" t="str">
        <f>INDEX($L:$L, MATCH("portion", $B:$B, 0))</f>
        <v>&lt;span class="w"&gt;&lt;b&gt;【869.portion：部分, 1人前, 割り当て】&lt;/b&gt;&lt;/span&gt;
&lt;span class="ml"&gt;ラテン語portio（部分, 分け前）に由来する。
&lt;span class="spacer"&gt;&lt;/span&gt;この語の核は「全体を分けて何かに割り当てた部分」。そこから「1人前, 割り当て, 部分」という意味になる。&lt;/span&gt;</v>
      </c>
      <c r="X970" s="13" t="str">
        <f>INDEX($L:$L, MATCH("particle", $B:$B, 0))</f>
        <v>&lt;span class="w"&gt;&lt;b&gt;【1059.particle：（微）粒子, ほんのわずか】&lt;/b&gt;&lt;/span&gt;
&lt;span class="ml"&gt;ラテン語に由来する語で、以下の2つの要素から成る。
&lt;span class="spacer"&gt;&lt;/span&gt;pars（部分）
cula（小さいことを表す）
&lt;span class="spacer"&gt;&lt;/span&gt;このまま日本語にすると「小さい部分」となり、そこから「（微）粒子, ほんのわずか」という意味になった。&lt;/span&gt;</v>
      </c>
      <c r="Y970" s="13" t="str">
        <f>INDEX($L:$L, MATCH("partial", $B:$B, 0))</f>
        <v>&lt;span class="w"&gt;&lt;b&gt;【1491.partial：部分的な, 不公平な】&lt;/b&gt;&lt;/span&gt;
&lt;span class="ml"&gt;ラテン語に由来する語で、以下の2つの要素から成る。
&lt;span class="spacer"&gt;&lt;/span&gt;pars（部分）
alis（形容詞化）
&lt;span class="spacer"&gt;&lt;/span&gt;これはpart（部分）の形容詞として考えればよい。「部分的な」という意味だけではなく、全体的に公平ではなくある一部分に偏っているという発想から「不公平な」という意味にもなる。&lt;/span&gt;</v>
      </c>
      <c r="Z970" s="13" t="str">
        <f>INDEX($L:$L, MATCH("depart", $B:$B, 0))</f>
        <v>&lt;span class="w"&gt;&lt;b&gt;【1415.depart：出発する, それる】&lt;/b&gt;&lt;/span&gt;
&lt;span class="ml"&gt;ラテン語に由来する語で、以下の2つの要素から成る。
&lt;span class="spacer"&gt;&lt;/span&gt;de（〜から）
pars（部分, 分け前）から派生したpartire（分ける）
&lt;span class="spacer"&gt;&lt;/span&gt;このまま日本語にすると「〜から分ける」となる。くっついてまとまっている状態から分かれて離れるイメージ。そこから、今いる場所から離れる＝「出発する」や、本来の流れから「それる」という意味になる。
&lt;div class="sample_image depart"&gt;&lt;/div&gt;&lt;/span&gt;</v>
      </c>
      <c r="AA970" s="13" t="str">
        <f>INDEX($L:$L, MATCH("particular", $B:$B, 0))</f>
        <v>&lt;span class="w"&gt;&lt;b&gt;【90.particular：特定の, こだわる】&lt;/b&gt;&lt;/span&gt;
&lt;span class="ml"&gt;ラテン語に由来する語で、以下の3つの要素から成る。
&lt;span class="spacer"&gt;&lt;/span&gt;pars（部分：partの語源）
cula（小さいことを表す）
arius（形容詞化）
&lt;span class="spacer"&gt;&lt;/span&gt;このまま日本語にすると「小さな部分の」となる。全体ではなく、ある一部分に目を向けることから、「特定の」という意味になる。また全体ではなく、細かい部分に目がいくということから、「こだわる, 口うるさい」という意味になる。&lt;/span&gt;</v>
      </c>
      <c r="AU970" s="15"/>
      <c r="AV970" s="1" t="s">
        <v>1502</v>
      </c>
      <c r="BG970" s="7" t="s">
        <v>1503</v>
      </c>
      <c r="BH970" s="1" t="s">
        <v>1947</v>
      </c>
      <c r="BI970" s="2" t="s">
        <v>5206</v>
      </c>
      <c r="BJ970" s="1" t="s">
        <v>1959</v>
      </c>
      <c r="BK970" s="2" t="s">
        <v>5207</v>
      </c>
      <c r="BL970" s="1" t="s">
        <v>1875</v>
      </c>
      <c r="BM970" s="2" t="s">
        <v>5208</v>
      </c>
      <c r="BN970" s="1" t="s">
        <v>1877</v>
      </c>
      <c r="BO970" s="2" t="s">
        <v>5209</v>
      </c>
      <c r="BP970" s="1" t="s">
        <v>3496</v>
      </c>
      <c r="BQ970" s="2" t="s">
        <v>5210</v>
      </c>
    </row>
    <row r="971" spans="1:69" ht="180" x14ac:dyDescent="0.45">
      <c r="A971" s="5">
        <v>970</v>
      </c>
      <c r="B971" s="8" t="s">
        <v>712</v>
      </c>
      <c r="C971" s="6" t="s">
        <v>6850</v>
      </c>
      <c r="D971" s="7" t="s">
        <v>9752</v>
      </c>
      <c r="E971" s="1" t="s">
        <v>712</v>
      </c>
      <c r="F971" s="1"/>
      <c r="G971" s="1"/>
      <c r="J971" s="1" t="s">
        <v>9753</v>
      </c>
      <c r="K971" s="2" t="s">
        <v>9316</v>
      </c>
      <c r="L971" s="2" t="s">
        <v>9320</v>
      </c>
      <c r="P971" s="7" t="s">
        <v>1241</v>
      </c>
      <c r="Q971" s="13" t="str">
        <f>INDEX($L:$L, MATCH("strike", $B:$B, 0))</f>
        <v>&lt;span class="w"&gt;&lt;b&gt;【318.strike：～を打つ, 心を打つ】&lt;/b&gt;&lt;/span&gt;
&lt;span class="ml"&gt;古英語strican（なでる, こする）にさかのぼる。
&lt;span class="spacer"&gt;&lt;/span&gt;「なでる, こする」という表面に触れて動かす動作から、表面に触れる瞬間に焦点が移って「打つ」という意味になる。また物理的に打つことから比喩的に「心を打つ」という意味にもなる。&lt;/span&gt;</v>
      </c>
      <c r="AU971" s="15"/>
      <c r="AV971" s="1" t="s">
        <v>1502</v>
      </c>
      <c r="BG971" s="7" t="s">
        <v>1503</v>
      </c>
      <c r="BH971" s="1" t="s">
        <v>1872</v>
      </c>
      <c r="BI971" s="2" t="s">
        <v>5211</v>
      </c>
      <c r="BJ971" s="1" t="s">
        <v>1875</v>
      </c>
      <c r="BK971" s="2" t="s">
        <v>5212</v>
      </c>
      <c r="BL971" s="1" t="s">
        <v>1877</v>
      </c>
      <c r="BM971" s="2" t="s">
        <v>5213</v>
      </c>
    </row>
    <row r="972" spans="1:69" ht="126" x14ac:dyDescent="0.45">
      <c r="A972" s="5">
        <v>971</v>
      </c>
      <c r="B972" s="6" t="s">
        <v>713</v>
      </c>
      <c r="C972" s="6" t="s">
        <v>6850</v>
      </c>
      <c r="D972" s="7" t="s">
        <v>9752</v>
      </c>
      <c r="E972" s="1" t="s">
        <v>5214</v>
      </c>
      <c r="F972" s="1" t="s">
        <v>1762</v>
      </c>
      <c r="G972" s="1"/>
      <c r="J972" s="1" t="s">
        <v>9753</v>
      </c>
      <c r="K972" s="1" t="s">
        <v>9321</v>
      </c>
      <c r="L972" s="2" t="s">
        <v>9322</v>
      </c>
      <c r="P972" s="7" t="s">
        <v>1241</v>
      </c>
      <c r="Q972" s="13" t="str">
        <f>INDEX($L:$L, MATCH("expedition", $B:$B, 0))</f>
        <v>&lt;span class="w"&gt;&lt;b&gt;【1050.expedition：探検（隊）, 遠征（隊）】&lt;/b&gt;&lt;/span&gt;
&lt;span class="ml"&gt;ラテン語に由来する語で、以下の3つの要素から成る。
&lt;span class="spacer"&gt;&lt;/span&gt;ex（外に）
pes（足）から派生した*pedis（足の鎖, 足かせ）
io（名詞化）
&lt;span class="spacer"&gt;&lt;/span&gt;このまま日本語にすると「足の鎖を外すこと」となる。もともとは、足に絡まった罠や鎖などを外して自由にすることを表した。そしてそこから、障害を取り除いて準備を整えることや、身軽になって出発することへと意味が発展した。
&lt;span class="spacer"&gt;&lt;/span&gt;つまりこの語の核は「自分の足で外に出ること」。そこから「遠征」や「探検」という意味になり、さらにそれに参加している一団＝「遠征隊, 探検隊」も意味するようになった。
&lt;div class="sample_image expedition"&gt;&lt;/div&gt;&lt;/span&gt;</v>
      </c>
      <c r="AU972" s="15"/>
      <c r="AV972" s="1" t="s">
        <v>1502</v>
      </c>
      <c r="BG972" s="7" t="s">
        <v>1503</v>
      </c>
      <c r="BH972" s="1" t="s">
        <v>1947</v>
      </c>
      <c r="BI972" s="2" t="s">
        <v>5215</v>
      </c>
      <c r="BJ972" s="1" t="s">
        <v>1877</v>
      </c>
      <c r="BK972" s="2" t="s">
        <v>5216</v>
      </c>
      <c r="BL972" s="1" t="s">
        <v>3496</v>
      </c>
      <c r="BM972" s="2" t="s">
        <v>5217</v>
      </c>
    </row>
    <row r="973" spans="1:69" ht="90" x14ac:dyDescent="0.45">
      <c r="A973" s="5">
        <v>972</v>
      </c>
      <c r="B973" s="8" t="s">
        <v>714</v>
      </c>
      <c r="C973" s="6" t="s">
        <v>6850</v>
      </c>
      <c r="D973" s="7" t="s">
        <v>9752</v>
      </c>
      <c r="E973" s="1" t="s">
        <v>714</v>
      </c>
      <c r="F973" s="1"/>
      <c r="G973" s="1"/>
      <c r="J973" s="1" t="s">
        <v>9753</v>
      </c>
      <c r="L973" s="2" t="s">
        <v>9323</v>
      </c>
      <c r="M973" s="1" t="s">
        <v>12154</v>
      </c>
      <c r="P973" s="7" t="s">
        <v>1241</v>
      </c>
      <c r="Q973" s="13" t="str">
        <f>INDEX($L:$L, MATCH("treat", $B:$B, 0))</f>
        <v>&lt;span class="w"&gt;&lt;b&gt;【125.treat：～を扱う, ～を治療する, ごちそうする】&lt;/b&gt;&lt;/span&gt;
&lt;span class="ml"&gt;ラテン語trahere（引く, 引きずる）から派生したtractare（繰り返し引く, 引きずり回す, 取り扱う）に由来する。
&lt;span class="spacer"&gt;&lt;/span&gt;何かを繰り返し引く様子から、何かを「扱う」というイメージになる。医療における患者の扱いなら「治療する」という意味になり、客への扱いならもてなし＝「食べ物や飲み物をふるまう, ごちそうする」という意味になる。&lt;/span&gt;</v>
      </c>
      <c r="R973" s="13" t="str">
        <f>INDEX($L:$L, MATCH("treaty", $B:$B, 0))</f>
        <v>&lt;span class="w"&gt;&lt;b&gt;【1478.treaty：条約, 協定】&lt;/b&gt;&lt;/span&gt;
&lt;span class="ml"&gt;ラテン語trahere（引っ張る）から派生したtractare（扱う, 管理する）に由来する。
&lt;span class="spacer"&gt;&lt;/span&gt;もともとは、物理的に引っ張るという動作を表したが、そこから比喩的に問題を引き出して扱うこと、議論すること、そして交渉という意味へと発展していった。
&lt;span class="spacer"&gt;&lt;/span&gt;さらに交渉という行為そのものから、それによって結ばれる合意へと発展し、ある集団や国家の間で結ばれる「条約, 協定」という意味になった。&lt;/span&gt;</v>
      </c>
      <c r="S973" s="13" t="str">
        <f>INDEX($L:$L, MATCH("retreat", $B:$B, 0))</f>
        <v>&lt;span class="w"&gt;&lt;b&gt;【1172.retreat：後退, 退却, 撤回】&lt;/b&gt;&lt;/span&gt;
&lt;span class="ml"&gt;ラテン語に由来する語で、以下の2つの要素から成る。
&lt;span class="spacer"&gt;&lt;/span&gt;re（後ろへ）
trahere（引く）
&lt;span class="spacer"&gt;&lt;/span&gt;この語の核は「後ろへ引くこと」。物理的に引っ込めることから「後退, 撤退, 撤回」といった意味になった。また引っ込んで隠れることから「隠れ家, 避難所」という意味にもなる。
&lt;div class="sample_image retreat"&gt;&lt;/div&gt;&lt;/span&gt;</v>
      </c>
      <c r="T973" s="13" t="str">
        <f>INDEX($L:$L, MATCH("trace", $B:$B, 0))</f>
        <v>&lt;span class="w"&gt;&lt;b&gt;【618.trace：（足跡・起源など）をたどる】&lt;/b&gt;&lt;/span&gt;
&lt;span class="ml"&gt;ラテン語trahere（引く）に由来する。
&lt;span class="spacer"&gt;&lt;/span&gt;何かを引くとそのあとに跡ができる。その跡を目印にしてなぞることから「たどる」という意味になった。&lt;/span&gt;</v>
      </c>
      <c r="U973" s="13" t="str">
        <f>INDEX($L:$L, MATCH("trait", $B:$B, 0))</f>
        <v>&lt;span class="w"&gt;&lt;b&gt;【455.trait：特性, 特徴】&lt;/b&gt;&lt;/span&gt;
&lt;span class="ml"&gt;ラテン語trahere（引く）に由来する。
&lt;span class="spacer"&gt;&lt;/span&gt;もともとは「（物理的にものを）引っ張る」という動作を意味していたが、そこからペンや筆で「引かれた線」を指すようになった。
&lt;span class="spacer"&gt;&lt;/span&gt;特に顔の絵を描く際の線は、他者と区別される「その人固有の顔立ち（身体的特徴）」となることから、最終的に目に見えない内面的な「特徴, 特性」という意味へと発展した。
&lt;div class="sample_image trait"&gt;&lt;/div&gt;&lt;/span&gt;</v>
      </c>
      <c r="V973" s="13" t="str">
        <f>INDEX($L:$L, MATCH("portray", $B:$B, 0))</f>
        <v>&lt;span class="w"&gt;&lt;b&gt;【1409.portray：〜を描く, 役を演じる】&lt;/b&gt;&lt;/span&gt;
&lt;span class="ml"&gt;古フランス語に由来する語で、以下の2つの要素から成る。
&lt;span class="spacer"&gt;&lt;/span&gt;por（前へ）
traire（引く, 線を引く）
&lt;span class="spacer"&gt;&lt;/span&gt;この語の核は「内部のイメージを外に引き出して形にする」。そこから、印象・状況・人物像・性格などさまざまなものを絵や言葉で「描く」という意味になる。また演技を通して形にすることから「演じる」という意味になる。
&lt;div class="sample_image portray"&gt;&lt;/div&gt;&lt;/span&gt;</v>
      </c>
      <c r="AV973" s="1" t="s">
        <v>1502</v>
      </c>
      <c r="BG973" s="7" t="s">
        <v>1503</v>
      </c>
      <c r="BH973" s="1" t="s">
        <v>1959</v>
      </c>
      <c r="BI973" s="1" t="s">
        <v>5218</v>
      </c>
      <c r="BJ973" s="1" t="s">
        <v>1875</v>
      </c>
      <c r="BK973" s="2" t="s">
        <v>5219</v>
      </c>
      <c r="BL973" s="1" t="s">
        <v>1877</v>
      </c>
      <c r="BM973" s="2" t="s">
        <v>5220</v>
      </c>
    </row>
    <row r="974" spans="1:69" ht="162" x14ac:dyDescent="0.45">
      <c r="A974" s="5">
        <v>973</v>
      </c>
      <c r="B974" s="6" t="s">
        <v>715</v>
      </c>
      <c r="C974" s="6" t="s">
        <v>6850</v>
      </c>
      <c r="D974" s="7" t="s">
        <v>9752</v>
      </c>
      <c r="E974" s="1" t="s">
        <v>1344</v>
      </c>
      <c r="F974" s="1" t="s">
        <v>1508</v>
      </c>
      <c r="G974" s="1"/>
      <c r="J974" s="1" t="s">
        <v>9753</v>
      </c>
      <c r="L974" s="2" t="s">
        <v>9324</v>
      </c>
      <c r="P974" s="7" t="s">
        <v>1241</v>
      </c>
      <c r="Q974" s="13" t="str">
        <f>INDEX($L:$L, MATCH("economy", $B:$B, 0))</f>
        <v>&lt;span class="w"&gt;&lt;b&gt;【145.economy：経済, 倹約】&lt;/b&gt;&lt;/span&gt;
&lt;span class="ml"&gt;ギリシャ語に由来する語で、以下の2つの要素から成る。
&lt;span class="spacer"&gt;&lt;/span&gt;oikos（家）
nomos（管理）
&lt;span class="spacer"&gt;&lt;/span&gt;このまま日本語にすると「家の管理」となる。これは家計の管理のことで、無駄のない家計のやりくり＝「倹約」という意味になる。そして家から地域や国家レベルのお金の話になって「経済」となる。&lt;/span&gt;</v>
      </c>
      <c r="AV974" s="1" t="s">
        <v>1502</v>
      </c>
      <c r="BG974" s="7" t="s">
        <v>1503</v>
      </c>
      <c r="BH974" s="1" t="s">
        <v>2458</v>
      </c>
      <c r="BI974" s="1" t="s">
        <v>5221</v>
      </c>
      <c r="BJ974" s="1" t="s">
        <v>3460</v>
      </c>
      <c r="BK974" s="1" t="s">
        <v>5222</v>
      </c>
      <c r="BL974" s="1" t="s">
        <v>1877</v>
      </c>
      <c r="BM974" s="2" t="s">
        <v>5223</v>
      </c>
      <c r="BN974" s="1" t="s">
        <v>3496</v>
      </c>
      <c r="BO974" s="2" t="s">
        <v>5224</v>
      </c>
    </row>
    <row r="975" spans="1:69" ht="108" x14ac:dyDescent="0.45">
      <c r="A975" s="5">
        <v>974</v>
      </c>
      <c r="B975" s="6" t="s">
        <v>716</v>
      </c>
      <c r="C975" s="6" t="s">
        <v>6850</v>
      </c>
      <c r="D975" s="7" t="s">
        <v>9752</v>
      </c>
      <c r="E975" s="6" t="s">
        <v>716</v>
      </c>
      <c r="F975" s="1"/>
      <c r="G975" s="1"/>
      <c r="J975" s="1" t="s">
        <v>9753</v>
      </c>
      <c r="L975" s="2" t="s">
        <v>9325</v>
      </c>
      <c r="P975" s="7" t="s">
        <v>1241</v>
      </c>
      <c r="AU975" s="15"/>
      <c r="AV975" s="1" t="s">
        <v>1502</v>
      </c>
      <c r="BG975" s="7" t="s">
        <v>1503</v>
      </c>
      <c r="BH975" s="1" t="s">
        <v>1872</v>
      </c>
      <c r="BI975" s="2" t="s">
        <v>5225</v>
      </c>
      <c r="BJ975" s="1" t="s">
        <v>1875</v>
      </c>
      <c r="BK975" s="1" t="s">
        <v>5226</v>
      </c>
      <c r="BL975" s="1" t="s">
        <v>3496</v>
      </c>
      <c r="BM975" s="2" t="s">
        <v>5227</v>
      </c>
    </row>
    <row r="976" spans="1:69" ht="198" x14ac:dyDescent="0.45">
      <c r="A976" s="5">
        <v>975</v>
      </c>
      <c r="B976" s="8" t="s">
        <v>717</v>
      </c>
      <c r="C976" s="6" t="s">
        <v>6850</v>
      </c>
      <c r="D976" s="7" t="s">
        <v>9752</v>
      </c>
      <c r="E976" s="1" t="s">
        <v>9326</v>
      </c>
      <c r="F976" s="1" t="s">
        <v>9327</v>
      </c>
      <c r="G976" s="1"/>
      <c r="J976" s="1" t="s">
        <v>9753</v>
      </c>
      <c r="L976" s="2" t="s">
        <v>9328</v>
      </c>
      <c r="M976" s="1" t="s">
        <v>12131</v>
      </c>
      <c r="P976" s="7" t="s">
        <v>1241</v>
      </c>
      <c r="Q976" s="13" t="str">
        <f>INDEX($L:$L, MATCH("reason", $B:$B, 0))</f>
        <v>&lt;span class="w"&gt;&lt;b&gt;【47.reason：理由, 根拠, 理性】&lt;/b&gt;&lt;/span&gt;
&lt;span class="ml"&gt;ラテン語reri（考える, 数える）に由来する。
&lt;span class="spacer"&gt;&lt;/span&gt;「考える, 数える」といった思考は、人間と本能で生きる動物を区別する重要なポイント。ここから本能と対比される「理性」という意味になる。
&lt;span class="spacer"&gt;&lt;/span&gt;動物は本能に従って行動するが、理性に基づいた行為には「根拠, 理由」がある。&lt;/span&gt;</v>
      </c>
      <c r="R976" s="13" t="str">
        <f>INDEX($L:$L, MATCH("rational", $B:$B, 0))</f>
        <v>&lt;span class="w"&gt;&lt;b&gt;【686.rational：理性的な, 合理的な】&lt;/b&gt;&lt;/span&gt;
&lt;span class="ml"&gt;ラテン語に由来する語で、以下の2つの要素から成る。
&lt;span class="spacer"&gt;&lt;/span&gt;reri（計算する, 考える）
io（名詞化）
alis（形容詞化）
&lt;span class="spacer"&gt;&lt;/span&gt;もともとは、計算・思考・理由づけといった頭の中で物事を順序立てて考えることを表していた。そこから抽象化して、論理的に判断する能力としての理性を表すようになり、「理性的な, 合理的な」という意味になった。&lt;/span&gt;</v>
      </c>
      <c r="AU976" s="15"/>
      <c r="AV976" s="1" t="s">
        <v>1502</v>
      </c>
      <c r="BG976" s="7" t="s">
        <v>1503</v>
      </c>
      <c r="BH976" s="1" t="s">
        <v>1947</v>
      </c>
      <c r="BI976" s="2" t="s">
        <v>9329</v>
      </c>
      <c r="BJ976" s="1" t="s">
        <v>1877</v>
      </c>
      <c r="BK976" s="2" t="s">
        <v>5229</v>
      </c>
    </row>
    <row r="977" spans="1:69" ht="126" x14ac:dyDescent="0.45">
      <c r="A977" s="5">
        <v>976</v>
      </c>
      <c r="B977" s="6" t="s">
        <v>718</v>
      </c>
      <c r="C977" s="6" t="s">
        <v>6850</v>
      </c>
      <c r="D977" s="7" t="s">
        <v>9752</v>
      </c>
      <c r="E977" s="1" t="s">
        <v>5230</v>
      </c>
      <c r="F977" s="1" t="s">
        <v>5231</v>
      </c>
      <c r="G977" s="1"/>
      <c r="J977" s="1" t="s">
        <v>9753</v>
      </c>
      <c r="K977" s="1" t="s">
        <v>5232</v>
      </c>
      <c r="L977" s="2" t="s">
        <v>9330</v>
      </c>
      <c r="P977" s="7" t="s">
        <v>1241</v>
      </c>
      <c r="AU977" s="15"/>
      <c r="AV977" s="1" t="s">
        <v>1502</v>
      </c>
      <c r="BG977" s="7" t="s">
        <v>1503</v>
      </c>
      <c r="BH977" s="1" t="s">
        <v>1947</v>
      </c>
      <c r="BI977" s="2" t="s">
        <v>5233</v>
      </c>
      <c r="BJ977" s="1" t="s">
        <v>1959</v>
      </c>
      <c r="BK977" s="1" t="s">
        <v>5234</v>
      </c>
      <c r="BL977" s="1" t="s">
        <v>1875</v>
      </c>
      <c r="BM977" s="2" t="s">
        <v>5235</v>
      </c>
    </row>
    <row r="978" spans="1:69" ht="126" x14ac:dyDescent="0.45">
      <c r="A978" s="5">
        <v>977</v>
      </c>
      <c r="B978" s="6" t="s">
        <v>719</v>
      </c>
      <c r="C978" s="6" t="s">
        <v>6850</v>
      </c>
      <c r="D978" s="7" t="s">
        <v>9752</v>
      </c>
      <c r="E978" s="1" t="s">
        <v>719</v>
      </c>
      <c r="F978" s="1"/>
      <c r="G978" s="1"/>
      <c r="J978" s="1" t="s">
        <v>9753</v>
      </c>
      <c r="K978" s="2" t="s">
        <v>9331</v>
      </c>
      <c r="L978" s="2" t="s">
        <v>9332</v>
      </c>
      <c r="P978" s="7" t="s">
        <v>1241</v>
      </c>
      <c r="AU978" s="15"/>
      <c r="AV978" s="1" t="s">
        <v>1502</v>
      </c>
      <c r="BG978" s="7" t="s">
        <v>1503</v>
      </c>
      <c r="BH978" s="1" t="s">
        <v>1947</v>
      </c>
      <c r="BI978" s="2" t="s">
        <v>5236</v>
      </c>
      <c r="BJ978" s="1" t="s">
        <v>1959</v>
      </c>
      <c r="BK978" s="2" t="s">
        <v>5237</v>
      </c>
      <c r="BL978" s="1" t="s">
        <v>1875</v>
      </c>
      <c r="BM978" s="2" t="s">
        <v>5238</v>
      </c>
      <c r="BN978" s="2" t="s">
        <v>1877</v>
      </c>
      <c r="BO978" s="2" t="s">
        <v>5239</v>
      </c>
    </row>
    <row r="979" spans="1:69" ht="180" x14ac:dyDescent="0.45">
      <c r="A979" s="5">
        <v>978</v>
      </c>
      <c r="B979" s="8" t="s">
        <v>720</v>
      </c>
      <c r="C979" s="6" t="s">
        <v>6850</v>
      </c>
      <c r="D979" s="7" t="s">
        <v>9752</v>
      </c>
      <c r="E979" s="1" t="s">
        <v>5240</v>
      </c>
      <c r="F979" s="1" t="s">
        <v>5184</v>
      </c>
      <c r="G979" s="1" t="s">
        <v>1580</v>
      </c>
      <c r="J979" s="1" t="s">
        <v>9753</v>
      </c>
      <c r="L979" s="3" t="s">
        <v>9360</v>
      </c>
      <c r="M979" s="1" t="s">
        <v>12137</v>
      </c>
      <c r="P979" s="7" t="s">
        <v>1241</v>
      </c>
      <c r="Q979" s="13" t="str">
        <f>INDEX($L:$L, MATCH("issue", $B:$B, 0))</f>
        <v>&lt;span class="w"&gt;&lt;b&gt;【63.issue：問題, 発行（物）, 発表】&lt;/b&gt;&lt;/span&gt;
&lt;span class="ml"&gt;ラテン語に由来する語で、以下の2つの要素から成る。
&lt;span class="spacer"&gt;&lt;/span&gt;ex（外に）
ire（行く）
&lt;span class="spacer"&gt;&lt;/span&gt;このまま日本語にすると「外に行く」となる。この語の核は「内側から表（外）に出る」であり、ここから「発行（物）, 発表」という意味になる。
&lt;span class="spacer"&gt;&lt;/span&gt;また裁判で表に出てきた争点という法的な意味で使われ、決定すべき重要な「問題」という一般的な意味になった。&lt;/span&gt;</v>
      </c>
      <c r="R979" s="13" t="str">
        <f>INDEX($L:$L, MATCH("initial", $B:$B, 0))</f>
        <v>&lt;span class="w"&gt;&lt;b&gt;【597.initial：初めの】&lt;/b&gt;&lt;/span&gt;
&lt;span class="ml"&gt;ラテン語に由来する語で、以下の4つの要素から成る。
&lt;span class="spacer"&gt;&lt;/span&gt;in（中に）
ire（行く）
ium（名詞化）
alis（形容詞化）
&lt;span class="spacer"&gt;&lt;/span&gt;この語の核は「中へ入って行く」こと。もともとは物理的にどこかの場所へ足を踏み入れる動作から、その「入り口」を表していた。やがて、その空間的な入口という概念が時間やプロセスへと拡張され、物事の「始まり」や行動の「開始」も意味するようになった。つまり、空間・時間・プロセスのすべてにおける「一番最初」を指すことから、「初めの」という意味へと繋がっていった。&lt;/span&gt;</v>
      </c>
      <c r="S979" s="13" t="str">
        <f>INDEX($L:$L, MATCH("transition", $B:$B, 0))</f>
        <v>&lt;span class="w"&gt;&lt;b&gt;【964.transition：移り変わり, 移行】&lt;/b&gt;&lt;/span&gt;
&lt;span class="ml"&gt;ラテン語に由来する語で、以下の2つの要素から成る。
&lt;span class="spacer"&gt;&lt;/span&gt;trans（越えて, 向こう）
ire（行く）
io（名詞化）
&lt;span class="spacer"&gt;&lt;/span&gt;このまま日本語にすると「越えて行くこと」となる。そこからある状態から別の状態へ越えて行くこと、つまり「移行, 移り変わり」という意味になる。
&lt;div class="sample_image transition"&gt;&lt;/div&gt;&lt;/span&gt;</v>
      </c>
      <c r="AU979" s="15"/>
      <c r="AV979" s="1" t="s">
        <v>1502</v>
      </c>
      <c r="BG979" s="7" t="s">
        <v>1503</v>
      </c>
      <c r="BH979" s="1" t="s">
        <v>1947</v>
      </c>
      <c r="BI979" s="2" t="s">
        <v>5241</v>
      </c>
      <c r="BJ979" s="1" t="s">
        <v>1959</v>
      </c>
      <c r="BK979" s="2" t="s">
        <v>5242</v>
      </c>
      <c r="BL979" s="1" t="s">
        <v>1875</v>
      </c>
      <c r="BM979" s="2" t="s">
        <v>5243</v>
      </c>
    </row>
    <row r="980" spans="1:69" ht="126" x14ac:dyDescent="0.45">
      <c r="A980" s="5">
        <v>979</v>
      </c>
      <c r="B980" s="6" t="s">
        <v>5244</v>
      </c>
      <c r="C980" s="6" t="s">
        <v>6851</v>
      </c>
      <c r="D980" s="7" t="s">
        <v>9752</v>
      </c>
      <c r="E980" s="1" t="s">
        <v>31</v>
      </c>
      <c r="F980" s="1" t="s">
        <v>8966</v>
      </c>
      <c r="G980" s="1" t="s">
        <v>1698</v>
      </c>
      <c r="J980" s="1" t="s">
        <v>9753</v>
      </c>
      <c r="L980" s="3" t="s">
        <v>9361</v>
      </c>
      <c r="P980" s="7" t="s">
        <v>1241</v>
      </c>
      <c r="AU980" s="15"/>
      <c r="AV980" s="1" t="s">
        <v>1502</v>
      </c>
      <c r="BG980" s="7" t="s">
        <v>1503</v>
      </c>
      <c r="BH980" s="1" t="s">
        <v>1947</v>
      </c>
      <c r="BI980" s="2" t="s">
        <v>5245</v>
      </c>
      <c r="BJ980" s="1" t="s">
        <v>2044</v>
      </c>
      <c r="BK980" s="2" t="s">
        <v>5246</v>
      </c>
      <c r="BL980" s="1" t="s">
        <v>1883</v>
      </c>
      <c r="BM980" s="2" t="s">
        <v>5247</v>
      </c>
    </row>
    <row r="981" spans="1:69" ht="180" x14ac:dyDescent="0.45">
      <c r="A981" s="5">
        <v>980</v>
      </c>
      <c r="B981" s="6" t="s">
        <v>5248</v>
      </c>
      <c r="C981" s="6" t="s">
        <v>6851</v>
      </c>
      <c r="D981" s="7" t="s">
        <v>9752</v>
      </c>
      <c r="E981" s="1" t="s">
        <v>9001</v>
      </c>
      <c r="F981" s="1" t="s">
        <v>49</v>
      </c>
      <c r="G981" s="1"/>
      <c r="J981" s="1" t="s">
        <v>9753</v>
      </c>
      <c r="K981" s="2" t="s">
        <v>9333</v>
      </c>
      <c r="L981" s="2" t="s">
        <v>9334</v>
      </c>
      <c r="P981" s="7" t="s">
        <v>1241</v>
      </c>
      <c r="AU981" s="15"/>
      <c r="AV981" s="1" t="s">
        <v>1502</v>
      </c>
      <c r="BG981" s="7" t="s">
        <v>1503</v>
      </c>
      <c r="BH981" s="1" t="s">
        <v>1947</v>
      </c>
      <c r="BI981" s="2" t="s">
        <v>5249</v>
      </c>
      <c r="BJ981" s="1" t="s">
        <v>2044</v>
      </c>
      <c r="BK981" s="2" t="s">
        <v>5250</v>
      </c>
      <c r="BL981" s="1" t="s">
        <v>1883</v>
      </c>
      <c r="BM981" s="2" t="s">
        <v>5251</v>
      </c>
    </row>
    <row r="982" spans="1:69" ht="144" x14ac:dyDescent="0.45">
      <c r="A982" s="5">
        <v>981</v>
      </c>
      <c r="B982" s="6" t="s">
        <v>721</v>
      </c>
      <c r="C982" s="6" t="s">
        <v>6851</v>
      </c>
      <c r="D982" s="7" t="s">
        <v>9752</v>
      </c>
      <c r="E982" s="1" t="s">
        <v>31</v>
      </c>
      <c r="F982" s="1" t="s">
        <v>5252</v>
      </c>
      <c r="G982" s="1"/>
      <c r="J982" s="1" t="s">
        <v>9753</v>
      </c>
      <c r="L982" s="3" t="s">
        <v>9362</v>
      </c>
      <c r="P982" s="7" t="s">
        <v>1241</v>
      </c>
      <c r="Q982" s="13" t="str">
        <f>INDEX($L:$L, MATCH("assume", $B:$B, 0))</f>
        <v>&lt;span class="w"&gt;&lt;b&gt;【236.assume：〜を当然のことと思う, 仮定する, （権利を）自分のものとする, を引き受ける】&lt;/b&gt;&lt;/span&gt;
&lt;span class="ml"&gt;ラテン語に由来する語で、以下の3つの要素から成る。
&lt;span class="spacer"&gt;&lt;/span&gt;ad（～へ）
sub（下に）
emere（取る）
&lt;span class="spacer"&gt;&lt;/span&gt;このまま日本語にすると「〜へ手を伸ばして取って下におく」となる。手を伸ばして取って自分のものにするイメージから、「（権利を）自分のものとする, 何かを引き受ける」となる。
&lt;span class="spacer"&gt;&lt;/span&gt;さらに議論においてある事柄を取って下に置くイメージから、「当然の前提とする」＝「仮定する, 当然のことと思う」という意味になる。
&lt;div class="sample_image assume"&gt;&lt;/div&gt;&lt;/span&gt;</v>
      </c>
      <c r="R982" s="13" t="str">
        <f>INDEX($L:$L, MATCH("consume", $B:$B, 0))</f>
        <v>&lt;span class="w"&gt;&lt;b&gt;【320.consume：〜を消費する, ～を飲食する】&lt;/b&gt;&lt;/span&gt;
&lt;span class="ml"&gt;ラテン語に由来する語で、以下の3つの要素から成る。
&lt;span class="spacer"&gt;&lt;/span&gt;com（強意）
sub（下から）
emere（取る）
&lt;span class="spacer"&gt;&lt;/span&gt;subとemereからなるsume部分は「取る」という意味。したがってこの語の核は「完全に取りつくす」というイメージ。食べられる部分を取りつくす、使える部分を取りつくすことから「消費する, 飲食する」という意味になる。
&lt;div class="sample_image consume"&gt;&lt;/div&gt;&lt;/span&gt;</v>
      </c>
      <c r="AU982" s="15"/>
      <c r="AV982" s="1" t="s">
        <v>1502</v>
      </c>
      <c r="BG982" s="7" t="s">
        <v>1503</v>
      </c>
      <c r="BH982" s="1" t="s">
        <v>1947</v>
      </c>
      <c r="BI982" s="2" t="s">
        <v>5253</v>
      </c>
      <c r="BJ982" s="1" t="s">
        <v>1959</v>
      </c>
      <c r="BK982" s="2" t="s">
        <v>5254</v>
      </c>
      <c r="BL982" s="1" t="s">
        <v>1875</v>
      </c>
      <c r="BM982" s="2" t="s">
        <v>5255</v>
      </c>
      <c r="BN982" s="1" t="s">
        <v>1877</v>
      </c>
      <c r="BO982" s="2" t="s">
        <v>5256</v>
      </c>
    </row>
    <row r="983" spans="1:69" ht="144" x14ac:dyDescent="0.45">
      <c r="A983" s="5">
        <v>982</v>
      </c>
      <c r="B983" s="6" t="s">
        <v>722</v>
      </c>
      <c r="C983" s="6" t="s">
        <v>6851</v>
      </c>
      <c r="D983" s="7" t="s">
        <v>9752</v>
      </c>
      <c r="E983" s="1" t="s">
        <v>27</v>
      </c>
      <c r="F983" s="1" t="s">
        <v>1326</v>
      </c>
      <c r="G983" s="1" t="s">
        <v>49</v>
      </c>
      <c r="J983" s="1" t="s">
        <v>9753</v>
      </c>
      <c r="K983" s="1" t="s">
        <v>5257</v>
      </c>
      <c r="L983" s="2" t="s">
        <v>9335</v>
      </c>
      <c r="M983" s="1" t="s">
        <v>12207</v>
      </c>
      <c r="P983" s="7" t="s">
        <v>1241</v>
      </c>
      <c r="Q983" s="13" t="str">
        <f>INDEX($L:$L, MATCH("inform", $B:$B, 0))</f>
        <v>&lt;span class="w"&gt;&lt;b&gt;【508.inform：〜に知らせる, 情報を提供する】&lt;/b&gt;&lt;/span&gt;
&lt;span class="ml"&gt;ラテン語に由来する語で、以下の2つの要素から成る。
&lt;span class="spacer"&gt;&lt;/span&gt;in（中に）
formare（形作る）
&lt;span class="spacer"&gt;&lt;/span&gt;このまま日本語にすると「内側に形作る」となる。これは、相手の頭の中に知識を形成するというイメージ。ここから、教育によって教えることへとつながる。そして教育することから情報の伝達が意味の中心となり、相手に「情報を与える, 知らせる」という意味になった。&lt;/span&gt;</v>
      </c>
      <c r="R983" s="13" t="str">
        <f>INDEX($L:$L, MATCH("transform", $B:$B, 0))</f>
        <v>&lt;span class="w"&gt;&lt;b&gt;【519.transform：〜を変える】&lt;/b&gt;&lt;/span&gt;
&lt;span class="ml"&gt;ラテン語に由来する語で、以下の2つの要素から成る。
&lt;span class="spacer"&gt;&lt;/span&gt;trans（越えて）
forma（形）から派生したformare（形作る）
&lt;span class="spacer"&gt;&lt;/span&gt;このまま日本語にすると「越えて形作る」となる。これは、今ある状態から別の状態へと形を変えるイメージで、形や質を「変える」という意味になる。&lt;/span&gt;</v>
      </c>
      <c r="S983" s="13" t="str">
        <f>INDEX($L:$L, MATCH("reform", $B:$B, 0))</f>
        <v>&lt;span class="w"&gt;&lt;b&gt;【735.reform：〜を改革する, 〜を改心させる】&lt;/b&gt;&lt;/span&gt;
&lt;span class="ml"&gt;ラテン語に由来する語で、以下の2つの要素から成る。
&lt;span class="spacer"&gt;&lt;/span&gt;re（再び）
formare（形作る）
&lt;span class="spacer"&gt;&lt;/span&gt;このまま日本語にすると「再び形作る」となる。これは、前よりも良い形に変えることを表し、人を「改心させる」や政府や制度を「改革する」という意味になる。&lt;/span&gt;</v>
      </c>
      <c r="T983" s="13" t="str">
        <f>INDEX($L:$L, MATCH("platform", $B:$B, 0))</f>
        <v>&lt;span class="w"&gt;&lt;b&gt;【771.platform：プラットフォーム, 演壇, 舞台】&lt;/b&gt;&lt;/span&gt;
&lt;span class="ml"&gt;古フランス語に由来する語で、以下の2つの要素から成る。
&lt;span class="spacer"&gt;&lt;/span&gt;plat（平らな, 水平な）
forme（形）
&lt;span class="spacer"&gt;&lt;/span&gt;このまま日本語にすると「平らな形」となる。最初は建物の平面図や地形の平らな場所を指したが、そこから物理的な一段高くなった台、つまり「駅のホーム」や「演壇, 舞台」といった意味になった。
&lt;span class="spacer"&gt;&lt;/span&gt;さらにその後、意見や方針を発表するための基盤＝政党の綱領や現代のITプラットフォームなどといった抽象的な意味にも広がった。&lt;/span&gt;</v>
      </c>
      <c r="U983" s="13" t="str">
        <f>INDEX($L:$L, MATCH("formation", $B:$B, 0))</f>
        <v>&lt;span class="w"&gt;&lt;b&gt;【942.formation：形成】&lt;/b&gt;&lt;/span&gt;
&lt;span class="ml"&gt;ラテン語に由来する語で、以下の2つの要素から成る。
&lt;span class="spacer"&gt;&lt;/span&gt;
forma（形, 姿）から派生した動詞formare（形作る）
io（名詞化）
&lt;span class="spacer"&gt;&lt;/span&gt;このまま日本語にすると「形作ること, 形成」という意味になる。&lt;/span&gt;</v>
      </c>
      <c r="V983" s="13" t="str">
        <f>INDEX($L:$L, MATCH("format", $B:$B, 0))</f>
        <v>&lt;span class="w"&gt;&lt;b&gt;【1263.format：書式, 形式】&lt;/b&gt;&lt;/span&gt;
&lt;span class="ml"&gt;ラテン語forma（型, 形）に由来する。
&lt;span class="spacer"&gt;&lt;/span&gt;もともとは、本を作る際の形や大きさなど、決められた型を表した。本や文章は決まった形を持たないので、どんなふうにでも表現できてしまう。それらに対して、形やサイズ、どこにどんな文章を配置するかなど、明確な形を与えるのがフォーマット。
&lt;span class="spacer"&gt;&lt;/span&gt;いまでは本に限らず、データや履歴書、テレビ番組などの様々なものに対して決まった形、つまり「書式, 形式」という意味で使われる。&lt;/span&gt;</v>
      </c>
      <c r="W983" s="13" t="str">
        <f>INDEX($L:$L, MATCH("formula", $B:$B, 0))</f>
        <v>&lt;span class="w"&gt;&lt;b&gt;【1366.formula：方法, 公式】&lt;/b&gt;&lt;/span&gt;
&lt;span class="ml"&gt;ラテン語
forma（形, 型）
ula（小さいことを表す）
&lt;span class="spacer"&gt;&lt;/span&gt;このまま日本語にすると「小さな型（フォーム）」となり、もともとは同じものを量産するためのひな型を表した。ひな型に材料を流し込めば必ず同じ形ができるように、同じ手順を踏めば同じ結果になるという考えから、決まった型通りの「方法」や数学の「公式」という意味になった。&lt;/span&gt;</v>
      </c>
      <c r="AU983" s="15"/>
      <c r="AV983" s="1" t="s">
        <v>1502</v>
      </c>
      <c r="BG983" s="7" t="s">
        <v>1503</v>
      </c>
      <c r="BH983" s="1" t="s">
        <v>1947</v>
      </c>
      <c r="BI983" s="2" t="s">
        <v>5258</v>
      </c>
      <c r="BJ983" s="1" t="s">
        <v>1959</v>
      </c>
      <c r="BK983" s="1" t="s">
        <v>5259</v>
      </c>
      <c r="BL983" s="1" t="s">
        <v>1875</v>
      </c>
      <c r="BM983" s="2" t="s">
        <v>5260</v>
      </c>
      <c r="BN983" s="1" t="s">
        <v>1877</v>
      </c>
      <c r="BO983" s="2" t="s">
        <v>5261</v>
      </c>
    </row>
    <row r="984" spans="1:69" ht="108" x14ac:dyDescent="0.45">
      <c r="A984" s="5">
        <v>983</v>
      </c>
      <c r="B984" s="6" t="s">
        <v>723</v>
      </c>
      <c r="C984" s="6" t="s">
        <v>6851</v>
      </c>
      <c r="D984" s="7" t="s">
        <v>9752</v>
      </c>
      <c r="E984" s="1" t="s">
        <v>5262</v>
      </c>
      <c r="F984" s="1" t="s">
        <v>49</v>
      </c>
      <c r="G984" s="1"/>
      <c r="J984" s="1" t="s">
        <v>9753</v>
      </c>
      <c r="K984" s="2" t="s">
        <v>9336</v>
      </c>
      <c r="L984" s="2" t="s">
        <v>9337</v>
      </c>
      <c r="M984" s="1" t="s">
        <v>12219</v>
      </c>
      <c r="P984" s="7" t="s">
        <v>1241</v>
      </c>
      <c r="Q984" s="13" t="str">
        <f>INDEX($L:$L, MATCH("commute", $B:$B, 0))</f>
        <v>&lt;span class="w"&gt;&lt;b&gt;【1132.commute：通勤・通学する】&lt;/b&gt;&lt;/span&gt;
&lt;span class="ml"&gt;ラテン語に由来する語で、以下の2つの要素から成る。
&lt;span class="spacer"&gt;&lt;/span&gt;com（強意）
mutare（変える）
&lt;span class="spacer"&gt;&lt;/span&gt;もともとは、何かと何かを交換することを表した。19世紀のアメリカにおいて、毎日鉄道に乗る乗客のために、一定期間の運賃を一括で先払いする代わりに割引価格で乗車できるcommutation ticket（定期券：毎日の運賃支払いを一括に"交換"した切符）が発売された。
&lt;span class="spacer"&gt;&lt;/span&gt;この切符を利用する人々はcommuter（定期券通勤者）と呼ばれるようになり、やがてその移動行為自体をcommuteと呼ぶようになった。
&lt;span class="spacer"&gt;&lt;/span&gt;そうして交換するという行為から、都度支払いを一括払いに交換した定期券を経て、「通勤する, 通学する」という意味になった。
&lt;span class="spacer"&gt;&lt;/span&gt;覚えるだけなら、commuteは家と職場や学校との交換＝移動というイメージでもよい。
&lt;div class="sample_image commute"&gt;&lt;/div&gt;&lt;/span&gt;</v>
      </c>
      <c r="R984" s="13" t="str">
        <f>INDEX($L:$L, MATCH("mutation", $B:$B, 0))</f>
        <v>&lt;span class="w"&gt;&lt;b&gt;【1448.mutation：突然変異（体）】&lt;/b&gt;&lt;/span&gt;
&lt;span class="ml"&gt;ラテン語に由来する語で、以下の2つの要素から成る。
&lt;span class="spacer"&gt;&lt;/span&gt;mutare（変える）
io（名詞化）
&lt;span class="spacer"&gt;&lt;/span&gt;このまま日本語にすると「変えること」となる。特に遺伝学において、遺伝子の「突然変異（体）」という意味になった。
&lt;span class="spacer"&gt;&lt;/span&gt;ラテン語mutare（変える）は、印欧祖語*mei-（変化する, 移動する）にさかのぼる。この印欧祖語からはcommute（通勤・通学する）やcommunicate（意思疎通する）も生まれており、それぞれ場所と意思の「移動」が核となっている。
&lt;span class="spacer"&gt;&lt;/span&gt;mutation（突然変異）は変化だが、変化＝ある状態から別の状態への移動と考えれば、commute, communicateと核は同じである。&lt;/span&gt;</v>
      </c>
      <c r="AU984" s="15"/>
      <c r="AV984" s="1" t="s">
        <v>1502</v>
      </c>
      <c r="BG984" s="7" t="s">
        <v>1503</v>
      </c>
      <c r="BH984" s="1" t="s">
        <v>1976</v>
      </c>
      <c r="BI984" s="2" t="s">
        <v>5263</v>
      </c>
      <c r="BJ984" s="1" t="s">
        <v>1947</v>
      </c>
      <c r="BK984" s="2" t="s">
        <v>5264</v>
      </c>
      <c r="BL984" s="1" t="s">
        <v>1959</v>
      </c>
      <c r="BM984" s="2" t="s">
        <v>5265</v>
      </c>
      <c r="BN984" s="1" t="s">
        <v>1875</v>
      </c>
      <c r="BO984" s="2" t="s">
        <v>5266</v>
      </c>
      <c r="BP984" s="1" t="s">
        <v>1877</v>
      </c>
      <c r="BQ984" s="2" t="s">
        <v>5267</v>
      </c>
    </row>
    <row r="985" spans="1:69" ht="162" x14ac:dyDescent="0.45">
      <c r="A985" s="5">
        <v>984</v>
      </c>
      <c r="B985" s="6" t="s">
        <v>724</v>
      </c>
      <c r="C985" s="6" t="s">
        <v>6851</v>
      </c>
      <c r="D985" s="7" t="s">
        <v>9752</v>
      </c>
      <c r="E985" s="1" t="s">
        <v>5268</v>
      </c>
      <c r="F985" s="1" t="s">
        <v>5269</v>
      </c>
      <c r="G985" s="1" t="s">
        <v>49</v>
      </c>
      <c r="J985" s="1" t="s">
        <v>9753</v>
      </c>
      <c r="L985" s="2" t="s">
        <v>9338</v>
      </c>
      <c r="P985" s="7" t="s">
        <v>1241</v>
      </c>
      <c r="AU985" s="15"/>
      <c r="AV985" s="1" t="s">
        <v>1502</v>
      </c>
      <c r="BG985" s="7" t="s">
        <v>1503</v>
      </c>
      <c r="BH985" s="1" t="s">
        <v>1947</v>
      </c>
      <c r="BI985" s="2" t="s">
        <v>5270</v>
      </c>
      <c r="BJ985" s="1" t="s">
        <v>1877</v>
      </c>
      <c r="BK985" s="2" t="s">
        <v>5271</v>
      </c>
    </row>
    <row r="986" spans="1:69" ht="270" x14ac:dyDescent="0.45">
      <c r="A986" s="5">
        <v>985</v>
      </c>
      <c r="B986" s="8" t="s">
        <v>725</v>
      </c>
      <c r="C986" s="6" t="s">
        <v>6851</v>
      </c>
      <c r="D986" s="7" t="s">
        <v>9752</v>
      </c>
      <c r="E986" s="1" t="s">
        <v>1621</v>
      </c>
      <c r="F986" s="1" t="s">
        <v>5272</v>
      </c>
      <c r="G986" s="1" t="s">
        <v>5273</v>
      </c>
      <c r="J986" s="1" t="s">
        <v>9753</v>
      </c>
      <c r="L986" s="2" t="s">
        <v>9339</v>
      </c>
      <c r="M986" s="1" t="s">
        <v>12140</v>
      </c>
      <c r="P986" s="7" t="s">
        <v>1241</v>
      </c>
      <c r="Q986" s="13" t="str">
        <f>INDEX($L:$L, MATCH("source", $B:$B, 0))</f>
        <v>&lt;span class="w"&gt;&lt;b&gt;【75.source：源, 情報源】&lt;/b&gt;&lt;/span&gt;
&lt;span class="ml"&gt;ラテン語に由来する語で、以下の2つの要素から成る。
&lt;span class="spacer"&gt;&lt;/span&gt;sub（下から上に）
regere（まっすぐ導く）
&lt;span class="spacer"&gt;&lt;/span&gt;このまま日本語にすると「下から上にまっすぐ導く」となる。これは地下から水が湧き出てくるイメージ。ここから「源, 情報源」という意味になる。&lt;/span&gt;</v>
      </c>
      <c r="R986" s="13" t="str">
        <f>INDEX($L:$L, MATCH("resource", $B:$B, 0))</f>
        <v>&lt;span class="w"&gt;&lt;b&gt;【163.resource：資源, 資金】&lt;/b&gt;&lt;/span&gt;
&lt;span class="ml"&gt;ラテン語に由来する語で、以下の3つの要素から成る。
&lt;span class="spacer"&gt;&lt;/span&gt;re（再び）
sub（下から）
regere（まっすぐ導く）
&lt;span class="spacer"&gt;&lt;/span&gt;このまま日本語にすると「再び下からまっすぐ導く」となる。崩れたものをを再び立て直すことから、困ったときに立ち直らせる源＝「資源, 資金」という意味になる。&lt;/span&gt;</v>
      </c>
      <c r="S986" s="13" t="str">
        <f>INDEX($L:$L, MATCH("region", $B:$B, 0))</f>
        <v>&lt;span class="w"&gt;&lt;b&gt;【164.region：地域, 領域, 部位】&lt;/b&gt;&lt;/span&gt;
&lt;span class="ml"&gt;ラテン語に由来する語で、以下の2つの要素から成る。
&lt;span class="spacer"&gt;&lt;/span&gt;regere（まっすぐ導く, 支配する）
io（名詞化）
&lt;span class="spacer"&gt;&lt;/span&gt;このまま日本語にすると「まっすぐ導くこと, 支配する者」となる。支配者が領土に線を引いて区分けするイメージから「地域, 領域, 部位」という意味になる。
&lt;div class="sample_image region"&gt;&lt;/div&gt;&lt;/span&gt;</v>
      </c>
      <c r="T986" s="13" t="str">
        <f>INDEX($L:$L, MATCH("correct", $B:$B, 0))</f>
        <v>&lt;span class="w"&gt;&lt;b&gt;【99.correct：正しい】&lt;/b&gt;&lt;/span&gt;
&lt;span class="ml"&gt;ラテン語に由来する語で、以下の2つの要素から成る。
&lt;span class="spacer"&gt;&lt;/span&gt;com（強意）
regere（まっすぐ導く）
&lt;span class="spacer"&gt;&lt;/span&gt;このまま日本語にすると「しっかりとまっすぐ導く」となる。間違いにそれることなくまっすぐに正すことから「正しい」という意味になる。&lt;/span&gt;</v>
      </c>
      <c r="U986" s="13" t="str">
        <f>INDEX($L:$L, MATCH("address", $B:$B, 0))</f>
        <v>&lt;span class="w"&gt;&lt;b&gt;【330.address：問題に対処する, 演説する, ～宛てに出す】&lt;/b&gt;&lt;/span&gt;
&lt;span class="ml"&gt;ラテン語に由来する語で、以下の2つの要素から成る。
&lt;span class="spacer"&gt;&lt;/span&gt;ad（～へ）
dis（強意）
regere（まっすぐ導く）
&lt;span class="spacer"&gt;&lt;/span&gt;このまま日本語にすると「ある方向へしっかりまっすぐ導く」となる。ここから問題に対して自分の意識をまっすぐ向けて、問題を解消してまっすぐな状態＝正常な状態にしようとする＝「対処する」という意味になる。
&lt;span class="spacer"&gt;&lt;/span&gt;また対象へまっすぐ届けることから、手紙などを「～へ宛てて送る」となる。手紙ではなく言葉を直接届ける場合は「演説をする」となる。
&lt;div class="sample_image address"&gt;&lt;/div&gt;&lt;/span&gt;</v>
      </c>
      <c r="AU986" s="15"/>
      <c r="AV986" s="1" t="s">
        <v>1502</v>
      </c>
      <c r="BG986" s="7" t="s">
        <v>1503</v>
      </c>
      <c r="BH986" s="1" t="s">
        <v>1947</v>
      </c>
      <c r="BI986" s="2" t="s">
        <v>5274</v>
      </c>
      <c r="BJ986" s="1" t="s">
        <v>1994</v>
      </c>
      <c r="BK986" s="2" t="s">
        <v>5275</v>
      </c>
      <c r="BL986" s="1" t="s">
        <v>1996</v>
      </c>
      <c r="BM986" s="1" t="s">
        <v>5276</v>
      </c>
      <c r="BN986" s="1" t="s">
        <v>1877</v>
      </c>
      <c r="BO986" s="2" t="s">
        <v>5277</v>
      </c>
    </row>
    <row r="987" spans="1:69" ht="90" x14ac:dyDescent="0.45">
      <c r="A987" s="5">
        <v>986</v>
      </c>
      <c r="B987" s="6" t="s">
        <v>726</v>
      </c>
      <c r="C987" s="6" t="s">
        <v>6851</v>
      </c>
      <c r="D987" s="7" t="s">
        <v>9752</v>
      </c>
      <c r="E987" s="1" t="s">
        <v>5278</v>
      </c>
      <c r="F987" s="1" t="s">
        <v>1551</v>
      </c>
      <c r="G987" s="1"/>
      <c r="J987" s="1" t="s">
        <v>9753</v>
      </c>
      <c r="K987" s="1" t="s">
        <v>5279</v>
      </c>
      <c r="L987" s="2" t="s">
        <v>9340</v>
      </c>
      <c r="P987" s="7" t="s">
        <v>1241</v>
      </c>
      <c r="AU987" s="15"/>
      <c r="AV987" s="1" t="s">
        <v>1502</v>
      </c>
      <c r="BG987" s="7" t="s">
        <v>1503</v>
      </c>
      <c r="BH987" s="1" t="s">
        <v>2458</v>
      </c>
      <c r="BI987" s="2" t="s">
        <v>5280</v>
      </c>
      <c r="BJ987" s="1" t="s">
        <v>1947</v>
      </c>
      <c r="BK987" s="1" t="s">
        <v>5281</v>
      </c>
      <c r="BL987" s="1" t="s">
        <v>3408</v>
      </c>
      <c r="BM987" s="2" t="s">
        <v>5282</v>
      </c>
      <c r="BN987" s="1" t="s">
        <v>1877</v>
      </c>
      <c r="BO987" s="2" t="s">
        <v>5283</v>
      </c>
    </row>
    <row r="988" spans="1:69" ht="198" x14ac:dyDescent="0.45">
      <c r="A988" s="5">
        <v>987</v>
      </c>
      <c r="B988" s="6" t="s">
        <v>727</v>
      </c>
      <c r="C988" s="6" t="s">
        <v>6851</v>
      </c>
      <c r="D988" s="7" t="s">
        <v>9752</v>
      </c>
      <c r="E988" s="1" t="s">
        <v>5284</v>
      </c>
      <c r="F988" s="1" t="s">
        <v>1542</v>
      </c>
      <c r="G988" s="1"/>
      <c r="J988" s="1" t="s">
        <v>9753</v>
      </c>
      <c r="K988" s="2" t="s">
        <v>9341</v>
      </c>
      <c r="L988" s="2" t="s">
        <v>9342</v>
      </c>
      <c r="P988" s="7" t="s">
        <v>1241</v>
      </c>
      <c r="AU988" s="15"/>
      <c r="AV988" s="1" t="s">
        <v>1502</v>
      </c>
      <c r="BG988" s="7" t="s">
        <v>1503</v>
      </c>
      <c r="BH988" s="1" t="s">
        <v>2458</v>
      </c>
      <c r="BI988" s="2" t="s">
        <v>9343</v>
      </c>
      <c r="BJ988" s="1" t="s">
        <v>1947</v>
      </c>
      <c r="BK988" s="1" t="s">
        <v>5285</v>
      </c>
      <c r="BL988" s="1" t="s">
        <v>1967</v>
      </c>
      <c r="BM988" s="2" t="s">
        <v>5286</v>
      </c>
      <c r="BN988" s="1" t="s">
        <v>1996</v>
      </c>
      <c r="BO988" s="2" t="s">
        <v>5287</v>
      </c>
      <c r="BP988" s="1" t="s">
        <v>1877</v>
      </c>
      <c r="BQ988" s="2" t="s">
        <v>5288</v>
      </c>
    </row>
    <row r="989" spans="1:69" ht="108" x14ac:dyDescent="0.45">
      <c r="A989" s="5">
        <v>988</v>
      </c>
      <c r="B989" s="8" t="s">
        <v>728</v>
      </c>
      <c r="C989" s="6" t="s">
        <v>6851</v>
      </c>
      <c r="D989" s="7" t="s">
        <v>9752</v>
      </c>
      <c r="E989" s="1" t="s">
        <v>728</v>
      </c>
      <c r="F989" s="1"/>
      <c r="G989" s="1"/>
      <c r="J989" s="1" t="s">
        <v>9753</v>
      </c>
      <c r="L989" s="2" t="s">
        <v>9344</v>
      </c>
      <c r="M989" s="1" t="s">
        <v>12132</v>
      </c>
      <c r="P989" s="7" t="s">
        <v>1241</v>
      </c>
      <c r="Q989" s="13" t="str">
        <f>INDEX($L:$L, MATCH("flow", $B:$B, 0))</f>
        <v>&lt;span class="w"&gt;&lt;b&gt;【334.flow：流れる, 生じる】&lt;/b&gt;&lt;/span&gt;
&lt;span class="ml"&gt;印欧祖語*pleu-（流れる, 流動する）に由来する。
&lt;span class="spacer"&gt;&lt;/span&gt;印欧祖語から意味の変化はほとんどない。&lt;/span&gt;</v>
      </c>
      <c r="R989" s="13" t="str">
        <f>INDEX($L:$L, MATCH("float", $B:$B, 0))</f>
        <v>&lt;span class="w"&gt;&lt;b&gt;【908.float：漂う, 浮かぶ, 〜を浮かべる】&lt;/b&gt;&lt;/span&gt;
&lt;span class="ml"&gt;古英語flotian（水面に浮かぶ）にさかのぼる。
&lt;span class="spacer"&gt;&lt;/span&gt;fl-で始まる単語は、flow / fly / flee / floodなど、風や水にふわりと乗って動いていくイメージ。ここから「漂う, 浮かぶ, 浮かべる」という意味になる。&lt;/span&gt;</v>
      </c>
      <c r="S989" s="13" t="str">
        <f>INDEX($L:$L, MATCH("flee", $B:$B, 0))</f>
        <v>&lt;span class="w"&gt;&lt;b&gt;【1312.flee：逃げる】&lt;/b&gt;&lt;/span&gt;
&lt;span class="ml"&gt;印欧祖語*pleu-（流れる）にさかのぼる。
&lt;span class="spacer"&gt;&lt;/span&gt;この印欧祖語からはflyやflowも生まれている。この語の核は「流れるような素早い動き」。流れるようにスッと危険や脅威から離れることから「逃げる」という意味になった。&lt;/span&gt;</v>
      </c>
      <c r="T989" s="13" t="str">
        <f>INDEX($L:$L, MATCH("influence", $B:$B, 0))</f>
        <v>&lt;span class="w"&gt;&lt;b&gt;【49.influence：影響力】&lt;/b&gt;&lt;/span&gt;
&lt;span class="ml"&gt;ラテン語に由来する語で、以下の2つの要素から成る。
&lt;span class="spacer"&gt;&lt;/span&gt;in（中に）
fluere（流れる）
&lt;span class="spacer"&gt;&lt;/span&gt;このまま日本語にすると「中に流れる」となる。昔は占星術の用語として使われ、星から出る人格や運命に作用する力を意味した。ここから占星術に限定されず、一般的な目に見えない力＝「影響力」という意味になる。&lt;/span&gt;</v>
      </c>
      <c r="U989" s="13" t="str">
        <f>INDEX($L:$L, MATCH("fluid", $B:$B, 0))</f>
        <v>&lt;span class="w"&gt;&lt;b&gt;【1254.fluid：流動体, 液体, 気体】&lt;/b&gt;&lt;/span&gt;
&lt;span class="ml"&gt;ラテン語に由来する語で、以下の2つの要素から成る。
&lt;span class="spacer"&gt;&lt;/span&gt;fluere（流れる）
idus（形容詞化）
&lt;span class="spacer"&gt;&lt;/span&gt;この語の核は「形が定まらず流れるような感じ」。もともとは、流れるような様子を表す形容詞だったが、それが名詞として使われるようになり、流れるもの、すなわち「流動体, 液体, 気体」という意味になった。fluidは現在でも形容詞としても使われる。&lt;/span&gt;</v>
      </c>
      <c r="AU989" s="15"/>
      <c r="AV989" s="1" t="s">
        <v>1502</v>
      </c>
      <c r="BG989" s="7" t="s">
        <v>1503</v>
      </c>
      <c r="BH989" s="1" t="s">
        <v>1947</v>
      </c>
      <c r="BI989" s="2" t="s">
        <v>5289</v>
      </c>
      <c r="BJ989" s="1" t="s">
        <v>1877</v>
      </c>
      <c r="BK989" s="2" t="s">
        <v>5290</v>
      </c>
    </row>
    <row r="990" spans="1:69" ht="90" x14ac:dyDescent="0.45">
      <c r="A990" s="5">
        <v>989</v>
      </c>
      <c r="B990" s="8" t="s">
        <v>729</v>
      </c>
      <c r="C990" s="6" t="s">
        <v>6851</v>
      </c>
      <c r="D990" s="7" t="s">
        <v>9752</v>
      </c>
      <c r="E990" s="1" t="s">
        <v>5291</v>
      </c>
      <c r="F990" s="1" t="s">
        <v>49</v>
      </c>
      <c r="G990" s="1"/>
      <c r="J990" s="1" t="s">
        <v>9753</v>
      </c>
      <c r="L990" s="2" t="s">
        <v>9345</v>
      </c>
      <c r="M990" s="1" t="s">
        <v>12187</v>
      </c>
      <c r="P990" s="7" t="s">
        <v>1241</v>
      </c>
      <c r="Q990" s="13" t="str">
        <f>INDEX($L:$L, MATCH("extra", $B:$B, 0))</f>
        <v>&lt;span class="w"&gt;&lt;b&gt;【284.extra：追加の, 余分の】&lt;/b&gt;&lt;/span&gt;
&lt;span class="ml"&gt;ラテン語ex（外の）から派生したexterus（外側の）に由来する。
&lt;span class="spacer"&gt;&lt;/span&gt;「外側の」から、ある範囲を超えている＝「追加の, 余分の」という意味になる。&lt;/span&gt;</v>
      </c>
      <c r="R990" s="13" t="str">
        <f>INDEX($L:$L, MATCH("extreme", $B:$B, 0))</f>
        <v>&lt;span class="w"&gt;&lt;b&gt;【296.extreme：極端な】&lt;/b&gt;&lt;/span&gt;
&lt;span class="ml"&gt;ラテン語ex（外の）から派生した最上級extremus（最も外側の）に由来する。
&lt;span class="spacer"&gt;&lt;/span&gt;「最も外側の」から度合いの範囲の中で最も外側、つまり「極端な」という意味になる。&lt;/span&gt;</v>
      </c>
      <c r="S990" s="13" t="str">
        <f>INDEX($L:$L, MATCH("exotic", $B:$B, 0))</f>
        <v>&lt;span class="w"&gt;&lt;b&gt;【1180.exotic：外来の, 異国風の】&lt;/b&gt;&lt;/span&gt;
&lt;span class="ml"&gt;ギリシャ語に由来する語で、以下の2つの要素から成る。
&lt;span class="spacer"&gt;&lt;/span&gt;exo（外に）
ikos（形容詞化）
&lt;span class="spacer"&gt;&lt;/span&gt;この語の核は「外の世界から来た」。そこから「外来の」や「異国風の」という意味になる。&lt;/span&gt;</v>
      </c>
      <c r="AU990" s="15"/>
      <c r="AV990" s="1" t="s">
        <v>1502</v>
      </c>
      <c r="BG990" s="7" t="s">
        <v>1503</v>
      </c>
      <c r="BH990" s="1" t="s">
        <v>1947</v>
      </c>
      <c r="BI990" s="2" t="s">
        <v>5292</v>
      </c>
      <c r="BJ990" s="1" t="s">
        <v>1875</v>
      </c>
      <c r="BK990" s="2" t="s">
        <v>5293</v>
      </c>
      <c r="BL990" s="1" t="s">
        <v>1877</v>
      </c>
      <c r="BM990" s="2" t="s">
        <v>5294</v>
      </c>
    </row>
    <row r="991" spans="1:69" ht="144" x14ac:dyDescent="0.45">
      <c r="A991" s="5">
        <v>990</v>
      </c>
      <c r="B991" s="8" t="s">
        <v>730</v>
      </c>
      <c r="C991" s="6" t="s">
        <v>6851</v>
      </c>
      <c r="D991" s="7" t="s">
        <v>9752</v>
      </c>
      <c r="E991" s="1" t="s">
        <v>5295</v>
      </c>
      <c r="F991" s="1" t="s">
        <v>1528</v>
      </c>
      <c r="G991" s="1"/>
      <c r="J991" s="1" t="s">
        <v>9753</v>
      </c>
      <c r="L991" s="2" t="s">
        <v>9346</v>
      </c>
      <c r="M991" s="1" t="s">
        <v>12144</v>
      </c>
      <c r="P991" s="7" t="s">
        <v>1241</v>
      </c>
      <c r="Q991" s="13" t="str">
        <f>INDEX($L:$L, MATCH("patient", $B:$B, 0))</f>
        <v>&lt;span class="w"&gt;&lt;b&gt;【89.patient：忍耐強い】&lt;/b&gt;&lt;/span&gt;
&lt;span class="ml"&gt;ラテン語pati（耐える, 受ける）に由来する。
&lt;span class="spacer"&gt;&lt;/span&gt;「耐える」から、じっと耐えて「忍耐強い」という意味になる。
&lt;span class="spacer"&gt;&lt;/span&gt;ptientは名詞で「患者」という意味もある。これは病気や治療に耐えるというイメージ。&lt;/span&gt;</v>
      </c>
      <c r="R991" s="13" t="str">
        <f>INDEX($L:$L, MATCH("passion", $B:$B, 0))</f>
        <v>&lt;span class="w"&gt;&lt;b&gt;【841.passion：情熱, 激怒】&lt;/b&gt;&lt;/span&gt;
&lt;span class="ml"&gt;ラテン語に由来する語で、以下の2つの要素から成る。
&lt;span class="spacer"&gt;&lt;/span&gt;pati（耐える, 受ける, 経験する）
io（名詞化）
&lt;span class="spacer"&gt;&lt;/span&gt;このまま日本語にすると「受けること, 耐えること」となる。この語の核は、自分の意思で行うのではなく、外部から何かを受けるということ。この核となる意味は、patient（患者, 忍耐強い）やpassive（受動的な）にも残っている。
&lt;span class="spacer"&gt;&lt;/span&gt;このラテン語は、理性によるコントロールが効かないほど人を突き動かす、非常に強い感情を表すギリシャ語pathosの翻訳語として使われるようになった。感情というのは、自らの意思で引き起こすものではなく、外部からの刺激によって生じる受動的なものだからである。そこから単なる感情ではなく、強い感情を表す「情熱, 激怒」という意味になった。&lt;/span&gt;</v>
      </c>
      <c r="S991" s="13" t="str">
        <f>INDEX($L:$L, MATCH("compassion", $B:$B, 0))</f>
        <v>&lt;span class="w"&gt;&lt;b&gt;【1450.compassion：同情】&lt;/b&gt;&lt;/span&gt;
&lt;span class="ml"&gt;ラテン語に由来する語で、以下の3つの要素から成る。
&lt;span class="spacer"&gt;&lt;/span&gt;com（共に）
pati（苦しむ, 耐える）
io（名詞化）
&lt;span class="spacer"&gt;&lt;/span&gt;このまま日本語にすると「共に苦しむこと」となる。相手の苦しみに寄り添うことから「同情」という意味になる。
&lt;span class="spacer"&gt;&lt;/span&gt;ラテン語compassioは、キリスト教の文脈でギリシャ語sympatheia（sympathyの語源）を翻訳する際に用いられた。
&lt;span class="spacer"&gt;&lt;/span&gt;compassionはキリスト教的な慈悲や哀れみの文脈で発展したことから、単なる感情的な同情ではなく、相手の苦しみを共に感じ、助けたい・苦痛を和らげたいといった気持ちを含んだ同情となる。
&lt;div class="sample_image compassion"&gt;&lt;/div&gt;&lt;/span&gt;</v>
      </c>
      <c r="AU991" s="15"/>
      <c r="AV991" s="1" t="s">
        <v>1502</v>
      </c>
      <c r="BG991" s="7" t="s">
        <v>1503</v>
      </c>
      <c r="BH991" s="1" t="s">
        <v>1947</v>
      </c>
      <c r="BI991" s="2" t="s">
        <v>9347</v>
      </c>
      <c r="BJ991" s="1" t="s">
        <v>1959</v>
      </c>
      <c r="BK991" s="1" t="s">
        <v>5296</v>
      </c>
      <c r="BL991" s="1" t="s">
        <v>1875</v>
      </c>
      <c r="BM991" s="2" t="s">
        <v>5297</v>
      </c>
      <c r="BN991" s="1" t="s">
        <v>1877</v>
      </c>
      <c r="BO991" s="2" t="s">
        <v>5298</v>
      </c>
    </row>
    <row r="992" spans="1:69" ht="252" x14ac:dyDescent="0.45">
      <c r="A992" s="5">
        <v>991</v>
      </c>
      <c r="B992" s="6" t="s">
        <v>731</v>
      </c>
      <c r="C992" s="6" t="s">
        <v>6851</v>
      </c>
      <c r="D992" s="7" t="s">
        <v>9752</v>
      </c>
      <c r="E992" s="1" t="s">
        <v>5299</v>
      </c>
      <c r="F992" s="1" t="s">
        <v>1821</v>
      </c>
      <c r="G992" s="1"/>
      <c r="J992" s="1" t="s">
        <v>9753</v>
      </c>
      <c r="L992" s="2" t="s">
        <v>9348</v>
      </c>
      <c r="P992" s="7" t="s">
        <v>1241</v>
      </c>
      <c r="AU992" s="15"/>
      <c r="AV992" s="1" t="s">
        <v>1502</v>
      </c>
      <c r="BG992" s="7" t="s">
        <v>1503</v>
      </c>
      <c r="BH992" s="1" t="s">
        <v>1872</v>
      </c>
      <c r="BI992" s="2" t="s">
        <v>5300</v>
      </c>
      <c r="BJ992" s="1" t="s">
        <v>1875</v>
      </c>
      <c r="BK992" s="2" t="s">
        <v>5301</v>
      </c>
      <c r="BL992" s="1" t="s">
        <v>1877</v>
      </c>
      <c r="BM992" s="2" t="s">
        <v>5302</v>
      </c>
    </row>
    <row r="993" spans="1:69" ht="108" x14ac:dyDescent="0.45">
      <c r="A993" s="5">
        <v>992</v>
      </c>
      <c r="B993" s="6" t="s">
        <v>5303</v>
      </c>
      <c r="C993" s="6" t="s">
        <v>6851</v>
      </c>
      <c r="D993" s="7" t="s">
        <v>9752</v>
      </c>
      <c r="E993" s="1" t="s">
        <v>1941</v>
      </c>
      <c r="F993" s="1" t="s">
        <v>66</v>
      </c>
      <c r="G993" s="1" t="s">
        <v>1819</v>
      </c>
      <c r="J993" s="1" t="s">
        <v>9753</v>
      </c>
      <c r="K993" s="1" t="s">
        <v>5304</v>
      </c>
      <c r="L993" s="2" t="s">
        <v>9349</v>
      </c>
      <c r="M993" s="1" t="s">
        <v>12124</v>
      </c>
      <c r="P993" s="7" t="s">
        <v>1241</v>
      </c>
      <c r="Q993" s="13" t="str">
        <f>INDEX($L:$L, MATCH("relate", $B:$B, 0))</f>
        <v>&lt;span class="w"&gt;&lt;b&gt;【28.relate：～を関連づける, 関連する】&lt;/b&gt;&lt;/span&gt;
&lt;span class="ml"&gt;ラテン語に由来する語で、以下の2つの要素から成る。
&lt;span class="spacer"&gt;&lt;/span&gt;re（再び）
ferre（運ぶ）の過去分詞latus
&lt;span class="spacer"&gt;&lt;/span&gt;このまま日本語にすると「再び運ぶ」となる。これは場所Aから場所Bへ移動し、そこで何かを取り、再び元の場所Aへ運ぶというイメージ。このようなAとBの間で何かを送り合う関係を作る行動から、AとBを結び付ける、AとBが結びついている＝「関連付ける, 関連している」という意味になる。
&lt;div class="sample_image relate"&gt;&lt;/div&gt;
&lt;span class="spacer"&gt;&lt;/span&gt;このラテン語はrefer（言及する, 参照する）の語源でもあるので関連させて覚える。&lt;/span&gt;</v>
      </c>
      <c r="R993" s="13" t="str">
        <f>INDEX($L:$L, MATCH("translate", $B:$B, 0))</f>
        <v>&lt;span class="w"&gt;&lt;b&gt;【502.translate：〜を翻訳する】&lt;/b&gt;&lt;/span&gt;
&lt;span class="ml"&gt;ラテン語に由来する語で、以下の2つの要素から成る。
&lt;span class="spacer"&gt;&lt;/span&gt;trans（越えて）
ferre（運ぶ）の過去分詞latus
&lt;span class="spacer"&gt;&lt;/span&gt;このまま日本語にすると「越えて運ぶ」となる。何かがある場所から別の場所へ運ばれるという物理的な移動から、ある言語が別の言語へ運ばれる、つまり「翻訳する」という意味になった。
&lt;div class="sample_image translate"&gt;&lt;/div&gt;&lt;/span&gt;</v>
      </c>
      <c r="S993" s="13" t="str">
        <f>INDEX($L:$L, MATCH("correlation", $B:$B, 0))</f>
        <v>&lt;span class="w"&gt;&lt;b&gt;【778.correlation：相互関係, 相関】&lt;/b&gt;&lt;/span&gt;
&lt;span class="ml"&gt;フランス語に由来する語で、以下の2つの要素から成る。
&lt;span class="spacer"&gt;&lt;/span&gt;com（共に）
relation（つながり）
&lt;span class="spacer"&gt;&lt;/span&gt;この語の核は「共につながりがある状態」。AとBがあるとき、AからBへのつながりがあり、BからAへのつながりもある状態。そこから「相互関係, 相関」という意味になる。&lt;/span&gt;</v>
      </c>
      <c r="T993" s="13" t="str">
        <f>INDEX($L:$L, MATCH("legislation", $B:$B, 0))</f>
        <v>&lt;span class="w"&gt;&lt;b&gt;【1346.legislation：（不可算）立法, 法律】&lt;/b&gt;&lt;/span&gt;
&lt;span class="ml"&gt;ラテン語に由来する語で、以下の2つの要素から成る。
&lt;span class="spacer"&gt;&lt;/span&gt;legis（法律）
latio（運ぶこと）
&lt;span class="spacer"&gt;&lt;/span&gt;このまま日本語にすると「法律を運ぶこと」となる。そこから、法律を提出して成立させるプロセス＝「立法」という意味になる。また、議会で制定された法律のまとまりや法制度という意味で「法律」にもなる。
&lt;span class="spacer"&gt;&lt;/span&gt;このlation部分は、translateやrelateのlateと同じで、運ぶことを表す。
&lt;div class="sample_image legislation"&gt;&lt;/div&gt;&lt;/span&gt;</v>
      </c>
      <c r="AU993" s="15"/>
      <c r="AV993" s="1" t="s">
        <v>1502</v>
      </c>
      <c r="BG993" s="7" t="s">
        <v>1503</v>
      </c>
      <c r="BH993" s="1" t="s">
        <v>1877</v>
      </c>
      <c r="BI993" s="2" t="s">
        <v>5305</v>
      </c>
    </row>
    <row r="994" spans="1:69" ht="162" x14ac:dyDescent="0.45">
      <c r="A994" s="5">
        <v>993</v>
      </c>
      <c r="B994" s="8" t="s">
        <v>732</v>
      </c>
      <c r="C994" s="6" t="s">
        <v>6851</v>
      </c>
      <c r="D994" s="7" t="s">
        <v>9752</v>
      </c>
      <c r="E994" s="1" t="s">
        <v>5306</v>
      </c>
      <c r="F994" s="1" t="s">
        <v>5307</v>
      </c>
      <c r="G994" s="1"/>
      <c r="J994" s="1" t="s">
        <v>9753</v>
      </c>
      <c r="K994" s="1" t="s">
        <v>5308</v>
      </c>
      <c r="L994" s="2" t="s">
        <v>9350</v>
      </c>
      <c r="P994" s="7" t="s">
        <v>1241</v>
      </c>
      <c r="AU994" s="15"/>
      <c r="AV994" s="1" t="s">
        <v>1502</v>
      </c>
      <c r="BG994" s="7" t="s">
        <v>1503</v>
      </c>
      <c r="BH994" s="1" t="s">
        <v>1976</v>
      </c>
      <c r="BI994" s="1" t="s">
        <v>9351</v>
      </c>
      <c r="BJ994" s="1" t="s">
        <v>1947</v>
      </c>
      <c r="BK994" s="2" t="s">
        <v>5309</v>
      </c>
      <c r="BL994" s="1" t="s">
        <v>1959</v>
      </c>
      <c r="BM994" s="2" t="s">
        <v>5310</v>
      </c>
      <c r="BN994" s="1" t="s">
        <v>1875</v>
      </c>
      <c r="BO994" s="2" t="s">
        <v>5311</v>
      </c>
    </row>
    <row r="995" spans="1:69" ht="54" x14ac:dyDescent="0.45">
      <c r="A995" s="5">
        <v>994</v>
      </c>
      <c r="B995" s="6" t="s">
        <v>733</v>
      </c>
      <c r="C995" s="6" t="s">
        <v>6851</v>
      </c>
      <c r="D995" s="7" t="s">
        <v>9752</v>
      </c>
      <c r="E995" s="1" t="s">
        <v>733</v>
      </c>
      <c r="F995" s="1"/>
      <c r="G995" s="1"/>
      <c r="J995" s="1" t="s">
        <v>9753</v>
      </c>
      <c r="L995" s="2" t="s">
        <v>9352</v>
      </c>
      <c r="P995" s="7" t="s">
        <v>1241</v>
      </c>
      <c r="AU995" s="15"/>
      <c r="AV995" s="1" t="s">
        <v>1502</v>
      </c>
      <c r="BG995" s="7" t="s">
        <v>1503</v>
      </c>
      <c r="BH995" s="1" t="s">
        <v>1877</v>
      </c>
      <c r="BI995" s="2" t="s">
        <v>5312</v>
      </c>
    </row>
    <row r="996" spans="1:69" ht="162" x14ac:dyDescent="0.45">
      <c r="A996" s="5">
        <v>995</v>
      </c>
      <c r="B996" s="8" t="s">
        <v>734</v>
      </c>
      <c r="C996" s="6" t="s">
        <v>6851</v>
      </c>
      <c r="D996" s="7" t="s">
        <v>9752</v>
      </c>
      <c r="E996" s="1" t="s">
        <v>9002</v>
      </c>
      <c r="F996" s="1" t="s">
        <v>1456</v>
      </c>
      <c r="G996" s="1"/>
      <c r="J996" s="1" t="s">
        <v>9753</v>
      </c>
      <c r="K996" s="1" t="s">
        <v>9363</v>
      </c>
      <c r="L996" s="2" t="s">
        <v>10637</v>
      </c>
      <c r="M996" s="1" t="s">
        <v>12193</v>
      </c>
      <c r="P996" s="7" t="s">
        <v>1241</v>
      </c>
      <c r="AU996" s="15"/>
      <c r="AV996" s="1" t="s">
        <v>1502</v>
      </c>
      <c r="BG996" s="7" t="s">
        <v>1503</v>
      </c>
      <c r="BH996" s="1" t="s">
        <v>1947</v>
      </c>
      <c r="BI996" s="2" t="s">
        <v>5313</v>
      </c>
      <c r="BJ996" s="1" t="s">
        <v>2036</v>
      </c>
      <c r="BK996" s="2" t="s">
        <v>5314</v>
      </c>
      <c r="BL996" s="1" t="s">
        <v>1877</v>
      </c>
      <c r="BM996" s="2" t="s">
        <v>5315</v>
      </c>
    </row>
    <row r="997" spans="1:69" ht="90" x14ac:dyDescent="0.45">
      <c r="A997" s="5">
        <v>996</v>
      </c>
      <c r="B997" s="8" t="s">
        <v>735</v>
      </c>
      <c r="C997" s="6" t="s">
        <v>6851</v>
      </c>
      <c r="D997" s="7" t="s">
        <v>9752</v>
      </c>
      <c r="E997" s="1" t="s">
        <v>5316</v>
      </c>
      <c r="F997" s="1" t="s">
        <v>1698</v>
      </c>
      <c r="G997" s="1"/>
      <c r="J997" s="1" t="s">
        <v>9753</v>
      </c>
      <c r="K997" s="1" t="s">
        <v>9353</v>
      </c>
      <c r="L997" s="2" t="s">
        <v>9354</v>
      </c>
      <c r="P997" s="7" t="s">
        <v>1241</v>
      </c>
      <c r="Q997" s="13" t="str">
        <f>INDEX($L:$L, MATCH("urge", $B:$B, 0))</f>
        <v>&lt;span class="w"&gt;&lt;b&gt;【709.urge：〜に（強く）促す】&lt;/b&gt;&lt;/span&gt;
&lt;span class="ml"&gt;ラテン語urgere（強く押す, 駆り立てる）に由来する。
&lt;span class="spacer"&gt;&lt;/span&gt;強く押すことから、相手の背中を強く押して促す＝「強く促す」という意味になった。&lt;/span&gt;</v>
      </c>
      <c r="AU997" s="15"/>
      <c r="AV997" s="1" t="s">
        <v>1502</v>
      </c>
      <c r="BG997" s="7" t="s">
        <v>1503</v>
      </c>
      <c r="BH997" s="1" t="s">
        <v>1947</v>
      </c>
      <c r="BI997" s="2" t="s">
        <v>5317</v>
      </c>
      <c r="BJ997" s="1" t="s">
        <v>1959</v>
      </c>
      <c r="BK997" s="2" t="s">
        <v>5318</v>
      </c>
      <c r="BL997" s="1" t="s">
        <v>1875</v>
      </c>
      <c r="BM997" s="2" t="s">
        <v>5319</v>
      </c>
    </row>
    <row r="998" spans="1:69" ht="144" x14ac:dyDescent="0.45">
      <c r="A998" s="5">
        <v>997</v>
      </c>
      <c r="B998" s="8" t="s">
        <v>736</v>
      </c>
      <c r="C998" s="6" t="s">
        <v>6851</v>
      </c>
      <c r="D998" s="7" t="s">
        <v>9752</v>
      </c>
      <c r="E998" s="1" t="s">
        <v>5320</v>
      </c>
      <c r="F998" s="1" t="s">
        <v>5321</v>
      </c>
      <c r="G998" s="1"/>
      <c r="J998" s="1" t="s">
        <v>9753</v>
      </c>
      <c r="L998" s="2" t="s">
        <v>9355</v>
      </c>
      <c r="P998" s="7" t="s">
        <v>1241</v>
      </c>
      <c r="Q998" s="13" t="str">
        <f>INDEX($L:$L, MATCH("inspire", $B:$B, 0))</f>
        <v>&lt;span class="w"&gt;&lt;b&gt;【435.inspire：（人）を奮起させる】&lt;/b&gt;&lt;/span&gt;
&lt;span class="ml"&gt;ラテン語に由来する語で、以下の2つの要素から成る。
&lt;span class="spacer"&gt;&lt;/span&gt;in（中に）
spirāre（息をする）
&lt;span class="spacer"&gt;&lt;/span&gt;このまま日本語にすると「中へ息を吹き込む」となる。ここでの「息」は、もともと宗教的な意味で、神や霊の力や影響を表す。命や活力を相手の中に吹き込むイメージから、心に力や考えを与えることを表し、「奮起させる, ひらめきを与える」という意味になる。&lt;/span&gt;</v>
      </c>
      <c r="AU998" s="15"/>
      <c r="AV998" s="1" t="s">
        <v>1502</v>
      </c>
      <c r="BG998" s="7" t="s">
        <v>1503</v>
      </c>
      <c r="BH998" s="1" t="s">
        <v>1947</v>
      </c>
      <c r="BI998" s="2" t="s">
        <v>5322</v>
      </c>
      <c r="BJ998" s="1" t="s">
        <v>1959</v>
      </c>
      <c r="BK998" s="2" t="s">
        <v>5323</v>
      </c>
      <c r="BL998" s="1" t="s">
        <v>1875</v>
      </c>
      <c r="BM998" s="2" t="s">
        <v>5324</v>
      </c>
    </row>
    <row r="999" spans="1:69" ht="144" x14ac:dyDescent="0.45">
      <c r="A999" s="5">
        <v>998</v>
      </c>
      <c r="B999" s="8" t="s">
        <v>737</v>
      </c>
      <c r="C999" s="6" t="s">
        <v>6851</v>
      </c>
      <c r="D999" s="7" t="s">
        <v>9752</v>
      </c>
      <c r="E999" s="1" t="s">
        <v>5325</v>
      </c>
      <c r="F999" s="1" t="s">
        <v>5326</v>
      </c>
      <c r="G999" s="1"/>
      <c r="J999" s="1" t="s">
        <v>9753</v>
      </c>
      <c r="L999" s="2" t="s">
        <v>9356</v>
      </c>
      <c r="M999" s="1" t="s">
        <v>12165</v>
      </c>
      <c r="P999" s="7" t="s">
        <v>1241</v>
      </c>
      <c r="Q999" s="13" t="str">
        <f>INDEX($L:$L, MATCH("mode", $B:$B, 0))</f>
        <v>&lt;span class="w"&gt;&lt;b&gt;【844.mode：方式, 形態, モード】&lt;/b&gt;&lt;/span&gt;
&lt;span class="ml"&gt;ラテン語modus（尺度, 方法）に由来する。
&lt;span class="spacer"&gt;&lt;/span&gt;尺度とは物事を測るための基準であり、その基準に従って行動すると、自然と一定のやり方（方法）が定まってくる。その「基準に沿ったやり方」が固定化されて「方式, 形態」といった意味になる。&lt;/span&gt;</v>
      </c>
      <c r="R999" s="13" t="str">
        <f>INDEX($L:$L, MATCH("model", $B:$B, 0))</f>
        <v>&lt;span class="w"&gt;&lt;b&gt;【149.model：型, 模型, 模範】&lt;/b&gt;&lt;/span&gt;
&lt;span class="ml"&gt;ラテン語に由来する語で、以下の2つの要素から成る。
&lt;span class="spacer"&gt;&lt;/span&gt;modus（尺度）
ulus（小さいことを表す）
&lt;span class="spacer"&gt;&lt;/span&gt;このまま日本語にすると「小さな尺度」となる。小さな尺度とは、元のサイズから小さくした形の基準となるもの、つまり「型, 模型」のこと。何かのあり方の型なら「模範」という訳になる。&lt;/span&gt;</v>
      </c>
      <c r="S999" s="13" t="str">
        <f>INDEX($L:$L, MATCH("moderate", $B:$B, 0))</f>
        <v>&lt;span class="w"&gt;&lt;b&gt;【1082.moderate：適度な, 穏健な】&lt;/b&gt;&lt;/span&gt;
&lt;span class="ml"&gt;ラテン語moderari（尺度を定める, 尺度内にとどめる）に由来する。
&lt;span class="spacer"&gt;&lt;/span&gt;この語の核は「尺度内にとどめる」。そこから程度が過度ではなく「適度な」という意味になる。また人の立場や考え方が過激でなく「穏健な」という意味にもなる。&lt;/span&gt;</v>
      </c>
      <c r="T999" s="13" t="str">
        <f>INDEX($L:$L, MATCH("modify", $B:$B, 0))</f>
        <v>&lt;span class="w"&gt;&lt;b&gt;【839.modify：～を修正する, ～を調整する】&lt;/b&gt;&lt;/span&gt;
&lt;span class="ml"&gt;ラテン語に由来する語で、以下の2つの要素から成る。
&lt;span class="spacer"&gt;&lt;/span&gt;modus（尺度）
facere（行う, 作る）
&lt;span class="spacer"&gt;&lt;/span&gt;この語の核は「一定の尺度に収まるようにする」。ラテン語modusは、英語model（モデル）の語源でもあるので「一定のモデル（基準）に収まるようにする」と考えてもよい。
&lt;span class="spacer"&gt;&lt;/span&gt;基準の中に収めるので、はみ出した部分があれば基準に合うように「調整する」という意味になる。また基準が変われば、それに収めるためにで部分的に「修正する」という意味にもなる。
&lt;div class="sample_image modify"&gt;&lt;/div&gt;&lt;/span&gt;</v>
      </c>
      <c r="U999" s="13" t="str">
        <f>INDEX($L:$L, MATCH("commodity", $B:$B, 0))</f>
        <v>&lt;span class="w"&gt;&lt;b&gt;【1262.commodity：商品, 有用なもの】&lt;/b&gt;&lt;/span&gt;
&lt;span class="ml"&gt;ラテン語に由来する語で、以下の3つの要素から成る。
&lt;span class="spacer"&gt;&lt;/span&gt;com（強意）
modus（尺度, 方法）
tas（名詞化）
&lt;span class="spacer"&gt;&lt;/span&gt;もともとは、状況や目的といった尺度（基準）にピッタリ合っていることから、基準にあった「有用なもの」を意味した。
&lt;span class="spacer"&gt;&lt;/span&gt;そうした有用なものは価値があり、利益を生むことから、やがて市場で取引される「商品」を意味するようになった。&lt;/span&gt;</v>
      </c>
      <c r="AU999" s="15"/>
      <c r="AV999" s="1" t="s">
        <v>1502</v>
      </c>
      <c r="BG999" s="7" t="s">
        <v>1503</v>
      </c>
      <c r="BH999" s="1" t="s">
        <v>1947</v>
      </c>
      <c r="BI999" s="2" t="s">
        <v>5327</v>
      </c>
      <c r="BJ999" s="1" t="s">
        <v>1959</v>
      </c>
      <c r="BK999" s="2" t="s">
        <v>5328</v>
      </c>
      <c r="BL999" s="1" t="s">
        <v>1877</v>
      </c>
      <c r="BM999" s="2" t="s">
        <v>5329</v>
      </c>
    </row>
    <row r="1000" spans="1:69" ht="126" x14ac:dyDescent="0.45">
      <c r="A1000" s="5">
        <v>999</v>
      </c>
      <c r="B1000" s="6" t="s">
        <v>738</v>
      </c>
      <c r="C1000" s="6" t="s">
        <v>6851</v>
      </c>
      <c r="D1000" s="7" t="s">
        <v>9752</v>
      </c>
      <c r="E1000" s="1" t="s">
        <v>738</v>
      </c>
      <c r="F1000" s="1"/>
      <c r="G1000" s="1"/>
      <c r="J1000" s="1" t="s">
        <v>9753</v>
      </c>
      <c r="K1000" s="2" t="s">
        <v>9357</v>
      </c>
      <c r="L1000" s="2" t="s">
        <v>9358</v>
      </c>
      <c r="P1000" s="7" t="s">
        <v>1241</v>
      </c>
      <c r="AU1000" s="15"/>
      <c r="AV1000" s="1" t="s">
        <v>1502</v>
      </c>
      <c r="BG1000" s="7" t="s">
        <v>1503</v>
      </c>
      <c r="BH1000" s="1" t="s">
        <v>1872</v>
      </c>
      <c r="BI1000" s="2" t="s">
        <v>5330</v>
      </c>
      <c r="BJ1000" s="1" t="s">
        <v>1875</v>
      </c>
      <c r="BK1000" s="2" t="s">
        <v>5331</v>
      </c>
    </row>
    <row r="1001" spans="1:69" ht="54" x14ac:dyDescent="0.45">
      <c r="A1001" s="5">
        <v>1000</v>
      </c>
      <c r="B1001" s="8" t="s">
        <v>739</v>
      </c>
      <c r="C1001" s="6" t="s">
        <v>6853</v>
      </c>
      <c r="D1001" s="7" t="s">
        <v>9752</v>
      </c>
      <c r="E1001" s="1" t="s">
        <v>5332</v>
      </c>
      <c r="F1001" s="1" t="s">
        <v>1555</v>
      </c>
      <c r="G1001" s="1" t="s">
        <v>1556</v>
      </c>
      <c r="J1001" s="1" t="s">
        <v>9753</v>
      </c>
      <c r="L1001" s="2" t="s">
        <v>9359</v>
      </c>
      <c r="P1001" s="7" t="s">
        <v>1241</v>
      </c>
      <c r="Q1001" s="13" t="str">
        <f>INDEX($L:$L, MATCH("nevertheless", $B:$B, 0))</f>
        <v>&lt;span class="w"&gt;&lt;b&gt;【400.nevertheless：それにもかかわらず】&lt;/b&gt;&lt;/span&gt;
&lt;span class="ml"&gt;&lt;div class="sample_image nevertheless"&gt;&lt;/div&gt;
&lt;b&gt;［比較級の程度表現を置く場所］&lt;/b&gt;
much bigger / even better / no longerのように程度表現を比較級の前におくことができる。
&lt;span class="spacer"&gt;&lt;/span&gt;&lt;b&gt;［neverとnoneはゼロ］&lt;/b&gt;
never / noneは比較級the lessの程度がゼロ（no）であるということを表す。つまりA nevertheless Bは「Aがあると普通ならBはlessになる。それなのにlessにならない」＝「〜それにもかかわらず…」となる。
&lt;span class="spacer"&gt;&lt;/span&gt;&lt;b&gt;［なぜnever / noneがゼロ（no）になるのか］&lt;/b&gt;
英語noは形容詞と副詞の2種類があり、その語源をみればnever / noneがnoの役割をするのかがわかる。
&lt;span class="spacer"&gt;&lt;/span&gt;形容詞no：古英語nē+ān（=not one）
副詞no：古英語nē+ā（=not ever）
&lt;span class="spacer"&gt;&lt;/span&gt;noの語源であるnot oneはnoneに、not everはneverになるので、この2つがthe lessの前でno（ゼロ）の役割を果たすことになる。
&lt;span class="spacer"&gt;&lt;/span&gt;&lt;b&gt;［all + the + 比較級 との関連］&lt;/b&gt;
none / never（ゼロ）ではなく、allを使うと「それだけいっそう〜」と比較級の程度を強調することができる。
&lt;span class="spacer"&gt;&lt;/span&gt;The storm made the journey &lt;strong&gt;all the more dangerous&lt;/strong&gt;.
直訳：嵐は旅をよりいっそう危険にした。
&lt;span class="spacer"&gt;&lt;/span&gt;&lt;b&gt;［theの正体］&lt;/b&gt;
このtheは、名詞の前につく定冠詞the（その）ではなく、「その分だけ」を意味する副詞the。A nevertheless Bは「Aがあっても、その分だけ（the）Bがlessになることはnone / never（ゼロ）だ」ということ。&lt;/span&gt;</v>
      </c>
      <c r="AU1001" s="15"/>
      <c r="AV1001" s="1" t="s">
        <v>1502</v>
      </c>
      <c r="BG1001" s="7" t="s">
        <v>1503</v>
      </c>
      <c r="BH1001" s="1" t="s">
        <v>1877</v>
      </c>
      <c r="BI1001" s="2" t="s">
        <v>5333</v>
      </c>
      <c r="BJ1001" s="1" t="s">
        <v>3496</v>
      </c>
      <c r="BK1001" s="2" t="s">
        <v>5334</v>
      </c>
    </row>
    <row r="1002" spans="1:69" ht="162" x14ac:dyDescent="0.45">
      <c r="A1002" s="5">
        <v>1001</v>
      </c>
      <c r="B1002" s="6" t="s">
        <v>740</v>
      </c>
      <c r="C1002" s="6" t="s">
        <v>1816</v>
      </c>
      <c r="D1002" s="7" t="s">
        <v>9752</v>
      </c>
      <c r="E1002" s="1" t="s">
        <v>4296</v>
      </c>
      <c r="F1002" s="1" t="s">
        <v>5335</v>
      </c>
      <c r="G1002" s="1"/>
      <c r="J1002" s="1" t="s">
        <v>9753</v>
      </c>
      <c r="L1002" s="2" t="s">
        <v>9364</v>
      </c>
      <c r="P1002" s="7" t="s">
        <v>1241</v>
      </c>
      <c r="AT1002" s="15"/>
      <c r="AU1002" s="15"/>
      <c r="AV1002" s="1" t="s">
        <v>1502</v>
      </c>
      <c r="BG1002" s="7" t="s">
        <v>1503</v>
      </c>
      <c r="BH1002" s="2" t="s">
        <v>1947</v>
      </c>
      <c r="BI1002" s="2" t="s">
        <v>5336</v>
      </c>
      <c r="BJ1002" s="1" t="s">
        <v>1877</v>
      </c>
      <c r="BK1002" s="2" t="s">
        <v>5337</v>
      </c>
    </row>
    <row r="1003" spans="1:69" ht="108" x14ac:dyDescent="0.45">
      <c r="A1003" s="5">
        <v>1002</v>
      </c>
      <c r="B1003" s="6" t="s">
        <v>741</v>
      </c>
      <c r="C1003" s="6" t="s">
        <v>1816</v>
      </c>
      <c r="D1003" s="7" t="s">
        <v>9752</v>
      </c>
      <c r="E1003" s="6" t="s">
        <v>741</v>
      </c>
      <c r="F1003" s="1"/>
      <c r="G1003" s="1"/>
      <c r="J1003" s="1" t="s">
        <v>9753</v>
      </c>
      <c r="L1003" s="2" t="s">
        <v>9365</v>
      </c>
      <c r="P1003" s="7" t="s">
        <v>1241</v>
      </c>
      <c r="Q1003" s="13" t="str">
        <f>INDEX($L:$L, MATCH("grab", $B:$B, 0))</f>
        <v>&lt;span class="w"&gt;&lt;b&gt;【915.grab：〜をつかむ, 〜を横取りする】&lt;/b&gt;&lt;/span&gt;
&lt;span class="ml"&gt;印欧祖語*ghrebh-（つかむ）に由来する。
&lt;span class="spacer"&gt;&lt;/span&gt;この語の核は「対象を素早くガシッと手に取る」。そこから何かを「つかむ」や「横取りする」という意味になる。&lt;/span&gt;</v>
      </c>
      <c r="R1003" s="13" t="str">
        <f>INDEX($L:$L, MATCH("grip", $B:$B, 0))</f>
        <v>&lt;span class="w"&gt;&lt;b&gt;【1113.grip：〜を握る】&lt;/b&gt;&lt;/span&gt;
&lt;span class="ml"&gt;古英語grippan（つかむ, 握る）にさかのぼる。
&lt;span class="spacer"&gt;&lt;/span&gt;古英語から意味の変化はない。&lt;/span&gt;</v>
      </c>
      <c r="AU1003" s="15"/>
      <c r="AV1003" s="1" t="s">
        <v>1502</v>
      </c>
      <c r="BG1003" s="7" t="s">
        <v>1503</v>
      </c>
      <c r="BH1003" s="1" t="s">
        <v>1976</v>
      </c>
      <c r="BI1003" s="2" t="s">
        <v>5338</v>
      </c>
      <c r="BJ1003" s="1" t="s">
        <v>1872</v>
      </c>
      <c r="BK1003" s="1" t="s">
        <v>5339</v>
      </c>
      <c r="BL1003" s="1" t="s">
        <v>1875</v>
      </c>
      <c r="BM1003" s="2" t="s">
        <v>5340</v>
      </c>
      <c r="BN1003" s="1" t="s">
        <v>1877</v>
      </c>
      <c r="BO1003" s="2" t="s">
        <v>5341</v>
      </c>
    </row>
    <row r="1004" spans="1:69" ht="108" x14ac:dyDescent="0.45">
      <c r="A1004" s="5">
        <v>1003</v>
      </c>
      <c r="B1004" s="6" t="s">
        <v>742</v>
      </c>
      <c r="C1004" s="6" t="s">
        <v>1816</v>
      </c>
      <c r="D1004" s="7" t="s">
        <v>9752</v>
      </c>
      <c r="E1004" s="1" t="s">
        <v>5342</v>
      </c>
      <c r="F1004" s="1" t="s">
        <v>5343</v>
      </c>
      <c r="G1004" s="1"/>
      <c r="J1004" s="1" t="s">
        <v>9753</v>
      </c>
      <c r="K1004" s="2" t="s">
        <v>9366</v>
      </c>
      <c r="L1004" s="2" t="s">
        <v>9367</v>
      </c>
      <c r="P1004" s="7" t="s">
        <v>1241</v>
      </c>
      <c r="AU1004" s="15"/>
      <c r="AV1004" s="1" t="s">
        <v>1502</v>
      </c>
      <c r="BG1004" s="7" t="s">
        <v>1503</v>
      </c>
      <c r="BH1004" s="1" t="s">
        <v>1947</v>
      </c>
      <c r="BI1004" s="2" t="s">
        <v>5344</v>
      </c>
      <c r="BJ1004" s="1" t="s">
        <v>1959</v>
      </c>
      <c r="BK1004" s="2" t="s">
        <v>5345</v>
      </c>
      <c r="BL1004" s="1" t="s">
        <v>1875</v>
      </c>
      <c r="BM1004" s="2" t="s">
        <v>5346</v>
      </c>
      <c r="BN1004" s="1" t="s">
        <v>1877</v>
      </c>
      <c r="BO1004" s="2" t="s">
        <v>5347</v>
      </c>
    </row>
    <row r="1005" spans="1:69" ht="409.6" x14ac:dyDescent="0.45">
      <c r="A1005" s="5">
        <v>1004</v>
      </c>
      <c r="B1005" s="8" t="s">
        <v>743</v>
      </c>
      <c r="C1005" s="6" t="s">
        <v>1816</v>
      </c>
      <c r="D1005" s="7" t="s">
        <v>9752</v>
      </c>
      <c r="E1005" s="1" t="s">
        <v>1542</v>
      </c>
      <c r="F1005" s="1" t="s">
        <v>1251</v>
      </c>
      <c r="G1005" s="1" t="s">
        <v>1427</v>
      </c>
      <c r="J1005" s="1" t="s">
        <v>9753</v>
      </c>
      <c r="L1005" s="3" t="s">
        <v>9378</v>
      </c>
      <c r="P1005" s="7" t="s">
        <v>1241</v>
      </c>
      <c r="Q1005" s="16"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R1005" s="16"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S1005" s="16" t="str">
        <f>INDEX($L:$L, MATCH("contrast", $B:$B, 0))</f>
        <v>&lt;span class="w"&gt;&lt;b&gt;【245.contrast：対照】&lt;/b&gt;&lt;/span&gt;
&lt;span class="ml"&gt;ラテン語に由来する語で、以下の2つの要素から成る。
&lt;span class="spacer"&gt;&lt;/span&gt;contra（～に対して）
stare（立つ）
&lt;span class="spacer"&gt;&lt;/span&gt;このまま日本語にすると「反対に立つ」となる。あるものと反対に立つものを比べて違いがはっきりするイメージから「対照」という意味になる。&lt;/span&gt;</v>
      </c>
      <c r="T1005" s="16"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U1005" s="16" t="str">
        <f>INDEX($L:$L, MATCH("insist", $B:$B, 0))</f>
        <v>&lt;span class="w"&gt;&lt;b&gt;【427.insist：主張する】&lt;/b&gt;&lt;/span&gt;
&lt;span class="ml"&gt;ラテン語に由来する語で、以下の2つの要素から成る。
&lt;span class="spacer"&gt;&lt;/span&gt;in（中に, 上に）
sistere（立たせる）
&lt;span class="spacer"&gt;&lt;/span&gt;このまま日本語にすると「上に立たせる」となる。これは、ある場所や立場にしっかり立たせるイメージ。そこから、自分の立場にしっかり立って動かないことを表し、「強く主張する」という意味になる。
&lt;div class="sample_image insist"&gt;&lt;/div&gt;&lt;/span&gt;</v>
      </c>
      <c r="V1005" s="16" t="str">
        <f>INDEX($L:$L, MATCH("consist", $B:$B, 0))</f>
        <v>&lt;span class="w"&gt;&lt;b&gt;【440.consist：(of ~)～から成る, (in ~)～にある】&lt;/b&gt;&lt;/span&gt;
&lt;span class="ml"&gt;ラテン語に由来する語で、以下の2つの要素から成る。
&lt;span class="spacer"&gt;&lt;/span&gt;com（強意）
sistere（立たせる）
&lt;span class="spacer"&gt;&lt;/span&gt;このまま日本語にすると「しっかり立たせる」となる。
&lt;span class="spacer"&gt;&lt;/span&gt;［S consist &lt;strong&gt;of&lt;/strong&gt; A］
これは「Sは、Aがあることでしっかり立っていられる」というイメージ。逆に言えば、AがなければSは成り立たない。そこから、「SはAから成る」という意味になる。
このofは、be made of（〜でできている）と同じ。
&lt;span class="spacer"&gt;&lt;/span&gt;［S consist &lt;strong&gt;in&lt;/strong&gt; A］
これは「Sが、Aの中にしっかり立っている」というイメージ。そこから、「SはA（の中）にある」という意味になる。&lt;/span&gt;</v>
      </c>
      <c r="W1005" s="16"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X1005" s="16"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Y1005" s="16"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Z1005" s="16"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AA1005" s="16"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B1005" s="19" t="str">
        <f>INDEX($L:$L, MATCH("exist", $B:$B, 0))</f>
        <v>&lt;span class="w"&gt;&lt;b&gt;【33.exist：存在する】&lt;/b&gt;&lt;/span&gt;
&lt;span class="ml"&gt;ラテン語に由来する語で、以下の2つの要素から成る。
&lt;span class="spacer"&gt;&lt;/span&gt;ex（外に）
sistere（立たせる）
&lt;span class="spacer"&gt;&lt;/span&gt;このまま日本語にすると「外側に立たせる」となる。見えないところから外側に出て立たせる。その結果、目の前に現れて「存在する」という意味になる。
&lt;div class="sample_image exist"&gt;&lt;/div&gt;&lt;/span&gt;</v>
      </c>
      <c r="AC1005" s="19" t="str">
        <f>INDEX($L:$L, MATCH("establish", $B:$B, 0))</f>
        <v>&lt;span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v>
      </c>
      <c r="AD1005" s="19" t="str">
        <f>INDEX($L:$L, MATCH("stare", $B:$B, 0))</f>
        <v>&lt;span class="w"&gt;&lt;b&gt;【607.stare：じっと見る】&lt;/b&gt;&lt;/span&gt;
&lt;span class="ml"&gt;印欧祖語*ster-（硬い）にさかのぼる。
&lt;span class="spacer"&gt;&lt;/span&gt;この語の核は「硬直して動かない」。視線を硬直させて動かないイメージから「じっとみる」という意味になる。
&lt;span class="spacer"&gt;&lt;/span&gt;印欧祖語*ster-（硬い）は、cholesterol（コレステロール）のステ部分の語源でもある。コレステロールは胆石から見つかった固形物質だったことから、コレ（胆汁）＋ステロール（硬い）という名前がついた。&lt;/span&gt;</v>
      </c>
      <c r="AE1005" s="19" t="str">
        <f>INDEX($L:$L, MATCH("resist", $B:$B, 0))</f>
        <v>&lt;span class="w"&gt;&lt;b&gt;【727.resist：〜に抵抗する】&lt;/b&gt;&lt;/span&gt;
&lt;span class="ml"&gt;ラテン語に由来する語で、以下の2つの要素から成る。
&lt;span class="spacer"&gt;&lt;/span&gt;re（対して）
sistere（立たせる）
&lt;span class="spacer"&gt;&lt;/span&gt;このまま日本語にすると「何かに対して立たせる」となる。これは、向かってくる力に対して立ち向かうというイメージで、そこから「抵抗する」という意味になる。
&lt;div class="sample_image resist"&gt;&lt;/div&gt;&lt;/span&gt;</v>
      </c>
      <c r="AF1005" s="19" t="str">
        <f>INDEX($L:$L, MATCH("assist", $B:$B, 0))</f>
        <v>&lt;span class="w"&gt;&lt;b&gt;【730.assist：〜を援助する, 〜を手伝う】&lt;/b&gt;&lt;/span&gt;
&lt;span class="ml"&gt;ラテン語に由来する語で、以下の2つの要素から成る。
&lt;span class="spacer"&gt;&lt;/span&gt;ad（〜へ）
sistere（立たせる）
&lt;span class="spacer"&gt;&lt;/span&gt;このまま日本語にすると「〜のそばへ立たせる」となる。これは、物理的に相手の隣に立つということから、相手を支える＝「手伝う, 支援する」という意味になった。&lt;/span&gt;</v>
      </c>
      <c r="AG1005" s="19" t="str">
        <f>INDEX($L:$L, MATCH("protest", $B:$B, 0))</f>
        <v>&lt;span class="w"&gt;&lt;b&gt;【736.protest：抗議する】&lt;/b&gt;&lt;/span&gt;
&lt;span class="ml"&gt;ラテン語に由来する語で、以下の2つの要素から成る。
&lt;span class="spacer"&gt;&lt;/span&gt;pro（前へ）
testis（証人）から派生したtestari（証言する）
&lt;span class="spacer"&gt;&lt;/span&gt;このまま日本語にすると「前へ出て証言する」となる。もともとは、公の場で宣言することを表した。そこから、行為や手段を非難するために宣言を行う、つまり「抗議する」という意味になった。
&lt;div class="sample_image protest"&gt;&lt;/div&gt;&lt;/span&gt;</v>
      </c>
      <c r="AH1005" s="19" t="str">
        <f>INDEX($L:$L, MATCH("contest", $B:$B, 0))</f>
        <v>&lt;span class="w"&gt;&lt;b&gt;【760.contest：コンテスト, 競技会】&lt;/b&gt;&lt;/span&gt;
&lt;span class="ml"&gt;ラテン語に由来する語で、以下の2つの要素から成る。
&lt;span class="spacer"&gt;&lt;/span&gt;com（共に）
testari（証言する）
&lt;span class="spacer"&gt;&lt;/span&gt;このまま日本語にすると「共に証言する」となる。もともとは、法廷で争う者同士が証人を呼んで証言させることを表した。そこから法的なニュアンスがなくなり、何かを求める競争、すなわち「コンテスト, 競技」という意味になった。&lt;/span&gt;</v>
      </c>
      <c r="AI1005" s="19" t="str">
        <f>INDEX($L:$L, MATCH("misunderstand", $B:$B, 0))</f>
        <v>&lt;span class="w"&gt;&lt;b&gt;【834.misunderstand：誤解する】&lt;/b&gt;&lt;/span&gt;
&lt;span class="ml"&gt;中英語にさかのぼり、以下の2つの要素から成る。
&lt;span class="spacer"&gt;&lt;/span&gt;mis（誤って）
understonde（理解する）
&lt;span class="spacer"&gt;&lt;/span&gt;誤って理解するから「誤解する」という意味になる。&lt;/span&gt;</v>
      </c>
      <c r="AJ1005" s="19" t="str">
        <f>INDEX($L:$L, MATCH("steady", $B:$B, 0))</f>
        <v>&lt;span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v>
      </c>
      <c r="AK1005" s="19"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L1005" s="19" t="str">
        <f>INDEX($L:$L, MATCH("restore", $B:$B, 0))</f>
        <v>&lt;span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v>
      </c>
      <c r="AM1005" s="19" t="str">
        <f>INDEX($L:$L, MATCH("persist", $B:$B, 0))</f>
        <v>&lt;span class="w"&gt;&lt;b&gt;【1038.persist：続く, 固執する】&lt;/b&gt;&lt;/span&gt;
&lt;span class="ml"&gt;ラテン語に由来する語で、以下の2つの要素から成る。
&lt;span class="spacer"&gt;&lt;/span&gt;per（完全に）
sistere（立つ）
&lt;span class="spacer"&gt;&lt;/span&gt;このまま日本語にすると「完全に立つ」となる。何があっても立ち続け、その場から動かないイメージから、その状態や行動が「続く」、何かに「固執する」という意味になる。
&lt;div class="sample_image persist"&gt;&lt;/div&gt;&lt;/span&gt;</v>
      </c>
      <c r="AN1005" s="19" t="str">
        <f>INDEX($L:$L, MATCH("constitute", $B:$B, 0))</f>
        <v>&lt;span class="w"&gt;&lt;b&gt;【1111.constitute：〜を構成する】&lt;/b&gt;&lt;/span&gt;
&lt;span class="ml"&gt;ラテン語に由来する語で、以下の2つの要素から成る。
&lt;span class="spacer"&gt;&lt;/span&gt;com（強意）
statuere（立たせる）
&lt;span class="spacer"&gt;&lt;/span&gt;この語の核は「何かをしっかり立たせる」。
S constitute Aは、SがAをしっかり立たせていることを表す。つまりSがあってAが成立するので「SはAを構成する」という意味になる。&lt;/span&gt;</v>
      </c>
      <c r="AO1005" s="19" t="str">
        <f>INDEX($L:$L, MATCH("outstanding", $B:$B, 0))</f>
        <v>&lt;span class="w"&gt;&lt;b&gt;【1379.outstanding：際立った, 未払いの, 未解決の】&lt;/b&gt;&lt;/span&gt;
&lt;span class="ml"&gt;近代英語にさかのぼり、以下の2つの要素から成る。
&lt;span class="spacer"&gt;&lt;/span&gt;out（外に）
standing（立っている）
&lt;span class="spacer"&gt;&lt;/span&gt;この語の核は「外に飛び出して立っている」。そこから周囲より目立っていて「際立った」という意味になる。
&lt;span class="spacer"&gt;&lt;/span&gt;また外に立っていることから、やるべきことが外に出たまま残っている（完了したものの中に入っていない）ことへとつながり、支払いや問題の処理が完了していない＝「未払いの, 未解決の」という意味にもなった。
&lt;div class="sample_image outstanding"&gt;&lt;/div&gt;&lt;/span&gt;</v>
      </c>
      <c r="AP1005" s="19" t="str">
        <f>INDEX($L:$L, MATCH("static", $B:$B, 0))</f>
        <v>&lt;span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v>
      </c>
      <c r="AQ1005" s="18"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AR1005" s="18" t="str">
        <f>INDEX($L:$L, MATCH("institution", $B:$B, 0))</f>
        <v>&lt;span class="w"&gt;&lt;b&gt;【355.institution：機関, 制度】&lt;/b&gt;&lt;/span&gt;
&lt;span class="ml"&gt;ラテン語に由来する語で、以下の3つの要素から成る。
&lt;span class="spacer"&gt;&lt;/span&gt;in（中に）
statuere（立てる, 設置する）
io（名詞化）
&lt;span class="spacer"&gt;&lt;/span&gt;このまま日本語にすると「中に立てること, 中に設置すること」となる。何かを中に立てて定着させるイメージから、社会の中に作られた仕組み＝「制度」という意味になる。またそういった仕組みを持つ組織＝「機関」という意味にもなる。
&lt;div class="sample_image institution"&gt;&lt;/div&gt;&lt;/span&gt;</v>
      </c>
      <c r="AS1005" s="18"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AT1005" s="18" t="str">
        <f>INDEX($L:$L, MATCH("statistics", $B:$B, 0))</f>
        <v>&lt;span class="w"&gt;&lt;b&gt;【573.statistics：統計（複数扱い）, 統計学（単数扱い）】&lt;/b&gt;&lt;/span&gt;
&lt;span class="ml"&gt;ラテン語status（立つこと, 位置, 状態, 共同体の体制）に由来する。
&lt;span class="spacer"&gt;&lt;/span&gt;もともとは共同体や国家のあり方・状況を表した。そこから、国家の状況を左右する国家運営の専門家、つまり政治家や、国家の状態に関するデータを扱う学問へと発展した。
&lt;span class="spacer"&gt;&lt;/span&gt;そしてこのデータを扱う学問から、国家に限らず広く一般的なデータを扱う「統計学」、またそこで扱われる「統計」という意味になった。
&lt;span class="spacer"&gt;&lt;/span&gt;sの無いstatisticは「統計値, 統計項目」を意味する。&lt;/span&gt;</v>
      </c>
      <c r="AU1005" s="23"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AV1005" s="1" t="s">
        <v>1502</v>
      </c>
      <c r="BG1005" s="7" t="s">
        <v>1503</v>
      </c>
      <c r="BH1005" s="1" t="s">
        <v>1947</v>
      </c>
      <c r="BI1005" s="2" t="s">
        <v>5348</v>
      </c>
      <c r="BJ1005" s="1" t="s">
        <v>1967</v>
      </c>
      <c r="BK1005" s="2" t="s">
        <v>5349</v>
      </c>
      <c r="BL1005" s="1" t="s">
        <v>1959</v>
      </c>
      <c r="BM1005" s="2" t="s">
        <v>5350</v>
      </c>
      <c r="BN1005" s="1" t="s">
        <v>1875</v>
      </c>
      <c r="BO1005" s="2" t="s">
        <v>5351</v>
      </c>
      <c r="BP1005" s="1" t="s">
        <v>1877</v>
      </c>
      <c r="BQ1005" s="2" t="s">
        <v>5352</v>
      </c>
    </row>
    <row r="1006" spans="1:69" ht="144" x14ac:dyDescent="0.45">
      <c r="A1006" s="5">
        <v>1005</v>
      </c>
      <c r="B1006" s="6" t="s">
        <v>744</v>
      </c>
      <c r="C1006" s="6" t="s">
        <v>1816</v>
      </c>
      <c r="D1006" s="7" t="s">
        <v>9752</v>
      </c>
      <c r="E1006" s="6" t="s">
        <v>744</v>
      </c>
      <c r="F1006" s="1"/>
      <c r="G1006" s="1"/>
      <c r="J1006" s="1" t="s">
        <v>9753</v>
      </c>
      <c r="K1006" s="2"/>
      <c r="L1006" s="2" t="s">
        <v>9368</v>
      </c>
      <c r="P1006" s="7" t="s">
        <v>1241</v>
      </c>
      <c r="AV1006" s="1" t="s">
        <v>1502</v>
      </c>
      <c r="BG1006" s="7" t="s">
        <v>1503</v>
      </c>
      <c r="BH1006" s="1" t="s">
        <v>1872</v>
      </c>
      <c r="BI1006" s="1" t="s">
        <v>5353</v>
      </c>
      <c r="BJ1006" s="1" t="s">
        <v>1875</v>
      </c>
      <c r="BK1006" s="2" t="s">
        <v>5354</v>
      </c>
    </row>
    <row r="1007" spans="1:69" ht="198" x14ac:dyDescent="0.45">
      <c r="A1007" s="5">
        <v>1006</v>
      </c>
      <c r="B1007" s="6" t="s">
        <v>745</v>
      </c>
      <c r="C1007" s="6" t="s">
        <v>1816</v>
      </c>
      <c r="D1007" s="7" t="s">
        <v>9752</v>
      </c>
      <c r="E1007" s="6" t="s">
        <v>745</v>
      </c>
      <c r="F1007" s="1"/>
      <c r="G1007" s="1"/>
      <c r="J1007" s="1" t="s">
        <v>9753</v>
      </c>
      <c r="K1007" s="1" t="s">
        <v>5355</v>
      </c>
      <c r="L1007" s="2" t="s">
        <v>9369</v>
      </c>
      <c r="P1007" s="7" t="s">
        <v>1241</v>
      </c>
      <c r="AU1007" s="15"/>
      <c r="AV1007" s="1" t="s">
        <v>1502</v>
      </c>
      <c r="BG1007" s="7" t="s">
        <v>1503</v>
      </c>
      <c r="BH1007" s="1" t="s">
        <v>1875</v>
      </c>
      <c r="BI1007" s="2" t="s">
        <v>5356</v>
      </c>
      <c r="BJ1007" s="1" t="s">
        <v>1877</v>
      </c>
      <c r="BK1007" s="2" t="s">
        <v>5357</v>
      </c>
    </row>
    <row r="1008" spans="1:69" ht="72" x14ac:dyDescent="0.45">
      <c r="A1008" s="5">
        <v>1007</v>
      </c>
      <c r="B1008" s="6" t="s">
        <v>746</v>
      </c>
      <c r="C1008" s="6" t="s">
        <v>1816</v>
      </c>
      <c r="D1008" s="7" t="s">
        <v>9752</v>
      </c>
      <c r="E1008" s="6" t="s">
        <v>746</v>
      </c>
      <c r="F1008" s="1"/>
      <c r="G1008" s="1"/>
      <c r="J1008" s="1" t="s">
        <v>9753</v>
      </c>
      <c r="K1008" s="1" t="s">
        <v>5358</v>
      </c>
      <c r="L1008" s="2" t="s">
        <v>9370</v>
      </c>
      <c r="P1008" s="7" t="s">
        <v>1241</v>
      </c>
      <c r="AU1008" s="15"/>
      <c r="AV1008" s="1" t="s">
        <v>1502</v>
      </c>
      <c r="BG1008" s="7" t="s">
        <v>1503</v>
      </c>
      <c r="BH1008" s="1" t="s">
        <v>1877</v>
      </c>
      <c r="BI1008" s="2" t="s">
        <v>5359</v>
      </c>
    </row>
    <row r="1009" spans="1:69" ht="180" x14ac:dyDescent="0.45">
      <c r="A1009" s="5">
        <v>1008</v>
      </c>
      <c r="B1009" s="6" t="s">
        <v>747</v>
      </c>
      <c r="C1009" s="6" t="s">
        <v>1816</v>
      </c>
      <c r="D1009" s="7" t="s">
        <v>9752</v>
      </c>
      <c r="E1009" s="1" t="s">
        <v>5360</v>
      </c>
      <c r="F1009" s="1" t="s">
        <v>953</v>
      </c>
      <c r="G1009" s="1"/>
      <c r="J1009" s="1" t="s">
        <v>9753</v>
      </c>
      <c r="L1009" s="2" t="s">
        <v>9379</v>
      </c>
      <c r="P1009" s="7" t="s">
        <v>1241</v>
      </c>
      <c r="Q1009" s="13" t="str">
        <f>INDEX($L:$L, MATCH("cast", $B:$B, 0))</f>
        <v>&lt;span class="w"&gt;&lt;b&gt;【1215.cast：〜を投じる, 〜に役を当てる】&lt;/b&gt;&lt;/span&gt;
&lt;span class="ml"&gt;古ノルド語kasta（投げる）に由来する。
&lt;span class="spacer"&gt;&lt;/span&gt;もともとは何かを投げるという物理的な動作を表した。日常的な言葉遣いでは、物を投げる行為はthrowが使われ、castは影、視線、疑いの目、票などを「投じる」という意味になった（物を投げるという意味もある）。
&lt;span class="spacer"&gt;&lt;/span&gt;また俳優に対して役を投げるイメージから「役を当てる」という意味にもなった。&lt;/span&gt;</v>
      </c>
      <c r="AU1009" s="15"/>
      <c r="AV1009" s="1" t="s">
        <v>1502</v>
      </c>
      <c r="BG1009" s="7" t="s">
        <v>1503</v>
      </c>
      <c r="BH1009" s="1" t="s">
        <v>1875</v>
      </c>
      <c r="BI1009" s="2" t="s">
        <v>5361</v>
      </c>
    </row>
    <row r="1010" spans="1:69" ht="198" x14ac:dyDescent="0.45">
      <c r="A1010" s="5">
        <v>1009</v>
      </c>
      <c r="B1010" s="8" t="s">
        <v>748</v>
      </c>
      <c r="C1010" s="6" t="s">
        <v>1816</v>
      </c>
      <c r="D1010" s="7" t="s">
        <v>9752</v>
      </c>
      <c r="E1010" s="1" t="s">
        <v>1413</v>
      </c>
      <c r="F1010" s="1" t="s">
        <v>44</v>
      </c>
      <c r="G1010" s="1"/>
      <c r="J1010" s="1" t="s">
        <v>9753</v>
      </c>
      <c r="K1010" s="2"/>
      <c r="L1010" s="3" t="s">
        <v>9380</v>
      </c>
      <c r="M1010" s="1" t="s">
        <v>12112</v>
      </c>
      <c r="P1010" s="7" t="s">
        <v>1241</v>
      </c>
      <c r="Q1010" s="14" t="str">
        <f>INDEX($L:$L, MATCH("include", $B:$B, 0))</f>
        <v>&lt;span class="w"&gt;&lt;b&gt;【6.include：～を含む】&lt;/b&gt;&lt;/span&gt;
&lt;span class="ml"&gt;ラテン語に由来する語で、以下の2つの要素から成る。
&lt;span class="spacer"&gt;&lt;/span&gt;in（中に）
claudare（閉じる）
&lt;span class="spacer"&gt;&lt;/span&gt;このまま日本語にすると「中に閉じ込める」となる。つまりある範囲の中に閉じ込めることから、何かが中にある＝何かを「含む」という意味になる。
&lt;span class="spacer"&gt;&lt;/span&gt;includeの反対は、ex（外に）claudare（閉じる）から成るexclude（外に出して閉じる＝除外する）。
&lt;div class="sample_image include"&gt;&lt;/div&gt;&lt;/span&gt;</v>
      </c>
      <c r="R1010" s="14" t="str">
        <f>INDEX($L:$L, MATCH("conclude", $B:$B, 0))</f>
        <v>&lt;span class="w"&gt;&lt;b&gt;【413.conclude：〜と結論づける, 〜を締めくくる】&lt;/b&gt;&lt;/span&gt;
&lt;span class="ml"&gt;ラテン語に由来する語で、以下の2つの要素から成る。
&lt;span class="spacer"&gt;&lt;/span&gt;com（共に）
claudere（閉じる：closeの語源）
&lt;span class="spacer"&gt;&lt;/span&gt;このまま日本語にすると「共に閉じる」となる。これはバラバラだったものをまとめて閉じるイメージ。そこから、議論や事柄をまとめて閉じ込める＝「結論づける, 締めくくる」という意味になる。
&lt;div class="sample_image conclude"&gt;&lt;/div&gt;&lt;/span&gt;</v>
      </c>
      <c r="AU1010" s="15"/>
      <c r="AV1010" s="1" t="s">
        <v>1502</v>
      </c>
      <c r="BG1010" s="7" t="s">
        <v>1503</v>
      </c>
      <c r="BH1010" s="1" t="s">
        <v>1947</v>
      </c>
      <c r="BI1010" s="2" t="s">
        <v>5362</v>
      </c>
      <c r="BJ1010" s="1" t="s">
        <v>1875</v>
      </c>
      <c r="BK1010" s="2" t="s">
        <v>5363</v>
      </c>
    </row>
    <row r="1011" spans="1:69" ht="180" x14ac:dyDescent="0.45">
      <c r="A1011" s="5">
        <v>1010</v>
      </c>
      <c r="B1011" s="6" t="s">
        <v>749</v>
      </c>
      <c r="C1011" s="6" t="s">
        <v>1816</v>
      </c>
      <c r="D1011" s="7" t="s">
        <v>9752</v>
      </c>
      <c r="E1011" s="1" t="s">
        <v>1537</v>
      </c>
      <c r="F1011" s="1" t="s">
        <v>5364</v>
      </c>
      <c r="G1011" s="1"/>
      <c r="J1011" s="1" t="s">
        <v>9753</v>
      </c>
      <c r="L1011" s="2" t="s">
        <v>9371</v>
      </c>
      <c r="P1011" s="7" t="s">
        <v>1241</v>
      </c>
      <c r="Q1011" s="13" t="str">
        <f>INDEX($L:$L, MATCH("outlook", $B:$B, 0))</f>
        <v>&lt;span class="w"&gt;&lt;b&gt;【1461.outlook：考え方, 見通し, 眺め】&lt;/b&gt;&lt;/span&gt;
&lt;span class="ml"&gt;近代英語にさかのぼり、以下の2つの要素から成る。
&lt;span class="spacer"&gt;&lt;/span&gt;out（外へ）
look（見る）
&lt;span class="spacer"&gt;&lt;/span&gt;もともとは外を見る場所、見張りの場所を表し、そこから、実際に視界に入ってくる外の「眺め」という意味になった。
&lt;span class="spacer"&gt;&lt;/span&gt;また比喩的に、自分の頭や心を通した外の世界（物事・社会）の眺め方、つまり「考え方」という意味にもなった。
&lt;span class="spacer"&gt;&lt;/span&gt;さらに、いま現在の立ち位置から未来を眺めることから、将来の「見通し」という意味にもなった。
&lt;div class="sample_image outlook"&gt;&lt;/div&gt;&lt;/span&gt;</v>
      </c>
      <c r="AU1011" s="15"/>
      <c r="AV1011" s="1" t="s">
        <v>38</v>
      </c>
      <c r="BG1011" s="7" t="s">
        <v>1242</v>
      </c>
      <c r="BH1011" s="1" t="s">
        <v>1875</v>
      </c>
      <c r="BI1011" s="2" t="s">
        <v>5365</v>
      </c>
      <c r="BJ1011" s="1" t="s">
        <v>1877</v>
      </c>
      <c r="BK1011" s="2" t="s">
        <v>5366</v>
      </c>
    </row>
    <row r="1012" spans="1:69" ht="90" x14ac:dyDescent="0.45">
      <c r="A1012" s="5">
        <v>1011</v>
      </c>
      <c r="B1012" s="6" t="s">
        <v>750</v>
      </c>
      <c r="C1012" s="6" t="s">
        <v>1816</v>
      </c>
      <c r="D1012" s="7" t="s">
        <v>9752</v>
      </c>
      <c r="E1012" s="6" t="s">
        <v>750</v>
      </c>
      <c r="F1012" s="1"/>
      <c r="G1012" s="1"/>
      <c r="J1012" s="1" t="s">
        <v>9753</v>
      </c>
      <c r="K1012" s="1" t="s">
        <v>5367</v>
      </c>
      <c r="L1012" s="2" t="s">
        <v>9372</v>
      </c>
      <c r="P1012" s="7" t="s">
        <v>1241</v>
      </c>
      <c r="AV1012" s="1" t="s">
        <v>38</v>
      </c>
      <c r="BG1012" s="7" t="s">
        <v>1242</v>
      </c>
      <c r="BH1012" s="1" t="s">
        <v>1872</v>
      </c>
      <c r="BI1012" s="1" t="s">
        <v>5368</v>
      </c>
      <c r="BJ1012" s="1" t="s">
        <v>1875</v>
      </c>
      <c r="BK1012" s="2" t="s">
        <v>5369</v>
      </c>
      <c r="BL1012" s="1" t="s">
        <v>1877</v>
      </c>
      <c r="BM1012" s="2" t="s">
        <v>5370</v>
      </c>
    </row>
    <row r="1013" spans="1:69" ht="162" x14ac:dyDescent="0.45">
      <c r="A1013" s="5">
        <v>1012</v>
      </c>
      <c r="B1013" s="6" t="s">
        <v>751</v>
      </c>
      <c r="C1013" s="6" t="s">
        <v>1816</v>
      </c>
      <c r="D1013" s="7" t="s">
        <v>9752</v>
      </c>
      <c r="E1013" s="1" t="s">
        <v>751</v>
      </c>
      <c r="F1013" s="1"/>
      <c r="G1013" s="1"/>
      <c r="J1013" s="1" t="s">
        <v>9753</v>
      </c>
      <c r="K1013" s="1" t="s">
        <v>5371</v>
      </c>
      <c r="L1013" s="2" t="s">
        <v>9373</v>
      </c>
      <c r="P1013" s="7" t="s">
        <v>1241</v>
      </c>
      <c r="AV1013" s="1" t="s">
        <v>38</v>
      </c>
      <c r="BG1013" s="7" t="s">
        <v>1242</v>
      </c>
      <c r="BH1013" s="1" t="s">
        <v>1976</v>
      </c>
      <c r="BI1013" s="1" t="s">
        <v>5372</v>
      </c>
      <c r="BJ1013" s="1" t="s">
        <v>3999</v>
      </c>
      <c r="BK1013" s="1" t="s">
        <v>5373</v>
      </c>
      <c r="BL1013" s="1" t="s">
        <v>1872</v>
      </c>
      <c r="BM1013" s="1" t="s">
        <v>5374</v>
      </c>
    </row>
    <row r="1014" spans="1:69" ht="162" x14ac:dyDescent="0.45">
      <c r="A1014" s="5">
        <v>1013</v>
      </c>
      <c r="B1014" s="6" t="s">
        <v>752</v>
      </c>
      <c r="C1014" s="6" t="s">
        <v>1816</v>
      </c>
      <c r="D1014" s="7" t="s">
        <v>9752</v>
      </c>
      <c r="E1014" s="1" t="s">
        <v>5375</v>
      </c>
      <c r="F1014" s="1" t="s">
        <v>5376</v>
      </c>
      <c r="G1014" s="1"/>
      <c r="J1014" s="1" t="s">
        <v>9753</v>
      </c>
      <c r="L1014" s="2" t="s">
        <v>9374</v>
      </c>
      <c r="P1014" s="7" t="s">
        <v>1241</v>
      </c>
      <c r="AU1014" s="15"/>
      <c r="AV1014" s="1" t="s">
        <v>38</v>
      </c>
      <c r="BG1014" s="7" t="s">
        <v>1242</v>
      </c>
      <c r="BH1014" s="1" t="s">
        <v>1872</v>
      </c>
      <c r="BI1014" s="2" t="s">
        <v>5377</v>
      </c>
    </row>
    <row r="1015" spans="1:69" ht="180" x14ac:dyDescent="0.45">
      <c r="A1015" s="5">
        <v>1014</v>
      </c>
      <c r="B1015" s="6" t="s">
        <v>753</v>
      </c>
      <c r="C1015" s="6" t="s">
        <v>1816</v>
      </c>
      <c r="D1015" s="7" t="s">
        <v>9752</v>
      </c>
      <c r="E1015" s="1" t="s">
        <v>27</v>
      </c>
      <c r="F1015" s="1" t="s">
        <v>5378</v>
      </c>
      <c r="G1015" s="1"/>
      <c r="J1015" s="1" t="s">
        <v>9753</v>
      </c>
      <c r="L1015" s="2" t="s">
        <v>9375</v>
      </c>
      <c r="P1015" s="7" t="s">
        <v>1241</v>
      </c>
      <c r="AU1015" s="15"/>
      <c r="AV1015" s="1" t="s">
        <v>38</v>
      </c>
      <c r="BG1015" s="7" t="s">
        <v>1242</v>
      </c>
      <c r="BH1015" s="1" t="s">
        <v>1967</v>
      </c>
      <c r="BI1015" s="2" t="s">
        <v>5379</v>
      </c>
      <c r="BJ1015" s="1" t="s">
        <v>1959</v>
      </c>
      <c r="BK1015" s="2" t="s">
        <v>5380</v>
      </c>
      <c r="BL1015" s="1" t="s">
        <v>1875</v>
      </c>
      <c r="BM1015" s="2" t="s">
        <v>5381</v>
      </c>
    </row>
    <row r="1016" spans="1:69" ht="180" x14ac:dyDescent="0.45">
      <c r="A1016" s="5">
        <v>1015</v>
      </c>
      <c r="B1016" s="6" t="s">
        <v>754</v>
      </c>
      <c r="C1016" s="6" t="s">
        <v>1816</v>
      </c>
      <c r="D1016" s="7" t="s">
        <v>9752</v>
      </c>
      <c r="E1016" s="1" t="s">
        <v>1631</v>
      </c>
      <c r="F1016" s="1" t="s">
        <v>5382</v>
      </c>
      <c r="G1016" s="1"/>
      <c r="J1016" s="1" t="s">
        <v>9753</v>
      </c>
      <c r="K1016" s="1" t="s">
        <v>9376</v>
      </c>
      <c r="L1016" s="2" t="s">
        <v>9377</v>
      </c>
      <c r="M1016" s="1" t="s">
        <v>12210</v>
      </c>
      <c r="P1016" s="7" t="s">
        <v>1241</v>
      </c>
      <c r="Q1016" s="13" t="str">
        <f>INDEX($L:$L, MATCH("minister", $B:$B, 0))</f>
        <v>&lt;span class="w"&gt;&lt;b&gt;【552.minister：大臣, プロテスタントの聖職者】&lt;/b&gt;&lt;/span&gt;
&lt;span class="ml"&gt;ラテン語に由来する語で、以下の2つの要素から成る。
&lt;span class="spacer"&gt;&lt;/span&gt;minor（より小さい）
teros（比較級を作る）
&lt;span class="spacer"&gt;&lt;/span&gt;この語の核は「より小さい者」で、上位者に仕える者・下位の者を表した。
&lt;span class="spacer"&gt;&lt;/span&gt;中世では、キリスト教と結びつき、神に仕えて人々に奉仕する人たちを「神のしもべ」と位置付けたことから「聖職者」という意味になった。
&lt;span class="spacer"&gt;&lt;/span&gt;また政治の文脈では、君主に仕えて国政を補佐する役人たち、すなわち「国王のしもべ」である「大臣」を指すようになった。&lt;/span&gt;</v>
      </c>
      <c r="R1016" s="13" t="str">
        <f>INDEX($L:$L, MATCH("administration", $B:$B, 0))</f>
        <v>&lt;span class="w"&gt;&lt;b&gt;【877.administration：管理（部）, 運営, 行政, 政府（機関）】&lt;/b&gt;&lt;/span&gt;
&lt;span class="ml"&gt;ラテン語に由来する語で、以下の要素から成る。
&lt;span class="spacer"&gt;&lt;/span&gt;&lt;b&gt;［ministerの語源］&lt;/b&gt;
minus（小さい）
teros（比較級）
&lt;span class="spacer"&gt;&lt;/span&gt;この語の核は「より小さい者」。主人に対して自分をより小さくする者、つまり召使いや助手といった主人に奉仕する者を表した。
&lt;span class="spacer"&gt;&lt;/span&gt;&lt;b&gt;［administrationの語源］&lt;/b&gt;
ad（〜へ）
ministrare（奉仕する, 仕える）
io（名詞化）
&lt;span class="spacer"&gt;&lt;/span&gt;このまま日本語にすると「〜へ奉仕する者」となる。王や君主へ奉仕する者たちは、彼らの代わりに領地や財産を管理し、運営したことから、組織や国の「管理, 運営」という意味になった。また国の管理や運営を行っている「行政, 政府」という意味にもなった。
&lt;div class="sample_image administration"&gt;&lt;/div&gt;&lt;/span&gt;</v>
      </c>
      <c r="S1016" s="13" t="str">
        <f>INDEX($L:$L, MATCH("minor", $B:$B, 0))</f>
        <v>&lt;span class="w"&gt;&lt;b&gt;【587.minor：些細な, 小さい】&lt;/b&gt;&lt;/span&gt;
&lt;span class="ml"&gt;ラテン語の比較級minor（より小さい, 重要度の低い）に由来する。
&lt;span class="spacer"&gt;&lt;/span&gt;ここから「小さい」や、重要度が小さい、つまり「些細な」という意味になる。&lt;/span&gt;</v>
      </c>
      <c r="T1016" s="13" t="str">
        <f>INDEX($L:$L, MATCH("minimum", $B:$B, 0))</f>
        <v>&lt;span class="w"&gt;&lt;b&gt;【653.minimum：最小限度】&lt;/b&gt;&lt;/span&gt;
&lt;span class="ml"&gt;ラテン語に由来する語で、以下の3つの要素から成る。
minor（より小さい）
imus（最上級を作る）
um（名詞化）
&lt;span class="spacer"&gt;&lt;/span&gt;このまま日本語にすると「最も小さいもの」つまり「最小限度」となる。&lt;/span&gt;</v>
      </c>
      <c r="AU1016" s="15"/>
      <c r="AV1016" s="1" t="s">
        <v>38</v>
      </c>
      <c r="BG1016" s="7" t="s">
        <v>1242</v>
      </c>
      <c r="BH1016" s="1" t="s">
        <v>1947</v>
      </c>
      <c r="BI1016" s="2" t="s">
        <v>5383</v>
      </c>
      <c r="BJ1016" s="1" t="s">
        <v>1959</v>
      </c>
      <c r="BK1016" s="2" t="s">
        <v>5384</v>
      </c>
      <c r="BL1016" s="1" t="s">
        <v>1875</v>
      </c>
      <c r="BM1016" s="2" t="s">
        <v>5385</v>
      </c>
      <c r="BN1016" s="1" t="s">
        <v>1877</v>
      </c>
      <c r="BO1016" s="2" t="s">
        <v>5386</v>
      </c>
    </row>
    <row r="1017" spans="1:69" ht="108" x14ac:dyDescent="0.45">
      <c r="A1017" s="5">
        <v>1016</v>
      </c>
      <c r="B1017" s="6" t="s">
        <v>755</v>
      </c>
      <c r="C1017" s="6" t="s">
        <v>1816</v>
      </c>
      <c r="D1017" s="7" t="s">
        <v>9752</v>
      </c>
      <c r="E1017" s="1" t="s">
        <v>755</v>
      </c>
      <c r="F1017" s="1"/>
      <c r="G1017" s="1"/>
      <c r="J1017" s="1" t="s">
        <v>9753</v>
      </c>
      <c r="L1017" s="2" t="s">
        <v>9381</v>
      </c>
      <c r="P1017" s="7" t="s">
        <v>1241</v>
      </c>
      <c r="AU1017" s="15"/>
      <c r="AV1017" s="1" t="s">
        <v>38</v>
      </c>
      <c r="BG1017" s="7" t="s">
        <v>1242</v>
      </c>
      <c r="BH1017" s="1" t="s">
        <v>1947</v>
      </c>
      <c r="BI1017" s="2" t="s">
        <v>5387</v>
      </c>
      <c r="BJ1017" s="1" t="s">
        <v>1959</v>
      </c>
      <c r="BK1017" s="2" t="s">
        <v>5388</v>
      </c>
      <c r="BL1017" s="1" t="s">
        <v>1875</v>
      </c>
      <c r="BM1017" s="2" t="s">
        <v>5389</v>
      </c>
      <c r="BN1017" s="1" t="s">
        <v>1877</v>
      </c>
      <c r="BO1017" s="2" t="s">
        <v>5390</v>
      </c>
    </row>
    <row r="1018" spans="1:69" ht="126" x14ac:dyDescent="0.45">
      <c r="A1018" s="5">
        <v>1017</v>
      </c>
      <c r="B1018" s="6" t="s">
        <v>756</v>
      </c>
      <c r="C1018" s="6" t="s">
        <v>1816</v>
      </c>
      <c r="D1018" s="7" t="s">
        <v>9752</v>
      </c>
      <c r="E1018" s="6" t="s">
        <v>756</v>
      </c>
      <c r="F1018" s="1"/>
      <c r="G1018" s="1"/>
      <c r="J1018" s="1" t="s">
        <v>9753</v>
      </c>
      <c r="K1018" s="1" t="s">
        <v>9382</v>
      </c>
      <c r="L1018" s="2" t="s">
        <v>12104</v>
      </c>
      <c r="P1018" s="7" t="s">
        <v>1241</v>
      </c>
      <c r="AU1018" s="15"/>
      <c r="AV1018" s="1" t="s">
        <v>38</v>
      </c>
      <c r="BG1018" s="7" t="s">
        <v>1242</v>
      </c>
      <c r="BH1018" s="1" t="s">
        <v>1947</v>
      </c>
      <c r="BI1018" s="2" t="s">
        <v>5391</v>
      </c>
      <c r="BJ1018" s="1" t="s">
        <v>1967</v>
      </c>
      <c r="BK1018" s="1" t="s">
        <v>5392</v>
      </c>
      <c r="BL1018" s="1" t="s">
        <v>1959</v>
      </c>
      <c r="BM1018" s="1" t="s">
        <v>5393</v>
      </c>
      <c r="BN1018" s="1" t="s">
        <v>1875</v>
      </c>
      <c r="BO1018" s="2" t="s">
        <v>5394</v>
      </c>
      <c r="BP1018" s="1" t="s">
        <v>1877</v>
      </c>
      <c r="BQ1018" s="2" t="s">
        <v>5395</v>
      </c>
    </row>
    <row r="1019" spans="1:69" ht="162" x14ac:dyDescent="0.45">
      <c r="A1019" s="5">
        <v>1018</v>
      </c>
      <c r="B1019" s="6" t="s">
        <v>757</v>
      </c>
      <c r="C1019" s="6" t="s">
        <v>1816</v>
      </c>
      <c r="D1019" s="7" t="s">
        <v>9752</v>
      </c>
      <c r="E1019" s="1" t="s">
        <v>1505</v>
      </c>
      <c r="F1019" s="1" t="s">
        <v>5396</v>
      </c>
      <c r="G1019" s="1"/>
      <c r="J1019" s="1" t="s">
        <v>9753</v>
      </c>
      <c r="K1019" s="1" t="s">
        <v>9383</v>
      </c>
      <c r="L1019" s="3" t="s">
        <v>9384</v>
      </c>
      <c r="M1019" s="1" t="s">
        <v>12164</v>
      </c>
      <c r="P1019" s="7" t="s">
        <v>1241</v>
      </c>
      <c r="Q1019" s="13" t="str">
        <f>INDEX($L:$L, MATCH("account", $B:$B, 0))</f>
        <v>&lt;span class="w"&gt;&lt;b&gt;【147.account：説明, 勘定, 口座】&lt;/b&gt;&lt;/span&gt;
&lt;span class="ml"&gt;ラテン語のcom（共に）＋putare（計算する）を経た古フランス語に由来し、以下の2つの要素から成る。
&lt;span class="spacer"&gt;&lt;/span&gt;a（～へ）
cont（計算）
&lt;span class="spacer"&gt;&lt;/span&gt;このまま日本語にすると「〜への計算」となる。これは特にお金の計算やそれに関する意味へと発展していく。
&lt;span class="spacer"&gt;&lt;/span&gt;お金のやり取りの計算やそれを記したものから「勘定, 口座」という意味になる。また、預かっているお金がどうなっているかを詳細に説明することから、一般的な行動の「説明」という意味になる。&lt;/span&gt;</v>
      </c>
      <c r="R1019" s="13" t="str">
        <f>INDEX($L:$L, MATCH("discount", $B:$B, 0))</f>
        <v>&lt;span class="w"&gt;&lt;b&gt;【672.discount：割引, 値引き】&lt;/b&gt;&lt;/span&gt;
&lt;span class="ml"&gt;中世ラテン語に由来する語で、以下の2つの要素から成る。
&lt;span class="spacer"&gt;&lt;/span&gt;dis（分離, 否定）
computare（数える, 計算する）
&lt;span class="spacer"&gt;&lt;/span&gt;この語の核は「計算からの分離」。つまり、ある部分を含めずに計算することから「割引き, 値引き」という意味になる。&lt;/span&gt;</v>
      </c>
      <c r="S1019" s="13" t="str">
        <f>INDEX($L:$L, MATCH("compute", $B:$B, 0))</f>
        <v>&lt;span class="w"&gt;&lt;b&gt;【1332.compute：計算する】&lt;/b&gt;&lt;/span&gt;
&lt;span class="ml"&gt;ラテン語に由来する語で、以下の2つの要素から成る。
&lt;span class="spacer"&gt;&lt;/span&gt;com（共に）
putare（剪定する, 計算する）
&lt;span class="spacer"&gt;&lt;/span&gt;pute部分は、もともとは不要な枝を剪定して、木をすっきりと綺麗にする行為を表した。そこから意味が抽象化して、頭の中の不要な要素を切り捨てて整理する＝考えることや、数をきれいに整理する＝計算することへとつながった。
&lt;span class="spacer"&gt;&lt;/span&gt;computeは、複数の数字や要素を一緒に整理して考えることから「計算する」やコンピュータなどで「処理する」という意味になった。&lt;/span&gt;</v>
      </c>
      <c r="T1019" s="13" t="str">
        <f>INDEX($L:$L, MATCH("reputation", $B:$B, 0))</f>
        <v>&lt;span class="w"&gt;&lt;b&gt;【678.reputation：評判, 名声】&lt;/b&gt;&lt;/span&gt;
&lt;span class="ml"&gt;ラテン語に由来する語で、以下の3つの要素から成る。
&lt;span class="spacer"&gt;&lt;/span&gt;re（再び, 繰り返し）
putare（判断する）
io（名詞化）
&lt;span class="spacer"&gt;&lt;/span&gt;このまま日本語にすると「繰り返し判断すること」となる。人々が何度も判断する、世間から何度も評価されるといったニュアンスから「評判, 名声」という意味になった。
&lt;div class="sample_image reputation"&gt;&lt;/div&gt;&lt;/span&gt;</v>
      </c>
      <c r="AU1019" s="15"/>
      <c r="AV1019" s="1" t="s">
        <v>38</v>
      </c>
      <c r="BG1019" s="7" t="s">
        <v>1242</v>
      </c>
      <c r="BH1019" s="1" t="s">
        <v>1947</v>
      </c>
      <c r="BI1019" s="2" t="s">
        <v>5397</v>
      </c>
      <c r="BJ1019" s="1" t="s">
        <v>1959</v>
      </c>
      <c r="BK1019" s="2" t="s">
        <v>5398</v>
      </c>
      <c r="BL1019" s="1" t="s">
        <v>1875</v>
      </c>
      <c r="BM1019" s="2" t="s">
        <v>5399</v>
      </c>
      <c r="BN1019" s="1" t="s">
        <v>1877</v>
      </c>
      <c r="BO1019" s="2" t="s">
        <v>5400</v>
      </c>
    </row>
    <row r="1020" spans="1:69" ht="126" x14ac:dyDescent="0.45">
      <c r="A1020" s="5">
        <v>1019</v>
      </c>
      <c r="B1020" s="6" t="s">
        <v>758</v>
      </c>
      <c r="C1020" s="6" t="s">
        <v>1816</v>
      </c>
      <c r="D1020" s="7" t="s">
        <v>9752</v>
      </c>
      <c r="E1020" s="1" t="s">
        <v>5401</v>
      </c>
      <c r="F1020" s="1" t="s">
        <v>4624</v>
      </c>
      <c r="G1020" s="1"/>
      <c r="J1020" s="1" t="s">
        <v>9753</v>
      </c>
      <c r="K1020" s="2" t="s">
        <v>9385</v>
      </c>
      <c r="L1020" s="2" t="s">
        <v>11722</v>
      </c>
      <c r="P1020" s="7" t="s">
        <v>1241</v>
      </c>
      <c r="AU1020" s="15"/>
      <c r="AV1020" s="1" t="s">
        <v>38</v>
      </c>
      <c r="BG1020" s="7" t="s">
        <v>1242</v>
      </c>
      <c r="BH1020" s="1" t="s">
        <v>1877</v>
      </c>
      <c r="BI1020" s="2" t="s">
        <v>5402</v>
      </c>
      <c r="BJ1020" s="1" t="s">
        <v>3496</v>
      </c>
      <c r="BK1020" s="2" t="s">
        <v>5403</v>
      </c>
    </row>
    <row r="1021" spans="1:69" ht="126" x14ac:dyDescent="0.45">
      <c r="A1021" s="5">
        <v>1020</v>
      </c>
      <c r="B1021" s="8" t="s">
        <v>759</v>
      </c>
      <c r="C1021" s="6" t="s">
        <v>1816</v>
      </c>
      <c r="D1021" s="7" t="s">
        <v>9752</v>
      </c>
      <c r="E1021" s="1" t="s">
        <v>1505</v>
      </c>
      <c r="F1021" s="1" t="s">
        <v>1408</v>
      </c>
      <c r="G1021" s="1"/>
      <c r="J1021" s="1" t="s">
        <v>9753</v>
      </c>
      <c r="K1021" s="2" t="s">
        <v>9386</v>
      </c>
      <c r="L1021" s="3" t="s">
        <v>9387</v>
      </c>
      <c r="M1021" s="1" t="s">
        <v>12178</v>
      </c>
      <c r="P1021" s="7" t="s">
        <v>1241</v>
      </c>
      <c r="Q1021" s="13" t="str">
        <f>INDEX($L:$L, MATCH("attract", $B:$B, 0))</f>
        <v>&lt;span class="w"&gt;&lt;b&gt;【222.attract：～を引きつける】&lt;/b&gt;&lt;/span&gt;
&lt;span class="ml"&gt;ラテン語に由来する語で、以下の2つの要素から成る。
&lt;span class="spacer"&gt;&lt;/span&gt;ad（～へ）
trahere（引く）
&lt;span class="spacer"&gt;&lt;/span&gt;このまま日本語にすると「〜へ引く」となる。対象を何かへ引き寄せることから、注意や視線などを「引きつける」という意味になる。&lt;/span&gt;</v>
      </c>
      <c r="R1021" s="13" t="str">
        <f>INDEX($L:$L, MATCH("extract", $B:$B, 0))</f>
        <v>&lt;span class="w"&gt;&lt;b&gt;【1138.extract：〜を取り出す, 〜を抽出する】&lt;/b&gt;&lt;/span&gt;
&lt;span class="ml"&gt;ラテン語に由来する語で、以下の2つの要素から成る。
&lt;span class="spacer"&gt;&lt;/span&gt;ex（外に）
trahere（引く）
&lt;span class="spacer"&gt;&lt;/span&gt;このまま日本語にすると「外に引く」となり、何かを「取り出す, 抽出する」という意味になる。&lt;/span&gt;</v>
      </c>
      <c r="S1021" s="13" t="str">
        <f>INDEX($L:$L, MATCH("abstract", $B:$B, 0))</f>
        <v>&lt;span class="w"&gt;&lt;b&gt;【586.abstract：抽象的な】&lt;/b&gt;&lt;/span&gt;
&lt;span class="ml"&gt;ラテン語に由来する語で、以下の2つの要素から成る。
&lt;span class="spacer"&gt;&lt;/span&gt;ab（離れて）
trahere（引く）
&lt;span class="spacer"&gt;&lt;/span&gt;このまま日本語にすると「引き離す」となる。もともとは、物理的にある物質から特定のものを引き離すことを表した。&lt;span class="obsolete"&gt;現在でも動詞abstructは「抽出する」を意味する。&lt;/span&gt;
&lt;span class="spacer"&gt;&lt;/span&gt;そして物理的な動作から思考プロセスへと意味が広がる。目に見える具体的な事物（リンゴ、バナナ、イチゴなど）から、共通する性質や本質（＝果物という概念）だけを「引き離して頭の中で考える」ことを指すようになり、「抽象的な」という意味になった。
&lt;div class="sample_image abstract"&gt;&lt;/div&gt;&lt;/span&gt;</v>
      </c>
      <c r="T1021" s="13" t="str">
        <f>INDEX($L:$L, MATCH("contract", $B:$B, 0))</f>
        <v>&lt;span class="w"&gt;&lt;b&gt;【577.contract：契約（書）】&lt;/b&gt;&lt;/span&gt;
&lt;span class="ml"&gt;ラテン語に由来する語で、以下の2つの要素から成る。
&lt;span class="spacer"&gt;&lt;/span&gt;con（共に）
trahere（引く）
&lt;span class="spacer"&gt;&lt;/span&gt;このまま日本語にすると「共に引く」となる。人と人が互いの条件や意見を引き寄せ合い、一つの合意点にまとめることから「契約（書）」という意味になる。
&lt;div class="sample_image contract"&gt;&lt;/div&gt;&lt;/span&gt;</v>
      </c>
      <c r="AU1021" s="15"/>
      <c r="AV1021" s="1" t="s">
        <v>38</v>
      </c>
      <c r="BG1021" s="7" t="s">
        <v>1242</v>
      </c>
      <c r="BH1021" s="1" t="s">
        <v>1947</v>
      </c>
      <c r="BI1021" s="2" t="s">
        <v>5404</v>
      </c>
      <c r="BJ1021" s="1" t="s">
        <v>1875</v>
      </c>
      <c r="BK1021" s="2" t="s">
        <v>5405</v>
      </c>
      <c r="BL1021" s="1" t="s">
        <v>1877</v>
      </c>
      <c r="BM1021" s="2" t="s">
        <v>5406</v>
      </c>
    </row>
    <row r="1022" spans="1:69" ht="180" x14ac:dyDescent="0.45">
      <c r="A1022" s="5">
        <v>1021</v>
      </c>
      <c r="B1022" s="8" t="s">
        <v>760</v>
      </c>
      <c r="C1022" s="6" t="s">
        <v>1816</v>
      </c>
      <c r="D1022" s="7" t="s">
        <v>9752</v>
      </c>
      <c r="E1022" s="1" t="s">
        <v>760</v>
      </c>
      <c r="F1022" s="1"/>
      <c r="G1022" s="1"/>
      <c r="J1022" s="1" t="s">
        <v>9753</v>
      </c>
      <c r="K1022" s="2" t="s">
        <v>9388</v>
      </c>
      <c r="L1022" s="2" t="s">
        <v>9389</v>
      </c>
      <c r="P1022" s="7" t="s">
        <v>1241</v>
      </c>
      <c r="Q1022" s="13" t="str">
        <f>INDEX($L:$L, MATCH("occasion", $B:$B, 0))</f>
        <v>&lt;span class="w"&gt;&lt;b&gt;【458.occasion：時, 場合, 機会】&lt;/b&gt;&lt;/span&gt;
&lt;span class="ml"&gt;ラテン語に由来する語で、以下の3つの要素から成る。
&lt;span class="spacer"&gt;&lt;/span&gt;ob（〜に向かって）
cadere（落ちる）
io（名詞化）
&lt;span class="spacer"&gt;&lt;/span&gt;このまま日本語にすると「何かに向かって落ちること」となる。何かが目の前に向かって落ちてくるように、ある出来事やタイミングが転がりこんでくるイメージ。そこから、ある出来事が起こる「時」という意味になる。
&lt;span class="spacer"&gt;&lt;/span&gt;「場合, 機会」という訳は、文脈に応じて「時」の代わりにするものとして覚えておけばよい。一番重要なのは、何かが起こる「時」という意味。
&lt;span class="spacer"&gt;&lt;/span&gt;ギリシャ語やラテン語では、自分の意思とは関係なく降りかかる出来事を「落ちてくる」という感覚で表現することがある。たとえば、incident（出来事）, case（事例）, symptom（症状）といったものが挙げられる。おそらく神様が天から落とすイメージ。
&lt;span class="spacer"&gt;&lt;/span&gt;このような出来事が落ちてくるという感覚は、日本語の「チャンスが舞い込む」や「災難が降りかかる」という表現にも見られる。自分の意思ではコントロールできないことは、天から落ちてくるという感覚。
&lt;div class="sample_image occasion"&gt;&lt;/div&gt;&lt;/span&gt;</v>
      </c>
      <c r="R1022" s="13" t="str">
        <f>INDEX($L:$L, MATCH("incident", $B:$B, 0))</f>
        <v>&lt;span class="w"&gt;&lt;b&gt;【644.incident：出来事, 事件】&lt;/b&gt;&lt;/span&gt;
&lt;span class="ml"&gt;ラテン語に由来する語で、以下の2つの要素から成る。
&lt;span class="spacer"&gt;&lt;/span&gt;in（中に）
cadere（落ちる）
&lt;span class="spacer"&gt;&lt;/span&gt;このまま日本語にすると「中に落ちる」となる。物理的に落ちてくることから比喩的に、人や状況に降りかかる「出来事」という意味になった。
&lt;span class="spacer"&gt;&lt;/span&gt;ギリシャ語やラテン語では、自分の意思とは関係なく降りかかる出来事を「落ちてくる」という感覚で表現することがある。たとえば、occasion（場合, 時）, case（事例）, symptom（症状）といったものが挙げられる。おそらく神様が天から落とすイメージ。
&lt;span class="spacer"&gt;&lt;/span&gt; このような出来事が落ちてくるという感覚は、日本語の「チャンスが舞い込む」や「災難が降りかかる」という表現にも見られる。自分の意思ではコントロールできないことは、天から落ちてくるという感覚。&lt;/span&gt;&lt;/span&gt;</v>
      </c>
      <c r="S1022" s="13" t="str">
        <f>INDEX($L:$L, MATCH("casual", $B:$B, 0))</f>
        <v>&lt;span class="w"&gt;&lt;b&gt;【881.casual：何気ない, 形式ばらない】&lt;/b&gt;&lt;/span&gt;
&lt;span class="ml"&gt;ラテン語に由来する語で、以下の2つの要素から成る。
&lt;span class="spacer"&gt;&lt;/span&gt;cadere（落ちる, 降りかかる）
alis（形容詞化）
&lt;span class="spacer"&gt;&lt;/span&gt;もともとは、出来事が突然降りかかってくることから、自分の意思とは関係のない偶然であることを表した。さらにそこから発展して、意図や事前の準備などを必要としない気楽さを表すようになり、「何気ない, 形式ばらない」という意味になった。&lt;/span&gt;</v>
      </c>
      <c r="AV1022" s="1" t="s">
        <v>38</v>
      </c>
      <c r="BG1022" s="7" t="s">
        <v>1242</v>
      </c>
      <c r="BH1022" s="1" t="s">
        <v>1947</v>
      </c>
      <c r="BI1022" s="1" t="s">
        <v>5407</v>
      </c>
      <c r="BJ1022" s="1" t="s">
        <v>2036</v>
      </c>
      <c r="BK1022" s="1" t="s">
        <v>5408</v>
      </c>
      <c r="BL1022" s="1" t="s">
        <v>1959</v>
      </c>
      <c r="BM1022" s="2" t="s">
        <v>9390</v>
      </c>
      <c r="BN1022" s="1" t="s">
        <v>1875</v>
      </c>
      <c r="BO1022" s="2" t="s">
        <v>5409</v>
      </c>
      <c r="BP1022" s="1" t="s">
        <v>1877</v>
      </c>
      <c r="BQ1022" s="2" t="s">
        <v>5410</v>
      </c>
    </row>
    <row r="1023" spans="1:69" ht="126" x14ac:dyDescent="0.45">
      <c r="A1023" s="5">
        <v>1022</v>
      </c>
      <c r="B1023" s="6" t="s">
        <v>761</v>
      </c>
      <c r="C1023" s="6" t="s">
        <v>1816</v>
      </c>
      <c r="D1023" s="7" t="s">
        <v>9752</v>
      </c>
      <c r="E1023" s="6" t="s">
        <v>761</v>
      </c>
      <c r="F1023" s="1"/>
      <c r="G1023" s="1"/>
      <c r="J1023" s="1" t="s">
        <v>9753</v>
      </c>
      <c r="K1023" s="1" t="s">
        <v>9391</v>
      </c>
      <c r="L1023" s="2" t="s">
        <v>9392</v>
      </c>
      <c r="P1023" s="7" t="s">
        <v>1241</v>
      </c>
      <c r="Q1023" s="13" t="str">
        <f>INDEX($L:$L, MATCH("feed", $B:$B, 0))</f>
        <v>&lt;span class="w"&gt;&lt;b&gt;【216.feed：食事を与える】&lt;/b&gt;&lt;/span&gt;
&lt;span class="ml"&gt;古英語fedan（食べ物を与える）にさかのぼる語。
&lt;span class="spacer"&gt;&lt;/span&gt;古英語から意味の変化はほとんどない。feedは古英語からさらに印欧祖語*pa-（養う）にさかのぼり、この印欧祖語からはfood（食べ物）も生まれている。&lt;/span&gt;</v>
      </c>
      <c r="AU1023" s="15"/>
      <c r="AV1023" s="1" t="s">
        <v>38</v>
      </c>
      <c r="BG1023" s="7" t="s">
        <v>1242</v>
      </c>
      <c r="BH1023" s="1" t="s">
        <v>1976</v>
      </c>
      <c r="BI1023" s="2" t="s">
        <v>9393</v>
      </c>
      <c r="BJ1023" s="1" t="s">
        <v>1872</v>
      </c>
      <c r="BK1023" s="2" t="s">
        <v>5411</v>
      </c>
      <c r="BL1023" s="1" t="s">
        <v>1875</v>
      </c>
      <c r="BM1023" s="2" t="s">
        <v>5412</v>
      </c>
      <c r="BN1023" s="1" t="s">
        <v>1877</v>
      </c>
      <c r="BO1023" s="2" t="s">
        <v>5413</v>
      </c>
    </row>
    <row r="1024" spans="1:69" ht="144" x14ac:dyDescent="0.45">
      <c r="A1024" s="5">
        <v>1023</v>
      </c>
      <c r="B1024" s="8" t="s">
        <v>762</v>
      </c>
      <c r="C1024" s="6" t="s">
        <v>1816</v>
      </c>
      <c r="D1024" s="7" t="s">
        <v>9752</v>
      </c>
      <c r="E1024" s="1" t="s">
        <v>1397</v>
      </c>
      <c r="F1024" s="1" t="s">
        <v>5414</v>
      </c>
      <c r="G1024" s="1"/>
      <c r="J1024" s="1" t="s">
        <v>9753</v>
      </c>
      <c r="L1024" s="3" t="s">
        <v>9394</v>
      </c>
      <c r="P1024" s="7" t="s">
        <v>1241</v>
      </c>
      <c r="Q1024" s="13" t="str">
        <f>INDEX($L:$L, MATCH("audience", $B:$B, 0))</f>
        <v>&lt;span class="w"&gt;&lt;b&gt;【251.audience：聴衆, 観客, 視聴者】&lt;/b&gt;&lt;/span&gt;
&lt;span class="ml"&gt;ラテン語audire（聴く）に由来する。
&lt;span class="spacer"&gt;&lt;/span&gt;聞こえる場所にいる人から「聴衆, 観客」という意味になる。またテレビの登場で「視聴者」という意味になる。
&lt;span class="spacer"&gt;&lt;/span&gt;オーディオやオーディブルなどの聞く系の言葉と関連させて覚える。&lt;/span&gt;</v>
      </c>
      <c r="AU1024" s="15"/>
      <c r="AV1024" s="1" t="s">
        <v>38</v>
      </c>
      <c r="BG1024" s="7" t="s">
        <v>1242</v>
      </c>
      <c r="BH1024" s="1" t="s">
        <v>1947</v>
      </c>
      <c r="BI1024" s="2" t="s">
        <v>9395</v>
      </c>
      <c r="BJ1024" s="1" t="s">
        <v>1959</v>
      </c>
      <c r="BK1024" s="2" t="s">
        <v>5415</v>
      </c>
      <c r="BL1024" s="1" t="s">
        <v>1875</v>
      </c>
      <c r="BM1024" s="2" t="s">
        <v>5416</v>
      </c>
    </row>
    <row r="1025" spans="1:69" ht="162" x14ac:dyDescent="0.45">
      <c r="A1025" s="5">
        <v>1024</v>
      </c>
      <c r="B1025" s="6" t="s">
        <v>763</v>
      </c>
      <c r="C1025" s="6" t="s">
        <v>1816</v>
      </c>
      <c r="D1025" s="7" t="s">
        <v>9752</v>
      </c>
      <c r="E1025" s="6" t="s">
        <v>763</v>
      </c>
      <c r="F1025" s="1"/>
      <c r="G1025" s="1"/>
      <c r="J1025" s="1" t="s">
        <v>9753</v>
      </c>
      <c r="K1025" s="1" t="s">
        <v>9396</v>
      </c>
      <c r="L1025" s="2" t="s">
        <v>9397</v>
      </c>
      <c r="P1025" s="7" t="s">
        <v>1241</v>
      </c>
      <c r="AU1025" s="15"/>
      <c r="AV1025" s="1" t="s">
        <v>38</v>
      </c>
      <c r="BG1025" s="7" t="s">
        <v>1242</v>
      </c>
      <c r="BH1025" s="1" t="s">
        <v>1872</v>
      </c>
      <c r="BI1025" s="2" t="s">
        <v>9398</v>
      </c>
      <c r="BJ1025" s="1" t="s">
        <v>1875</v>
      </c>
      <c r="BK1025" s="2" t="s">
        <v>5417</v>
      </c>
    </row>
    <row r="1026" spans="1:69" ht="180" x14ac:dyDescent="0.45">
      <c r="A1026" s="5">
        <v>1025</v>
      </c>
      <c r="B1026" s="6" t="s">
        <v>764</v>
      </c>
      <c r="C1026" s="6" t="s">
        <v>1816</v>
      </c>
      <c r="D1026" s="7" t="s">
        <v>9752</v>
      </c>
      <c r="E1026" s="1" t="s">
        <v>1327</v>
      </c>
      <c r="F1026" s="1" t="s">
        <v>5418</v>
      </c>
      <c r="G1026" s="1"/>
      <c r="J1026" s="1" t="s">
        <v>9753</v>
      </c>
      <c r="K1026" s="1" t="s">
        <v>9399</v>
      </c>
      <c r="L1026" s="3" t="s">
        <v>9400</v>
      </c>
      <c r="P1026" s="7" t="s">
        <v>1241</v>
      </c>
      <c r="AU1026" s="15"/>
      <c r="AV1026" s="1" t="s">
        <v>38</v>
      </c>
      <c r="BG1026" s="7" t="s">
        <v>1242</v>
      </c>
      <c r="BH1026" s="1" t="s">
        <v>1947</v>
      </c>
      <c r="BI1026" s="2" t="s">
        <v>5419</v>
      </c>
      <c r="BJ1026" s="1" t="s">
        <v>1967</v>
      </c>
      <c r="BK1026" s="2" t="s">
        <v>5420</v>
      </c>
      <c r="BL1026" s="1" t="s">
        <v>1959</v>
      </c>
      <c r="BM1026" s="1" t="s">
        <v>5421</v>
      </c>
      <c r="BN1026" s="1" t="s">
        <v>1875</v>
      </c>
      <c r="BO1026" s="2" t="s">
        <v>5422</v>
      </c>
    </row>
    <row r="1027" spans="1:69" ht="126" x14ac:dyDescent="0.45">
      <c r="A1027" s="5">
        <v>1026</v>
      </c>
      <c r="B1027" s="6" t="s">
        <v>765</v>
      </c>
      <c r="C1027" s="6" t="s">
        <v>1816</v>
      </c>
      <c r="D1027" s="7" t="s">
        <v>9752</v>
      </c>
      <c r="E1027" s="6" t="s">
        <v>765</v>
      </c>
      <c r="F1027" s="1"/>
      <c r="G1027" s="1"/>
      <c r="J1027" s="1" t="s">
        <v>9753</v>
      </c>
      <c r="K1027" s="2" t="s">
        <v>9401</v>
      </c>
      <c r="L1027" s="3" t="s">
        <v>9402</v>
      </c>
      <c r="P1027" s="7" t="s">
        <v>1241</v>
      </c>
      <c r="AV1027" s="1" t="s">
        <v>38</v>
      </c>
      <c r="BG1027" s="7" t="s">
        <v>1242</v>
      </c>
      <c r="BH1027" s="1" t="s">
        <v>2458</v>
      </c>
      <c r="BI1027" s="1" t="s">
        <v>5424</v>
      </c>
      <c r="BJ1027" s="1" t="s">
        <v>1947</v>
      </c>
      <c r="BK1027" s="2" t="s">
        <v>5425</v>
      </c>
      <c r="BL1027" s="1" t="s">
        <v>1959</v>
      </c>
      <c r="BM1027" s="1" t="s">
        <v>5426</v>
      </c>
      <c r="BN1027" s="1" t="s">
        <v>1875</v>
      </c>
      <c r="BO1027" s="2" t="s">
        <v>5427</v>
      </c>
    </row>
    <row r="1028" spans="1:69" ht="234" x14ac:dyDescent="0.45">
      <c r="A1028" s="5">
        <v>1027</v>
      </c>
      <c r="B1028" s="6" t="s">
        <v>766</v>
      </c>
      <c r="C1028" s="6" t="s">
        <v>1816</v>
      </c>
      <c r="D1028" s="7" t="s">
        <v>9752</v>
      </c>
      <c r="E1028" s="1" t="s">
        <v>766</v>
      </c>
      <c r="F1028" s="1"/>
      <c r="G1028" s="1"/>
      <c r="J1028" s="1" t="s">
        <v>9753</v>
      </c>
      <c r="K1028" s="2"/>
      <c r="L1028" s="2" t="s">
        <v>9403</v>
      </c>
      <c r="P1028" s="7" t="s">
        <v>1241</v>
      </c>
      <c r="AU1028" s="15"/>
      <c r="AV1028" s="1" t="s">
        <v>38</v>
      </c>
      <c r="BG1028" s="7" t="s">
        <v>1242</v>
      </c>
      <c r="BH1028" s="1" t="s">
        <v>1875</v>
      </c>
      <c r="BI1028" s="2" t="s">
        <v>9404</v>
      </c>
      <c r="BJ1028" s="1" t="s">
        <v>1877</v>
      </c>
      <c r="BK1028" s="2" t="s">
        <v>5428</v>
      </c>
      <c r="BL1028" s="1" t="s">
        <v>3496</v>
      </c>
      <c r="BM1028" s="2" t="s">
        <v>5429</v>
      </c>
    </row>
    <row r="1029" spans="1:69" ht="162" x14ac:dyDescent="0.45">
      <c r="A1029" s="5">
        <v>1028</v>
      </c>
      <c r="B1029" s="6" t="s">
        <v>767</v>
      </c>
      <c r="C1029" s="6" t="s">
        <v>1816</v>
      </c>
      <c r="D1029" s="7" t="s">
        <v>9752</v>
      </c>
      <c r="E1029" s="1" t="s">
        <v>1725</v>
      </c>
      <c r="F1029" s="1" t="s">
        <v>1614</v>
      </c>
      <c r="G1029" s="1"/>
      <c r="J1029" s="1" t="s">
        <v>9753</v>
      </c>
      <c r="L1029" s="3" t="s">
        <v>9405</v>
      </c>
      <c r="M1029" s="1" t="s">
        <v>12203</v>
      </c>
      <c r="P1029" s="7" t="s">
        <v>1241</v>
      </c>
      <c r="Q1029" s="13" t="str">
        <f>INDEX($L:$L, MATCH("admit", $B:$B, 0))</f>
        <v>&lt;span class="w"&gt;&lt;b&gt;【406.admit：〜を認める, 入場・入学を認める】&lt;/b&gt;&lt;/span&gt;
&lt;span class="ml"&gt;ラテン語に由来する語で、以下の2つの要素から成る。
&lt;span class="spacer"&gt;&lt;/span&gt;ad（～へ）
mittere（送る, 放つ）
&lt;span class="spacer"&gt;&lt;/span&gt;このまま日本語にすると「〜へ送る」となる。これは、外から来たものをそのまま内側へ送るイメージ。そこから、学校や会場で内側へ送るなら「入場・入学を認める」、議論において主張や真実を内側に送るなら「認める」という意味になる。
&lt;div class="sample_image admit"&gt;&lt;/div&gt;&lt;/span&gt;</v>
      </c>
      <c r="R1029" s="13" t="str">
        <f>INDEX($L:$L, MATCH("submit", $B:$B, 0))</f>
        <v>&lt;span class="w"&gt;&lt;b&gt;【928.submit：〜を提出する, submit oneself 従う】&lt;/b&gt;&lt;/span&gt;
&lt;span class="ml"&gt;ラテン語に由来する語で、以下の2つの要素から成る。
&lt;span class="spacer"&gt;&lt;/span&gt;sub（〜の下に）
mittere（送る, 放つ）
&lt;span class="spacer"&gt;&lt;/span&gt;このまま日本語にすると「下に送る」となる。この物理的な下方向への動きから、自分自身を相手の下に置き、相手に「従う」という意味になった。さらに、自分で判断するのではなく他者の判断に従うために、自分の意見や考えなどを差し出すことから、何かを「提出する」という意味にもなった。
&lt;div class="sample_image submit"&gt;&lt;/div&gt;&lt;/span&gt;</v>
      </c>
      <c r="S1029" s="13" t="str">
        <f>INDEX($L:$L, MATCH("emit", $B:$B, 0))</f>
        <v>&lt;span class="w"&gt;&lt;b&gt;【1322.emit：（光・熱などを）放つ, 排出する】&lt;/b&gt;&lt;/span&gt;
&lt;span class="ml"&gt;ラテン語に由来する語で、以下の2つの要素から成る。
&lt;span class="spacer"&gt;&lt;/span&gt;ex（外に）
mittere（送る）
&lt;span class="spacer"&gt;&lt;/span&gt;このまま日本語にすると「外に送る」となる。物理的に何かを外へ送り出すという動作から、目に見えないエネルギーや気体などを「放つ, 排出する」という意味になった。
&lt;div class="sample_image emit"&gt;&lt;/div&gt;&lt;/span&gt;</v>
      </c>
      <c r="T1029" s="13" t="str">
        <f>INDEX($L:$L, MATCH("commit", $B:$B, 0))</f>
        <v>&lt;span class="w"&gt;&lt;b&gt;【601.commit：（受け身で）献身する, 罪などを犯す】&lt;/b&gt;&lt;/span&gt;
&lt;span class="ml"&gt;ラテン語に由来する語で、以下の2つの要素から成る。
&lt;span class="spacer"&gt;&lt;/span&gt;com（共に）
mittere（送る, 放つ）
&lt;span class="spacer"&gt;&lt;/span&gt;このまま日本語にすると「共に送る」となる。ここから現代英語の「献身する」や「罪などを犯す」という意味への発展経緯は明らかではないため、あくまでイメージで覚えておく。この語の核は「対象の元へ何かをまとめて送る」。
&lt;span class="spacer"&gt;&lt;/span&gt;①まだ実行していないものを現実に送る感じから「何かを行う」となる。特に後戻りできない重大なことを行うことから「罪などを犯す」という意味になる。
&lt;span class="spacer"&gt;&lt;/span&gt;②自分自身や自分の能力、時間、権限など、自分と自分に関するものをまとめて対象に送る感じから「献身する, 専念する」という意味になる。この場合は、commit oneself to A / be committed to Aといった形で使われる。&lt;/span&gt;</v>
      </c>
      <c r="U1029" s="13" t="str">
        <f>INDEX($L:$L, MATCH("permit", $B:$B, 0))</f>
        <v>&lt;span class="w"&gt;&lt;b&gt;【628.permit：〜を許可する】&lt;/b&gt;&lt;/span&gt;
&lt;span class="ml"&gt;ラテン語に由来する語で、以下の2つの要素から成る。
&lt;span class="spacer"&gt;&lt;/span&gt;per（前へ, 通って）
mittere（送る, 放つ）
&lt;span class="spacer"&gt;&lt;/span&gt;このまま日本語にすると「通して送る」となる。これは、通過を妨げないで行かせることから「許可する」という意味になる。
&lt;div class="sample_image permit"&gt;&lt;/div&gt;&lt;/span&gt;</v>
      </c>
      <c r="AV1029" s="1" t="s">
        <v>38</v>
      </c>
      <c r="BG1029" s="7" t="s">
        <v>1242</v>
      </c>
      <c r="BH1029" s="1" t="s">
        <v>1947</v>
      </c>
      <c r="BI1029" s="1" t="s">
        <v>5430</v>
      </c>
      <c r="BJ1029" s="1" t="s">
        <v>1875</v>
      </c>
      <c r="BK1029" s="2" t="s">
        <v>5431</v>
      </c>
    </row>
    <row r="1030" spans="1:69" ht="180" x14ac:dyDescent="0.45">
      <c r="A1030" s="5">
        <v>1029</v>
      </c>
      <c r="B1030" s="6" t="s">
        <v>768</v>
      </c>
      <c r="C1030" s="6" t="s">
        <v>1816</v>
      </c>
      <c r="D1030" s="7" t="s">
        <v>9752</v>
      </c>
      <c r="E1030" s="6" t="s">
        <v>768</v>
      </c>
      <c r="F1030" s="1"/>
      <c r="G1030" s="1"/>
      <c r="J1030" s="1" t="s">
        <v>9753</v>
      </c>
      <c r="L1030" s="2" t="s">
        <v>9406</v>
      </c>
      <c r="P1030" s="7" t="s">
        <v>1241</v>
      </c>
      <c r="AU1030" s="15"/>
      <c r="AV1030" s="1" t="s">
        <v>38</v>
      </c>
      <c r="BG1030" s="7" t="s">
        <v>1242</v>
      </c>
      <c r="BH1030" s="1" t="s">
        <v>1877</v>
      </c>
      <c r="BI1030" s="2" t="s">
        <v>9407</v>
      </c>
    </row>
    <row r="1031" spans="1:69" ht="90" x14ac:dyDescent="0.45">
      <c r="A1031" s="5">
        <v>1030</v>
      </c>
      <c r="B1031" s="6" t="s">
        <v>769</v>
      </c>
      <c r="C1031" s="6" t="s">
        <v>1816</v>
      </c>
      <c r="D1031" s="7" t="s">
        <v>9752</v>
      </c>
      <c r="E1031" s="6" t="s">
        <v>769</v>
      </c>
      <c r="F1031" s="1"/>
      <c r="G1031" s="1"/>
      <c r="J1031" s="1" t="s">
        <v>9753</v>
      </c>
      <c r="K1031" s="1" t="s">
        <v>5432</v>
      </c>
      <c r="L1031" s="2" t="s">
        <v>9408</v>
      </c>
      <c r="P1031" s="7" t="s">
        <v>1241</v>
      </c>
      <c r="AV1031" s="1" t="s">
        <v>38</v>
      </c>
      <c r="BG1031" s="7" t="s">
        <v>1242</v>
      </c>
      <c r="BH1031" s="1" t="s">
        <v>1872</v>
      </c>
      <c r="BI1031" s="1" t="s">
        <v>9409</v>
      </c>
      <c r="BJ1031" s="1" t="s">
        <v>1875</v>
      </c>
      <c r="BK1031" s="2" t="s">
        <v>5433</v>
      </c>
    </row>
    <row r="1032" spans="1:69" ht="180" x14ac:dyDescent="0.45">
      <c r="A1032" s="5">
        <v>1031</v>
      </c>
      <c r="B1032" s="6" t="s">
        <v>770</v>
      </c>
      <c r="C1032" s="6" t="s">
        <v>1816</v>
      </c>
      <c r="D1032" s="7" t="s">
        <v>9752</v>
      </c>
      <c r="E1032" s="1" t="s">
        <v>1392</v>
      </c>
      <c r="F1032" s="1" t="s">
        <v>5434</v>
      </c>
      <c r="G1032" s="1"/>
      <c r="J1032" s="1" t="s">
        <v>9753</v>
      </c>
      <c r="K1032" s="2"/>
      <c r="L1032" s="3" t="s">
        <v>9410</v>
      </c>
      <c r="P1032" s="7" t="s">
        <v>1241</v>
      </c>
      <c r="AV1032" s="1" t="s">
        <v>38</v>
      </c>
      <c r="BG1032" s="7" t="s">
        <v>1242</v>
      </c>
      <c r="BH1032" s="1" t="s">
        <v>1947</v>
      </c>
      <c r="BI1032" s="1" t="s">
        <v>5435</v>
      </c>
      <c r="BJ1032" s="1" t="s">
        <v>2026</v>
      </c>
      <c r="BK1032" s="1" t="s">
        <v>5436</v>
      </c>
      <c r="BL1032" s="1" t="s">
        <v>1959</v>
      </c>
      <c r="BM1032" s="1" t="s">
        <v>5437</v>
      </c>
      <c r="BN1032" s="1" t="s">
        <v>1875</v>
      </c>
      <c r="BO1032" s="2" t="s">
        <v>5438</v>
      </c>
      <c r="BP1032" s="1" t="s">
        <v>1877</v>
      </c>
      <c r="BQ1032" s="2" t="s">
        <v>5439</v>
      </c>
    </row>
    <row r="1033" spans="1:69" ht="108" x14ac:dyDescent="0.45">
      <c r="A1033" s="5">
        <v>1032</v>
      </c>
      <c r="B1033" s="6" t="s">
        <v>771</v>
      </c>
      <c r="C1033" s="6" t="s">
        <v>1816</v>
      </c>
      <c r="D1033" s="7" t="s">
        <v>9752</v>
      </c>
      <c r="E1033" s="1" t="s">
        <v>771</v>
      </c>
      <c r="F1033" s="1"/>
      <c r="G1033" s="1"/>
      <c r="J1033" s="1" t="s">
        <v>9753</v>
      </c>
      <c r="K1033" s="1" t="s">
        <v>9411</v>
      </c>
      <c r="L1033" s="2" t="s">
        <v>9412</v>
      </c>
      <c r="P1033" s="7" t="s">
        <v>1241</v>
      </c>
      <c r="Q1033" s="13" t="str">
        <f>INDEX($L:$L, MATCH("thorough", $B:$B, 0))</f>
        <v>&lt;span class="w"&gt;&lt;b&gt;【1480.thorough：徹底的な, 完全な】&lt;/b&gt;&lt;/span&gt;
&lt;span class="ml"&gt;古英語のþurh（通り抜けて：throughの語源）にさかのぼる。形容詞thorough（徹底的な, 完全な）と前置詞through（通して）は兄弟関係の語。
&lt;span class="spacer"&gt;&lt;/span&gt;前置詞というのは、会話の中では名詞・形容詞・動詞などと比べて伝える内容の重要度が低いので、通常、短く弱く発音される（アクセントを持たない）。そのため、古英語þurh（通り抜けて）は、thの直後に母音とアクセントを持たない、1音節（ひとつの塊）の前置詞through（通って）になっていった。
&lt;span class="spacer"&gt;&lt;/span&gt;一方で中英語期には、thの後に母音とアクセントを保った2音節＝2つの塊からなる語が確立された。これが現代英語のthorough（tho・rough）である。
&lt;span class="spacer"&gt;&lt;/span&gt;物理的に通り抜けてることから比喩的に、端から端まで完璧に通るように「徹底的な, 完全な」という意味になった。&lt;/span&gt;</v>
      </c>
      <c r="AU1033" s="15"/>
      <c r="AV1033" s="1" t="s">
        <v>38</v>
      </c>
      <c r="BG1033" s="7" t="s">
        <v>1242</v>
      </c>
      <c r="BH1033" s="1" t="s">
        <v>1872</v>
      </c>
      <c r="BI1033" s="2" t="s">
        <v>5440</v>
      </c>
      <c r="BJ1033" s="1" t="s">
        <v>1875</v>
      </c>
      <c r="BK1033" s="2" t="s">
        <v>5441</v>
      </c>
      <c r="BL1033" s="1" t="s">
        <v>1877</v>
      </c>
      <c r="BM1033" s="2" t="s">
        <v>5442</v>
      </c>
    </row>
    <row r="1034" spans="1:69" ht="54" x14ac:dyDescent="0.45">
      <c r="A1034" s="5">
        <v>1033</v>
      </c>
      <c r="B1034" s="6" t="s">
        <v>772</v>
      </c>
      <c r="C1034" s="6" t="s">
        <v>1816</v>
      </c>
      <c r="D1034" s="7" t="s">
        <v>9752</v>
      </c>
      <c r="E1034" s="1" t="s">
        <v>772</v>
      </c>
      <c r="F1034" s="1"/>
      <c r="G1034" s="1"/>
      <c r="J1034" s="1" t="s">
        <v>9753</v>
      </c>
      <c r="L1034" s="2" t="s">
        <v>9413</v>
      </c>
      <c r="P1034" s="7" t="s">
        <v>1241</v>
      </c>
      <c r="AU1034" s="15"/>
      <c r="AV1034" s="1" t="s">
        <v>38</v>
      </c>
      <c r="BG1034" s="7" t="s">
        <v>1242</v>
      </c>
      <c r="BH1034" s="1" t="s">
        <v>1875</v>
      </c>
      <c r="BI1034" s="2" t="s">
        <v>5443</v>
      </c>
      <c r="BJ1034" s="1" t="s">
        <v>1877</v>
      </c>
      <c r="BK1034" s="2" t="s">
        <v>5444</v>
      </c>
    </row>
    <row r="1035" spans="1:69" ht="126" x14ac:dyDescent="0.45">
      <c r="A1035" s="5">
        <v>1034</v>
      </c>
      <c r="B1035" s="6" t="s">
        <v>773</v>
      </c>
      <c r="C1035" s="6" t="s">
        <v>1816</v>
      </c>
      <c r="D1035" s="7" t="s">
        <v>9752</v>
      </c>
      <c r="E1035" s="1" t="s">
        <v>773</v>
      </c>
      <c r="F1035" s="1"/>
      <c r="G1035" s="1"/>
      <c r="J1035" s="1" t="s">
        <v>9753</v>
      </c>
      <c r="L1035" s="2" t="s">
        <v>9414</v>
      </c>
      <c r="P1035" s="7" t="s">
        <v>1241</v>
      </c>
      <c r="AV1035" s="1" t="s">
        <v>38</v>
      </c>
      <c r="BG1035" s="7" t="s">
        <v>1242</v>
      </c>
      <c r="BH1035" s="1" t="s">
        <v>1872</v>
      </c>
      <c r="BI1035" s="1" t="s">
        <v>5445</v>
      </c>
      <c r="BJ1035" s="1" t="s">
        <v>1875</v>
      </c>
      <c r="BK1035" s="1" t="s">
        <v>5446</v>
      </c>
    </row>
    <row r="1036" spans="1:69" ht="72" x14ac:dyDescent="0.45">
      <c r="A1036" s="5">
        <v>1035</v>
      </c>
      <c r="B1036" s="6" t="s">
        <v>774</v>
      </c>
      <c r="C1036" s="6" t="s">
        <v>1816</v>
      </c>
      <c r="D1036" s="7" t="s">
        <v>9752</v>
      </c>
      <c r="E1036" s="1" t="s">
        <v>774</v>
      </c>
      <c r="F1036" s="1"/>
      <c r="G1036" s="1"/>
      <c r="J1036" s="1" t="s">
        <v>9753</v>
      </c>
      <c r="K1036" s="1" t="s">
        <v>9415</v>
      </c>
      <c r="L1036" s="2" t="s">
        <v>9416</v>
      </c>
      <c r="P1036" s="7" t="s">
        <v>1241</v>
      </c>
      <c r="AV1036" s="1" t="s">
        <v>38</v>
      </c>
      <c r="BG1036" s="7" t="s">
        <v>1242</v>
      </c>
      <c r="BH1036" s="1" t="s">
        <v>1872</v>
      </c>
      <c r="BI1036" s="1" t="s">
        <v>5447</v>
      </c>
      <c r="BJ1036" s="1" t="s">
        <v>1875</v>
      </c>
      <c r="BK1036" s="2" t="s">
        <v>5448</v>
      </c>
    </row>
    <row r="1037" spans="1:69" ht="108" x14ac:dyDescent="0.45">
      <c r="A1037" s="5">
        <v>1036</v>
      </c>
      <c r="B1037" s="8" t="s">
        <v>775</v>
      </c>
      <c r="C1037" s="6" t="s">
        <v>1816</v>
      </c>
      <c r="D1037" s="7" t="s">
        <v>9752</v>
      </c>
      <c r="E1037" s="1" t="s">
        <v>1467</v>
      </c>
      <c r="F1037" s="1" t="s">
        <v>5449</v>
      </c>
      <c r="G1037" s="1"/>
      <c r="J1037" s="1" t="s">
        <v>9753</v>
      </c>
      <c r="L1037" s="2" t="s">
        <v>9417</v>
      </c>
      <c r="M1037" s="1" t="s">
        <v>12155</v>
      </c>
      <c r="P1037" s="7" t="s">
        <v>1241</v>
      </c>
      <c r="Q1037" s="13" t="str">
        <f>INDEX($L:$L, MATCH("apply", $B:$B, 0))</f>
        <v>&lt;span class="w"&gt;&lt;b&gt;【127.apply：～を適用する, 申し込む】&lt;/b&gt;&lt;/span&gt;
&lt;span class="ml"&gt;ラテン語に由来する語で、以下の2つの要素から成る。
&lt;span class="spacer"&gt;&lt;/span&gt;ad（～へ）
plicare（折る）
&lt;span class="spacer"&gt;&lt;/span&gt;このまま日本語にすると「〜へ折り重ねる」となる。apply A to Bは、AをBにぴったり折り重ねるイメージから「AをBに適用する」となる。
&lt;span class="spacer"&gt;&lt;/span&gt;同様に、
S apply for 求めるもの
S apply to 求める相手
これでSを求めるものや求める相手に折り重ねるイメージから「Sは〜に申し込む」という意味になる。
&lt;div class="sample_image apply"&gt;&lt;/div&gt;&lt;/span&gt;</v>
      </c>
      <c r="R1037" s="13" t="str">
        <f>INDEX($L:$L, MATCH("imply", $B:$B, 0))</f>
        <v>&lt;span class="w"&gt;&lt;b&gt;【423.imply：〜を暗に意味する】&lt;/b&gt;&lt;/span&gt;
&lt;span class="ml"&gt;ラテン語に由来する語で、以下の2つの要素から成る。
&lt;span class="spacer"&gt;&lt;/span&gt;in（中に）
plicare（折る, 畳む）
&lt;span class="spacer"&gt;&lt;/span&gt;このまま日本語にすると「中に折る」となる。これは、何かを中に入れた状態で折りたたんで包み込むイメージ。そこから、言葉の中に直接は言わない意味を包み込むことを表し、「暗に意味する」という意味になる。
&lt;div class="sample_image imply"&gt;&lt;/div&gt;&lt;/span&gt;</v>
      </c>
      <c r="S1037" s="13" t="str">
        <f>INDEX($L:$L, MATCH("employ", $B:$B, 0))</f>
        <v>&lt;span class="w"&gt;&lt;b&gt;【517.employ：〜を雇う】&lt;/b&gt;&lt;/span&gt;
&lt;span class="ml"&gt;ラテン語に由来する語で、以下の2つの要素から成る。
&lt;span class="spacer"&gt;&lt;/span&gt;in（中に）
plicare（折る）
&lt;span class="spacer"&gt;&lt;/span&gt;このまま日本語にすると「中に折る」となる。これは、中に入れた状態で折りたたむイメージ。そこから、何らかの目的に巻き込む、事業に巻き込むことへと発展し、「雇う」という意味になった。
&lt;div class="sample_image employ"&gt;&lt;/div&gt;
&lt;span class="spacer"&gt;&lt;/span&gt;employは、implyと同じ語源にさかのぼる。
imply（暗に意味する）は中に折り込むという元のイメージをより保っている。
&lt;span class="spacer"&gt;&lt;/span&gt;employは元のイメージから発展して事業に巻き込む＝「雇う」になった。&lt;/span&gt;</v>
      </c>
      <c r="T1037" s="13" t="str">
        <f>INDEX($L:$L, MATCH("exploit", $B:$B, 0))</f>
        <v>&lt;span class="w"&gt;&lt;b&gt;【1237.exploit：〜を活用する, 〜を搾取する, 〜を開発する】&lt;/b&gt;&lt;/span&gt;
&lt;span class="ml"&gt;ラテン語に由来する語で、以下の2つの要素から成る。
&lt;span class="spacer"&gt;&lt;/span&gt;ex（外に）
plicare（折る）
&lt;span class="spacer"&gt;&lt;/span&gt;もともとは、折りたたまれているものを外へ開くことを表した。そこから、まだ手がつけられていない土地や、眠っている天然資源（鉱山など）を広げて展開し、目に見える形にして役立てる＝「開発する, 活用する」という意味になった。
&lt;span class="spacer"&gt;&lt;/span&gt;さらに、利益のために土地を開発して資源を活用するという言葉が、人間に対して使われるようになり、利益のために人々を使う＝「搾取する」というネガティブな意味にもなった。
&lt;div class="sample_image exploit"&gt;&lt;/div&gt;&lt;/span&gt;</v>
      </c>
      <c r="U1037" s="13" t="str">
        <f>INDEX($L:$L, MATCH("display", $B:$B, 0))</f>
        <v>&lt;span class="w"&gt;&lt;b&gt;【230.display：～を示す, ～を展示する】&lt;/b&gt;&lt;/span&gt;
&lt;span class="ml"&gt;ラテン語に由来する語で、以下の2つの要素から成る。
&lt;span class="spacer"&gt;&lt;/span&gt;dis（離れて）
plicare（折る）
&lt;span class="spacer"&gt;&lt;/span&gt;このまま日本語にすると「折られたものを離す」となる。折り紙を広げるようなイメージから、何かを展開する＝広げて見せる＝「展示する, 示す」という意味になる。&lt;/span&gt;</v>
      </c>
      <c r="V1037" s="13" t="str">
        <f>INDEX($L:$L, MATCH("complex", $B:$B, 0))</f>
        <v>&lt;span class="w"&gt;&lt;b&gt;【181.complex：複雑な】&lt;/b&gt;&lt;/span&gt;
&lt;span class="ml"&gt;ラテン語に由来する語で、以下の2つの要素から成る。
&lt;span class="spacer"&gt;&lt;/span&gt;com（共に）
plectere（編む）
&lt;span class="spacer"&gt;&lt;/span&gt;このまま日本語にすると「共に編む」となる。複数の要素が編み込まれて入り組んでいるイメージから「複雑な」という意味になる。
&lt;div class="sample_image complex"&gt;&lt;/div&gt;&lt;/span&gt;</v>
      </c>
      <c r="W1037" s="13" t="str">
        <f>INDEX($L:$L, MATCH("multiple", $B:$B, 0))</f>
        <v>&lt;span class="w"&gt;&lt;b&gt;【479.multiple：多様な】&lt;/b&gt;&lt;/span&gt;
&lt;span class="ml"&gt;ラテン語に由来する語で、以下の2つの要素から成る。
&lt;span class="spacer"&gt;&lt;/span&gt;multi（多数の）
plus（n倍, n重）
&lt;span class="spacer"&gt;&lt;/span&gt;このまま日本語にすると「多重の」となる。たくさん折り重なっているイメージから「多様な」という意味になる。
&lt;span class="spacer"&gt;&lt;/span&gt;-plus（n倍の, n重の）はラテン語plicare（折る, 重ねる）と関係がある。折り重ねることからn重という意味になる。ラテン語-plusは、以下の英語にも見られる。
&lt;span class="spacer"&gt;&lt;/span&gt;double（2倍, 2重）
dou（2）ble（-plus）
&lt;span class="spacer"&gt;&lt;/span&gt;triple（3倍, 3重）
tri（3）ple（-plus）&lt;/span&gt;</v>
      </c>
      <c r="AU1037" s="15"/>
      <c r="AV1037" s="1" t="s">
        <v>38</v>
      </c>
      <c r="BG1037" s="7" t="s">
        <v>1242</v>
      </c>
      <c r="BH1037" s="1" t="s">
        <v>1947</v>
      </c>
      <c r="BI1037" s="2" t="s">
        <v>5450</v>
      </c>
      <c r="BJ1037" s="1" t="s">
        <v>1877</v>
      </c>
      <c r="BK1037" s="2" t="s">
        <v>5451</v>
      </c>
    </row>
    <row r="1038" spans="1:69" ht="162" x14ac:dyDescent="0.45">
      <c r="A1038" s="5">
        <v>1037</v>
      </c>
      <c r="B1038" s="6" t="s">
        <v>776</v>
      </c>
      <c r="C1038" s="6" t="s">
        <v>1816</v>
      </c>
      <c r="D1038" s="7" t="s">
        <v>9752</v>
      </c>
      <c r="E1038" s="1" t="s">
        <v>776</v>
      </c>
      <c r="F1038" s="1"/>
      <c r="G1038" s="1"/>
      <c r="J1038" s="1" t="s">
        <v>9753</v>
      </c>
      <c r="K1038" s="1" t="s">
        <v>9418</v>
      </c>
      <c r="L1038" s="2" t="s">
        <v>9419</v>
      </c>
      <c r="P1038" s="7" t="s">
        <v>1241</v>
      </c>
      <c r="AV1038" s="1" t="s">
        <v>38</v>
      </c>
      <c r="BG1038" s="7" t="s">
        <v>1242</v>
      </c>
      <c r="BH1038" s="1" t="s">
        <v>1872</v>
      </c>
      <c r="BI1038" s="1" t="s">
        <v>5452</v>
      </c>
      <c r="BJ1038" s="1" t="s">
        <v>1875</v>
      </c>
      <c r="BK1038" s="2" t="s">
        <v>5453</v>
      </c>
      <c r="BL1038" s="1" t="s">
        <v>1877</v>
      </c>
      <c r="BM1038" s="2" t="s">
        <v>5454</v>
      </c>
    </row>
    <row r="1039" spans="1:69" ht="144" x14ac:dyDescent="0.45">
      <c r="A1039" s="5">
        <v>1038</v>
      </c>
      <c r="B1039" s="8" t="s">
        <v>777</v>
      </c>
      <c r="C1039" s="6" t="s">
        <v>1816</v>
      </c>
      <c r="D1039" s="7" t="s">
        <v>9752</v>
      </c>
      <c r="E1039" s="1" t="s">
        <v>1325</v>
      </c>
      <c r="F1039" s="1" t="s">
        <v>4275</v>
      </c>
      <c r="G1039" s="1"/>
      <c r="J1039" s="1" t="s">
        <v>9753</v>
      </c>
      <c r="L1039" s="3" t="s">
        <v>10648</v>
      </c>
      <c r="M1039" s="1" t="s">
        <v>12126</v>
      </c>
      <c r="P1039" s="7" t="s">
        <v>1241</v>
      </c>
      <c r="Q1039" s="13" t="str">
        <f>INDEX($L:$L, MATCH("exist", $B:$B, 0))</f>
        <v>&lt;span class="w"&gt;&lt;b&gt;【33.exist：存在する】&lt;/b&gt;&lt;/span&gt;
&lt;span class="ml"&gt;ラテン語に由来する語で、以下の2つの要素から成る。
&lt;span class="spacer"&gt;&lt;/span&gt;ex（外に）
sistere（立たせる）
&lt;span class="spacer"&gt;&lt;/span&gt;このまま日本語にすると「外側に立たせる」となる。見えないところから外側に出て立たせる。その結果、目の前に現れて「存在する」という意味になる。
&lt;div class="sample_image exist"&gt;&lt;/div&gt;&lt;/span&gt;</v>
      </c>
      <c r="R1039" s="13" t="str">
        <f>INDEX($L:$L, MATCH("resist", $B:$B, 0))</f>
        <v>&lt;span class="w"&gt;&lt;b&gt;【727.resist：〜に抵抗する】&lt;/b&gt;&lt;/span&gt;
&lt;span class="ml"&gt;ラテン語に由来する語で、以下の2つの要素から成る。
&lt;span class="spacer"&gt;&lt;/span&gt;re（対して）
sistere（立たせる）
&lt;span class="spacer"&gt;&lt;/span&gt;このまま日本語にすると「何かに対して立たせる」となる。これは、向かってくる力に対して立ち向かうというイメージで、そこから「抵抗する」という意味になる。
&lt;div class="sample_image resist"&gt;&lt;/div&gt;&lt;/span&gt;</v>
      </c>
      <c r="S1039" s="13" t="str">
        <f>INDEX($L:$L, MATCH("assist", $B:$B, 0))</f>
        <v>&lt;span class="w"&gt;&lt;b&gt;【730.assist：〜を援助する, 〜を手伝う】&lt;/b&gt;&lt;/span&gt;
&lt;span class="ml"&gt;ラテン語に由来する語で、以下の2つの要素から成る。
&lt;span class="spacer"&gt;&lt;/span&gt;ad（〜へ）
sistere（立たせる）
&lt;span class="spacer"&gt;&lt;/span&gt;このまま日本語にすると「〜のそばへ立たせる」となる。これは、物理的に相手の隣に立つということから、相手を支える＝「手伝う, 支援する」という意味になった。&lt;/span&gt;</v>
      </c>
      <c r="T1039" s="13" t="str">
        <f>INDEX($L:$L, MATCH("insist", $B:$B, 0))</f>
        <v>&lt;span class="w"&gt;&lt;b&gt;【427.insist：主張する】&lt;/b&gt;&lt;/span&gt;
&lt;span class="ml"&gt;ラテン語に由来する語で、以下の2つの要素から成る。
&lt;span class="spacer"&gt;&lt;/span&gt;in（中に, 上に）
sistere（立たせる）
&lt;span class="spacer"&gt;&lt;/span&gt;このまま日本語にすると「上に立たせる」となる。これは、ある場所や立場にしっかり立たせるイメージ。そこから、自分の立場にしっかり立って動かないことを表し、「強く主張する」という意味になる。
&lt;div class="sample_image insist"&gt;&lt;/div&gt;&lt;/span&gt;</v>
      </c>
      <c r="U1039" s="13" t="str">
        <f>INDEX($L:$L, MATCH("consist", $B:$B, 0))</f>
        <v>&lt;span class="w"&gt;&lt;b&gt;【440.consist：(of ~)～から成る, (in ~)～にある】&lt;/b&gt;&lt;/span&gt;
&lt;span class="ml"&gt;ラテン語に由来する語で、以下の2つの要素から成る。
&lt;span class="spacer"&gt;&lt;/span&gt;com（強意）
sistere（立たせる）
&lt;span class="spacer"&gt;&lt;/span&gt;このまま日本語にすると「しっかり立たせる」となる。
&lt;span class="spacer"&gt;&lt;/span&gt;［S consist &lt;strong&gt;of&lt;/strong&gt; A］
これは「Sは、Aがあることでしっかり立っていられる」というイメージ。逆に言えば、AがなければSは成り立たない。そこから、「SはAから成る」という意味になる。
このofは、be made of（〜でできている）と同じ。
&lt;span class="spacer"&gt;&lt;/span&gt;［S consist &lt;strong&gt;in&lt;/strong&gt; A］
これは「Sが、Aの中にしっかり立っている」というイメージ。そこから、「SはA（の中）にある」という意味になる。&lt;/span&gt;</v>
      </c>
      <c r="AU1039" s="15"/>
      <c r="AV1039" s="1" t="s">
        <v>38</v>
      </c>
      <c r="BG1039" s="7" t="s">
        <v>1242</v>
      </c>
      <c r="BH1039" s="1" t="s">
        <v>1947</v>
      </c>
      <c r="BI1039" s="2" t="s">
        <v>5455</v>
      </c>
      <c r="BJ1039" s="1" t="s">
        <v>1996</v>
      </c>
      <c r="BK1039" s="2" t="s">
        <v>5456</v>
      </c>
      <c r="BL1039" s="1" t="s">
        <v>1877</v>
      </c>
      <c r="BM1039" s="2" t="s">
        <v>5457</v>
      </c>
    </row>
    <row r="1040" spans="1:69" ht="144" x14ac:dyDescent="0.45">
      <c r="A1040" s="5">
        <v>1039</v>
      </c>
      <c r="B1040" s="8" t="s">
        <v>778</v>
      </c>
      <c r="C1040" s="6" t="s">
        <v>1816</v>
      </c>
      <c r="D1040" s="7" t="s">
        <v>9752</v>
      </c>
      <c r="E1040" s="1" t="s">
        <v>1327</v>
      </c>
      <c r="F1040" s="1" t="s">
        <v>1386</v>
      </c>
      <c r="G1040" s="1"/>
      <c r="J1040" s="1" t="s">
        <v>9753</v>
      </c>
      <c r="L1040" s="3" t="s">
        <v>10401</v>
      </c>
      <c r="M1040" s="1" t="s">
        <v>12175</v>
      </c>
      <c r="P1040" s="7" t="s">
        <v>1241</v>
      </c>
      <c r="Q1040" s="13" t="str">
        <f>INDEX($L:$L, MATCH("indicate", $B:$B, 0))</f>
        <v>&lt;span class="w"&gt;&lt;b&gt;【203.indicate：～を指し示す, ～を述べる】&lt;/b&gt;&lt;/span&gt;
&lt;span class="ml"&gt;ラテン語に由来する語で、以下の2つの要素から成る。
&lt;span class="spacer"&gt;&lt;/span&gt;in（中に）
dicare（宣言する, 示す）
&lt;span class="spacer"&gt;&lt;/span&gt;このまま日本語にすると「何かの中に向かって示す・宣言する」となる。この「中に向かって」は方向性を、「示す・宣言する」は情報の提示を表す。つまりindicateは対象（目的語）＝情報へ向け、その情報を示す役割をする。
&lt;span class="spacer"&gt;&lt;/span&gt;S indicate Oは、SがOの方向に相手を向けてその情報を示す。
&lt;div class="sample_image indicate"&gt;&lt;/div&gt;&lt;/span&gt;</v>
      </c>
      <c r="R1040" s="13" t="str">
        <f>INDEX($L:$L, MATCH("predict", $B:$B, 0))</f>
        <v>&lt;span class="w"&gt;&lt;b&gt;【301.predict：～を予言する, ～を予測する】&lt;/b&gt;&lt;/span&gt;
&lt;span class="ml"&gt;ラテン語に由来する語で、以下の2つの要素から成る。
&lt;span class="spacer"&gt;&lt;/span&gt;prae（前に, 以前に）
dicere（言う）
&lt;span class="spacer"&gt;&lt;/span&gt;このまま日本語にすると「前に言う」となる。何かが起こる前に言うことから「予言する, 予測する」という意味になる。
&lt;div class="sample_image predict"&gt;&lt;/div&gt;&lt;/span&gt;</v>
      </c>
      <c r="S1040" s="13" t="str">
        <f>INDEX($L:$L, MATCH("contradict", $B:$B, 0))</f>
        <v>&lt;span class="w"&gt;&lt;b&gt;【1412.contradict：〜と矛盾する, 〜と反対の意見を言う】&lt;/b&gt;&lt;/span&gt;
&lt;span class="ml"&gt;ラテン語に由来する語で、以下の2つの要素から成る。
&lt;span class="spacer"&gt;&lt;/span&gt;contra（〜に対して）
dicere（言う, 話す）
&lt;span class="spacer"&gt;&lt;/span&gt;相手に反対して話すことから「反対の意見を言う」という意味に、発言や事実と反対のことを言うことから「矛盾する」という意味になる。
&lt;div class="sample_image contradict"&gt;&lt;/div&gt;&lt;/span&gt;</v>
      </c>
      <c r="T1040" s="13" t="str">
        <f>INDEX($L:$L, MATCH("index", $B:$B, 0))</f>
        <v>&lt;span class="w"&gt;&lt;b&gt;【1272.index：指し示すもの, 指数, 指標, 索引】&lt;/b&gt;&lt;/span&gt;
&lt;span class="ml"&gt;ラテン語に由来する語で、以下の2つの要素から成る。
&lt;span class="spacer"&gt;&lt;/span&gt;in（中に）
dicare（宣言する, 指し示す）
&lt;span class="spacer"&gt;&lt;/span&gt;この語の核は「ある方向に指をさして示し、何かを宣言すること」。この指をさすということから、ラテン語indexは人差し指という意味をもち、英語でも人差し指をindex fingerと呼ぶ。
&lt;span class="spacer"&gt;&lt;/span&gt;この何かを指し示すものという意味から、英語では当初、本の中で特定の情報が何ページに書かれているかを示す「索引」という意味で使われた。さらにそこから、経済やデータなどで、状態や傾向を客観的な数値で指し示す「指数, 指標」という意味にもなった。
例：BMI（Body Mass Index）＝肥満度を示す体格指数&lt;/span&gt;</v>
      </c>
      <c r="U1040" s="13" t="str">
        <f>INDEX($L:$L, MATCH("judge", $B:$B, 0))</f>
        <v>&lt;span class="w"&gt;&lt;b&gt;【310.judge：～を判断する, 判決を下す】&lt;/b&gt;&lt;/span&gt;
&lt;span class="ml"&gt;ラテン語に由来する語で、以下の2つの要素から成る。
&lt;span class="spacer"&gt;&lt;/span&gt;ius（法）
dicere（宣言する, 示す）
&lt;span class="spacer"&gt;&lt;/span&gt;このまま日本語にすると「法を宣言する」となる。ここから法を宣言する人＝裁判官という意味を経て「判決を下す」という意味になる。また法とは関係なく、自分で考えて「判断する」となる。&lt;/span&gt;</v>
      </c>
      <c r="V1040" s="13" t="str">
        <f>INDEX($L:$L, MATCH("prejudice", $B:$B, 0))</f>
        <v>&lt;span class="w"&gt;&lt;b&gt;【768.prejudice：偏見】&lt;/b&gt;&lt;/span&gt;
&lt;span class="ml"&gt;ラテン語に由来する語で、以下の2つの要素から成る。
&lt;span class="spacer"&gt;&lt;/span&gt;prae（前もって）
iudexから派生したiudicium（判断）
&lt;span class="spacer"&gt;&lt;/span&gt;このまま日本語にすると「前もって行われる判断」となる。そこから先入観となり、特に否定的な意味での「偏見」という意味になった。
&lt;span class="spacer"&gt;&lt;/span&gt;ラテン語iudexはjudgeの語源でもある。そのためprejudiceは、前もって（pre）行われるジャッジ（判断）というイメージで覚えればよい。&lt;/span&gt;</v>
      </c>
      <c r="AU1040" s="15"/>
      <c r="AV1040" s="1" t="s">
        <v>38</v>
      </c>
      <c r="BG1040" s="7" t="s">
        <v>1242</v>
      </c>
      <c r="BH1040" s="1" t="s">
        <v>1947</v>
      </c>
      <c r="BI1040" s="2" t="s">
        <v>5458</v>
      </c>
      <c r="BJ1040" s="1" t="s">
        <v>1875</v>
      </c>
      <c r="BK1040" s="2" t="s">
        <v>5459</v>
      </c>
      <c r="BL1040" s="1" t="s">
        <v>1877</v>
      </c>
      <c r="BM1040" s="2" t="s">
        <v>5460</v>
      </c>
    </row>
    <row r="1041" spans="1:69" ht="126" x14ac:dyDescent="0.45">
      <c r="A1041" s="5">
        <v>1040</v>
      </c>
      <c r="B1041" s="6" t="s">
        <v>779</v>
      </c>
      <c r="C1041" s="6" t="s">
        <v>1816</v>
      </c>
      <c r="D1041" s="7" t="s">
        <v>9752</v>
      </c>
      <c r="E1041" s="6" t="s">
        <v>779</v>
      </c>
      <c r="F1041" s="1"/>
      <c r="G1041" s="1"/>
      <c r="J1041" s="1" t="s">
        <v>9753</v>
      </c>
      <c r="K1041" s="2" t="s">
        <v>9420</v>
      </c>
      <c r="L1041" s="3" t="s">
        <v>10425</v>
      </c>
      <c r="P1041" s="7" t="s">
        <v>1241</v>
      </c>
      <c r="AU1041" s="15"/>
      <c r="AV1041" s="1" t="s">
        <v>38</v>
      </c>
      <c r="BG1041" s="7" t="s">
        <v>1242</v>
      </c>
      <c r="BH1041" s="1" t="s">
        <v>2110</v>
      </c>
      <c r="BI1041" s="2" t="s">
        <v>5461</v>
      </c>
      <c r="BJ1041" s="1" t="s">
        <v>1959</v>
      </c>
      <c r="BK1041" s="2" t="s">
        <v>5462</v>
      </c>
      <c r="BL1041" s="1" t="s">
        <v>1996</v>
      </c>
      <c r="BM1041" s="1" t="s">
        <v>5463</v>
      </c>
      <c r="BN1041" s="1" t="s">
        <v>1877</v>
      </c>
      <c r="BO1041" s="2" t="s">
        <v>5464</v>
      </c>
    </row>
    <row r="1042" spans="1:69" ht="234" x14ac:dyDescent="0.45">
      <c r="A1042" s="5">
        <v>1041</v>
      </c>
      <c r="B1042" s="8" t="s">
        <v>780</v>
      </c>
      <c r="C1042" s="6" t="s">
        <v>6850</v>
      </c>
      <c r="D1042" s="7" t="s">
        <v>9752</v>
      </c>
      <c r="E1042" s="1" t="s">
        <v>1338</v>
      </c>
      <c r="F1042" s="1" t="s">
        <v>5465</v>
      </c>
      <c r="G1042" s="1"/>
      <c r="J1042" s="1" t="s">
        <v>9753</v>
      </c>
      <c r="L1042" s="3" t="s">
        <v>9449</v>
      </c>
      <c r="M1042" s="1" t="s">
        <v>12214</v>
      </c>
      <c r="P1042" s="7" t="s">
        <v>1241</v>
      </c>
      <c r="Q1042" s="13" t="str">
        <f>INDEX($L:$L, MATCH("mission", $B:$B, 0))</f>
        <v>&lt;span class="w"&gt;&lt;b&gt;【744.mission：使命, （外交）使節団, 布教】&lt;/b&gt;&lt;/span&gt;
&lt;span class="ml"&gt;ラテン語に由来する語で、以下の2つの要素から成る。
&lt;span class="spacer"&gt;&lt;/span&gt;mittere（送る）
io（名詞化）
&lt;span class="spacer"&gt;&lt;/span&gt;このまま日本語にすると「送ること」となり、この語の核は「派遣」。宗教活動での派遣なら「布教」、商業や政治での派遣なら「使節団」という意味になる。また派遣には目的や任務があるため、そこから一般的に「使命」という意味になる。&lt;/span&gt;</v>
      </c>
      <c r="R1042" s="13" t="str">
        <f>INDEX($L:$L, MATCH("dismiss", $B:$B, 0))</f>
        <v>&lt;span class="w"&gt;&lt;b&gt;【1114.dismiss：（意見など）を退ける, 〜を解雇する】&lt;/b&gt;&lt;/span&gt;
&lt;span class="ml"&gt;ラテン語に由来する語で、以下の2つの要素から成る。
&lt;span class="spacer"&gt;&lt;/span&gt;dis（離れて）
mittere（送る, 放つ）
&lt;span class="spacer"&gt;&lt;/span&gt;この語の核は「離れたところへ送る」。いまある場所から離れたところへ送るイメージから、いまの職から「解雇する」、考えなどを「退ける」という意味になる。
&lt;div class="sample_image dismiss"&gt;&lt;/div&gt;&lt;/span&gt;</v>
      </c>
      <c r="S1042" s="13" t="str">
        <f>INDEX($L:$L, MATCH("compromise", $B:$B, 0))</f>
        <v>&lt;span class="w"&gt;&lt;b&gt;【1136.compromise：妥協する, 〜を危うくする】&lt;/b&gt;&lt;/span&gt;
&lt;span class="ml"&gt;ラテン語に由来する語で、以下の2つの要素から成る。
&lt;span class="spacer"&gt;&lt;/span&gt;com（共に）
pro（前へ）
mittere（送る）
&lt;span class="spacer"&gt;&lt;/span&gt;この語の核は「共に約束する（前もって言葉を送る）」。もともとはAとBが争っているときに、2人とも第三者の仲裁者Cの決定に従おうと約束することを表した。AとBはお互いが納得いくところで争いに決着をつけることから「妥協する」という意味になった。
&lt;span class="spacer"&gt;&lt;/span&gt;また、第三者の決定に従うということは、結果がその仲裁者次第となってしまう。そうすると自身に不利な結果になる可能性があり、リスクを背負うことになるので「危うくする」という意味にもなった。&lt;/span&gt;</v>
      </c>
      <c r="T1042" s="13" t="str">
        <f>INDEX($L:$L, MATCH("mess", $B:$B, 0))</f>
        <v>&lt;span class="w"&gt;&lt;b&gt;【1170.mess：散らかった状態, 混乱状態】&lt;/b&gt;&lt;/span&gt;
&lt;span class="ml"&gt;ラテン語mittere（送る, 放つ, 置く）の過去分詞missus（置かれたもの）に由来する。これはmissionやmessageと同じ語源。
&lt;span class="spacer"&gt;&lt;/span&gt;ラテン語ではもともと、どこかに置かれたものという意味。そこから、食卓に置かれた1人分の食事、同じ食卓で集まって食事をする人々、その人たちが残した食べ物をひとつに集めたもの（ごちゃ混ぜの残飯）へと意味が発展した。
&lt;span class="spacer"&gt;&lt;/span&gt;この残飯のぐちゃぐちゃの状態が、部屋などが「散らかった状態」という意味や、人間関係のトラブルや事態の収拾がつかない「混乱状態」という意味になった。
&lt;div class="sample_image mess"&gt;&lt;/div&gt;&lt;/span&gt;</v>
      </c>
      <c r="AU1042" s="15"/>
      <c r="AV1042" s="1" t="s">
        <v>38</v>
      </c>
      <c r="BG1042" s="7" t="s">
        <v>1242</v>
      </c>
      <c r="BH1042" s="1" t="s">
        <v>1947</v>
      </c>
      <c r="BI1042" s="2" t="s">
        <v>5466</v>
      </c>
      <c r="BJ1042" s="1" t="s">
        <v>1967</v>
      </c>
      <c r="BK1042" s="1" t="s">
        <v>5467</v>
      </c>
      <c r="BL1042" s="1" t="s">
        <v>1959</v>
      </c>
      <c r="BM1042" s="2" t="s">
        <v>5468</v>
      </c>
      <c r="BN1042" s="1" t="s">
        <v>1875</v>
      </c>
      <c r="BO1042" s="2" t="s">
        <v>5469</v>
      </c>
      <c r="BP1042" s="1" t="s">
        <v>1877</v>
      </c>
      <c r="BQ1042" s="2" t="s">
        <v>5470</v>
      </c>
    </row>
    <row r="1043" spans="1:69" ht="108" x14ac:dyDescent="0.45">
      <c r="A1043" s="5">
        <v>1042</v>
      </c>
      <c r="B1043" s="6" t="s">
        <v>781</v>
      </c>
      <c r="C1043" s="6" t="s">
        <v>6850</v>
      </c>
      <c r="D1043" s="7" t="s">
        <v>9752</v>
      </c>
      <c r="E1043" s="1" t="s">
        <v>27</v>
      </c>
      <c r="F1043" s="1" t="s">
        <v>5471</v>
      </c>
      <c r="G1043" s="1"/>
      <c r="J1043" s="1" t="s">
        <v>9753</v>
      </c>
      <c r="L1043" s="2" t="s">
        <v>9423</v>
      </c>
      <c r="P1043" s="7" t="s">
        <v>1241</v>
      </c>
      <c r="Q1043" s="13" t="str">
        <f>INDEX($L:$L, MATCH("output", $B:$B, 0))</f>
        <v>&lt;span class="w"&gt;&lt;b&gt;【1144.output：生産（量）, 排出（量）, 出力】&lt;/b&gt;&lt;/span&gt;
&lt;span class="ml"&gt;近代英語にさかのぼり、以下の2つの要素から成る。
&lt;span class="spacer"&gt;&lt;/span&gt;out（外へ）
put（置く, 出す）
&lt;span class="spacer"&gt;&lt;/span&gt;このまま日本語にすると「外に出すこと」となる。そこから「生産（量）, 排出（量）, 出力」などの意味になった。日本語訳は文脈に合わせればよい。&lt;/span&gt;</v>
      </c>
      <c r="AU1043" s="15"/>
      <c r="AV1043" s="1" t="s">
        <v>38</v>
      </c>
      <c r="BG1043" s="7" t="s">
        <v>1242</v>
      </c>
      <c r="BH1043" s="1" t="s">
        <v>1877</v>
      </c>
      <c r="BI1043" s="2" t="s">
        <v>5472</v>
      </c>
      <c r="BJ1043" s="1" t="s">
        <v>3496</v>
      </c>
      <c r="BK1043" s="2" t="s">
        <v>5473</v>
      </c>
    </row>
    <row r="1044" spans="1:69" ht="162" x14ac:dyDescent="0.45">
      <c r="A1044" s="5">
        <v>1043</v>
      </c>
      <c r="B1044" s="6" t="s">
        <v>782</v>
      </c>
      <c r="C1044" s="6" t="s">
        <v>6850</v>
      </c>
      <c r="D1044" s="7" t="s">
        <v>9752</v>
      </c>
      <c r="E1044" s="6" t="s">
        <v>782</v>
      </c>
      <c r="F1044" s="1"/>
      <c r="G1044" s="1"/>
      <c r="J1044" s="1" t="s">
        <v>9753</v>
      </c>
      <c r="L1044" s="2" t="s">
        <v>9424</v>
      </c>
      <c r="P1044" s="7" t="s">
        <v>1241</v>
      </c>
      <c r="AU1044" s="15"/>
      <c r="AV1044" s="1" t="s">
        <v>38</v>
      </c>
      <c r="BG1044" s="7" t="s">
        <v>1242</v>
      </c>
      <c r="BH1044" s="1" t="s">
        <v>1947</v>
      </c>
      <c r="BI1044" s="2" t="s">
        <v>5474</v>
      </c>
      <c r="BJ1044" s="1" t="s">
        <v>1959</v>
      </c>
      <c r="BK1044" s="1" t="s">
        <v>5475</v>
      </c>
      <c r="BL1044" s="1" t="s">
        <v>1875</v>
      </c>
      <c r="BM1044" s="2" t="s">
        <v>5476</v>
      </c>
    </row>
    <row r="1045" spans="1:69" ht="180" x14ac:dyDescent="0.45">
      <c r="A1045" s="5">
        <v>1044</v>
      </c>
      <c r="B1045" s="6" t="s">
        <v>783</v>
      </c>
      <c r="C1045" s="6" t="s">
        <v>6850</v>
      </c>
      <c r="D1045" s="7" t="s">
        <v>9752</v>
      </c>
      <c r="E1045" s="1" t="s">
        <v>1498</v>
      </c>
      <c r="F1045" s="1" t="s">
        <v>5477</v>
      </c>
      <c r="G1045" s="1"/>
      <c r="J1045" s="1" t="s">
        <v>9753</v>
      </c>
      <c r="K1045" s="2" t="s">
        <v>9425</v>
      </c>
      <c r="L1045" s="2" t="s">
        <v>9426</v>
      </c>
      <c r="P1045" s="7" t="s">
        <v>1241</v>
      </c>
      <c r="Q1045" s="13" t="str">
        <f>INDEX($L:$L, MATCH("empathy", $B:$B, 0))</f>
        <v>&lt;span class="w"&gt;&lt;b&gt;【1141.empathy：感情移入, 共感】&lt;/b&gt;&lt;/span&gt;
&lt;span class="ml"&gt;ギリシャ語をもとに造られた語で、以下の2つの要素から成る。
&lt;span class="spacer"&gt;&lt;/span&gt;en（中に）
pathos（感情）
&lt;span class="spacer"&gt;&lt;/span&gt;この語の核は「対象の中に感情を入れる」。ここから「感情移入, 共感」という意味になる。telepathy（テレパシー）やsympathy（シンパシー）と同じ。&lt;/span&gt;</v>
      </c>
      <c r="AU1045" s="15"/>
      <c r="AV1045" s="1" t="s">
        <v>38</v>
      </c>
      <c r="BG1045" s="7" t="s">
        <v>1242</v>
      </c>
      <c r="BH1045" s="1" t="s">
        <v>2458</v>
      </c>
      <c r="BI1045" s="2" t="s">
        <v>5478</v>
      </c>
      <c r="BJ1045" s="1" t="s">
        <v>2036</v>
      </c>
      <c r="BK1045" s="1" t="s">
        <v>5479</v>
      </c>
      <c r="BL1045" s="1" t="s">
        <v>1996</v>
      </c>
      <c r="BM1045" s="2" t="s">
        <v>5480</v>
      </c>
      <c r="BN1045" s="1" t="s">
        <v>1877</v>
      </c>
      <c r="BO1045" s="2" t="s">
        <v>5481</v>
      </c>
    </row>
    <row r="1046" spans="1:69" ht="198" x14ac:dyDescent="0.45">
      <c r="A1046" s="5">
        <v>1045</v>
      </c>
      <c r="B1046" s="6" t="s">
        <v>784</v>
      </c>
      <c r="C1046" s="6" t="s">
        <v>6850</v>
      </c>
      <c r="D1046" s="7" t="s">
        <v>9752</v>
      </c>
      <c r="E1046" s="1" t="s">
        <v>1467</v>
      </c>
      <c r="F1046" s="1" t="s">
        <v>9427</v>
      </c>
      <c r="G1046" s="1" t="s">
        <v>1517</v>
      </c>
      <c r="J1046" s="1" t="s">
        <v>9753</v>
      </c>
      <c r="K1046" s="1" t="s">
        <v>9428</v>
      </c>
      <c r="L1046" s="3" t="s">
        <v>9450</v>
      </c>
      <c r="M1046" s="1" t="s">
        <v>12130</v>
      </c>
      <c r="P1046" s="7" t="s">
        <v>1241</v>
      </c>
      <c r="Q1046" s="13" t="str">
        <f>INDEX($L:$L, MATCH("supply", $B:$B, 0))</f>
        <v>&lt;span class="w"&gt;&lt;b&gt;【120.supply：～を供給する】&lt;/b&gt;&lt;/span&gt;
&lt;span class="ml"&gt;ラテン語に由来する語で、以下の2つの要素から成る。
&lt;span class="spacer"&gt;&lt;/span&gt;sub（下から）
plere（満たす）
&lt;span class="spacer"&gt;&lt;/span&gt;このまま日本語にすると「下から満たす」となる。減った分を下から補充して満たしていくイメージから、必要なものを「供給する」という意味になる。
&lt;div class="sample_image supply"&gt;&lt;/div&gt;
&lt;span class="spacer"&gt;&lt;/span&gt;supplyは不足している物資・資源・商品・エネルギーなどの補給で、ルートや方法が体系的に決まっているイメージ。&lt;/span&gt;</v>
      </c>
      <c r="R1046" s="13" t="str">
        <f>INDEX($L:$L, MATCH("supplement", $B:$B, 0))</f>
        <v>&lt;span class="w"&gt;&lt;b&gt;【1158.supplement：サプリメント, 栄養補助剤, 補足】&lt;/b&gt;&lt;/span&gt;
&lt;span class="ml"&gt;ラテン語に由来する語で、以下の3つの要素から成る。
&lt;span class="spacer"&gt;&lt;/span&gt;sub（下から上へ）
plere（満たす）
mentum（名詞化）
&lt;span class="spacer"&gt;&lt;/span&gt;このまま日本語にすると「満たすもの」となる。そこから足りない部分を満たす「サプリメント, 補足」という意味になった。&lt;/span&gt;</v>
      </c>
      <c r="S1046" s="13" t="str">
        <f>INDEX($L:$L, MATCH("implement", $B:$B, 0))</f>
        <v>&lt;span class="w"&gt;&lt;b&gt;【1238.implement：〜を実行する, 〜を実施する】&lt;/b&gt;&lt;/span&gt;
&lt;span class="ml"&gt;ラテン語に由来する語で、以下の2つの要素から成る。
&lt;span class="spacer"&gt;&lt;/span&gt;in（中に）
plere（満たす）
&lt;span class="spacer"&gt;&lt;/span&gt;このまま日本語にすると「中に満たす」となる。目的の達成や作業の完了のために必要なことを満たす、というイメージから、何かを行うための「道具, 手段」という名詞になった。
&lt;span class="spacer"&gt;&lt;/span&gt;そこから動詞になって、ある目的のための手段を「実行する, 実施する」という意味になった。
&lt;div class="sample_image implement"&gt;&lt;/div&gt;&lt;/span&gt;</v>
      </c>
      <c r="T1046" s="13" t="str">
        <f>INDEX($L:$L, MATCH("complete", $B:$B, 0))</f>
        <v>&lt;span class="w"&gt;&lt;b&gt;【40.complete：～を完成させる】&lt;/b&gt;&lt;/span&gt;
&lt;span class="ml"&gt;ラテン語に由来する語で、以下の2つの要素から成る。
&lt;span class="spacer"&gt;&lt;/span&gt;com（強意）
plere（満たす）
&lt;span class="spacer"&gt;&lt;/span&gt;このまま日本語にすると「完全に満たす」となる。不足や欠陥などが一切なく完全に満たすイメージから「完成させる」という意味になる。&lt;/span&gt;</v>
      </c>
      <c r="U1046" s="13" t="str">
        <f>INDEX($L:$L, MATCH("accomplish", $B:$B, 0))</f>
        <v>&lt;span class="w"&gt;&lt;b&gt;【740.accomplish：〜を成し遂げる, 〜を達成する】&lt;/b&gt;&lt;/span&gt;
&lt;span class="ml"&gt;ラテン語に由来する語で、以下の3つの要素から成る。
&lt;span class="spacer"&gt;&lt;/span&gt;ad（〜へ）
com（強意）
plere（満たす）
&lt;span class="spacer"&gt;&lt;/span&gt;このまま日本語にすると「〜へ完全に満たす」となる。物理的に何かを完全に満たすことから発展して、最後までやり切って目標を果たす、つまり「成し遂げる, 達成する」という意味になる。&lt;/span&gt;</v>
      </c>
      <c r="AU1046" s="15"/>
      <c r="AV1046" s="1" t="s">
        <v>38</v>
      </c>
      <c r="BG1046" s="7" t="s">
        <v>1242</v>
      </c>
      <c r="BH1046" s="1" t="s">
        <v>1947</v>
      </c>
      <c r="BI1046" s="2" t="s">
        <v>5482</v>
      </c>
      <c r="BJ1046" s="1" t="s">
        <v>1877</v>
      </c>
      <c r="BK1046" s="2" t="s">
        <v>5483</v>
      </c>
    </row>
    <row r="1047" spans="1:69" ht="126" x14ac:dyDescent="0.45">
      <c r="A1047" s="5">
        <v>1046</v>
      </c>
      <c r="B1047" s="6" t="s">
        <v>785</v>
      </c>
      <c r="C1047" s="6" t="s">
        <v>6850</v>
      </c>
      <c r="D1047" s="7" t="s">
        <v>9752</v>
      </c>
      <c r="E1047" s="1" t="s">
        <v>5484</v>
      </c>
      <c r="F1047" s="1" t="s">
        <v>5485</v>
      </c>
      <c r="G1047" s="1"/>
      <c r="J1047" s="1" t="s">
        <v>9753</v>
      </c>
      <c r="K1047" s="1" t="s">
        <v>5486</v>
      </c>
      <c r="L1047" s="2" t="s">
        <v>9429</v>
      </c>
      <c r="M1047" s="1" t="s">
        <v>12162</v>
      </c>
      <c r="P1047" s="7" t="s">
        <v>1241</v>
      </c>
      <c r="Q1047" s="13" t="str">
        <f>INDEX($L:$L, MATCH("structure", $B:$B, 0))</f>
        <v>&lt;span class="w"&gt;&lt;b&gt;【175.structure：構造, 体系, 構造物】&lt;/b&gt;&lt;/span&gt;
&lt;span class="ml"&gt;ラテン語に由来する語で、以下の2つの要素から成る。
&lt;span class="spacer"&gt;&lt;/span&gt;struere（積み上げる）の過去分詞structus
ura（名詞化）
&lt;span class="spacer"&gt;&lt;/span&gt;このまま日本語にすると「積み上げられたもの」となる。ここから「構造物, 構造, 体系」といった意味になる。
&lt;div class="sample_image structure"&gt;&lt;/div&gt;&lt;/span&gt;</v>
      </c>
      <c r="R1047" s="13" t="str">
        <f>INDEX($L:$L, MATCH("construct", $B:$B, 0))</f>
        <v>&lt;span class="w"&gt;&lt;b&gt;【520.construct：〜を建設する, 〜を構成する】&lt;/b&gt;&lt;/span&gt;
&lt;span class="ml"&gt;ラテン語に由来する語で、以下の2つの要素から成る。
&lt;span class="spacer"&gt;&lt;/span&gt;com（共に）
struere（積み上げる）
&lt;span class="spacer"&gt;&lt;/span&gt;このまま日本語にすると「共に積み上げる」となる。パーツを一緒にして積み上げるイメージから「建設する, 構成する」という意味になる。
&lt;div class="sample_image construct"&gt;&lt;/div&gt;&lt;/span&gt;</v>
      </c>
      <c r="S1047" s="13" t="str">
        <f>INDEX($L:$L, MATCH("instruction", $B:$B, 0))</f>
        <v>&lt;span class="w"&gt;&lt;b&gt;【442.instruction：指示, 使用書】&lt;/b&gt;&lt;/span&gt;
&lt;span class="ml"&gt;ラテン語に由来する語で、以下の2つの要素から成る。
&lt;span class="spacer"&gt;&lt;/span&gt;in（中に）
struere（積み上げる）
&lt;span class="spacer"&gt;&lt;/span&gt;このまま日本語にすると「中に積み上げる」となる。これは、相手の中に知識や方法を積み上げていくイメージ。そこから、何かをするための知識や手順を与えることを表し、「指示, 使用書」という意味になる。&lt;/span&gt;</v>
      </c>
      <c r="T1047" s="13" t="str">
        <f>INDEX($L:$L, MATCH("instrument", $B:$B, 0))</f>
        <v>&lt;span class="w"&gt;&lt;b&gt;【449.instrument：器具, 道具,  楽器】&lt;/b&gt;&lt;/span&gt;
&lt;span class="ml"&gt;ラテン語に由来する語で、以下の3つの要素から成る。
&lt;span class="spacer"&gt;&lt;/span&gt;in（中に）
struere（積み上げる）
mentum（名詞化）
&lt;span class="spacer"&gt;&lt;/span&gt;このまま日本語にすると「中に積み上げるもの」となる。これは、何かを秩序立てて築き上げるための手段というイメージ。そこから、何かを作り上げる・目的を達成するため手段＝「器具, 道具」という意味になり、音楽を作り上げるためのものなら「楽器」という意味になる。
&lt;div class="sample_image instrument"&gt;&lt;/div&gt;&lt;/span&gt;</v>
      </c>
      <c r="U1047" s="13" t="str">
        <f>INDEX($L:$L, MATCH("industry", $B:$B, 0))</f>
        <v>&lt;span class="w"&gt;&lt;b&gt;【143.industry：産業, 勤勉】&lt;/b&gt;&lt;/span&gt;
&lt;span class="ml"&gt;ラテン語に由来する語で、以下の2つの要素から成る。
&lt;span class="spacer"&gt;&lt;/span&gt;indu（中に）
struere（積み上げる, 築く）
&lt;span class="spacer"&gt;&lt;/span&gt;このまま日本語にすると「中に積み上げる」となる。コツコツと努力して積み上げていくイメージから「勤勉」という意味になる。そして「勤勉」から勤勉な労働、仕事、仕事の分野と広がっていき、「産業」という意味になる。&lt;/span&gt;</v>
      </c>
      <c r="V1047" s="13" t="str">
        <f>INDEX($L:$L, MATCH("destroy", $B:$B, 0))</f>
        <v>&lt;span class="w"&gt;&lt;b&gt;【326.destroy：～を破壊する】&lt;/b&gt;&lt;/span&gt;
&lt;span class="ml"&gt;ラテン語に由来する語で、以下の2つの要素から成る。
&lt;span class="spacer"&gt;&lt;/span&gt;de（下へ, 反対）
struere（積み上げる, 築く）
&lt;span class="spacer"&gt;&lt;/span&gt;これは積み上げるの反対なので、積み上げられたものを「破壊する」という意味になる。&lt;/span&gt;</v>
      </c>
      <c r="AU1047" s="15"/>
      <c r="AV1047" s="1" t="s">
        <v>38</v>
      </c>
      <c r="BG1047" s="7" t="s">
        <v>1242</v>
      </c>
      <c r="BH1047" s="1" t="s">
        <v>1996</v>
      </c>
      <c r="BI1047" s="2" t="s">
        <v>5487</v>
      </c>
      <c r="BJ1047" s="1" t="s">
        <v>1877</v>
      </c>
      <c r="BK1047" s="2" t="s">
        <v>5488</v>
      </c>
    </row>
    <row r="1048" spans="1:69" ht="108" x14ac:dyDescent="0.45">
      <c r="A1048" s="5">
        <v>1047</v>
      </c>
      <c r="B1048" s="6" t="s">
        <v>786</v>
      </c>
      <c r="C1048" s="6" t="s">
        <v>6850</v>
      </c>
      <c r="D1048" s="7" t="s">
        <v>9752</v>
      </c>
      <c r="E1048" s="6" t="s">
        <v>786</v>
      </c>
      <c r="F1048" s="1"/>
      <c r="G1048" s="1"/>
      <c r="J1048" s="1" t="s">
        <v>9753</v>
      </c>
      <c r="K1048" s="1" t="s">
        <v>5489</v>
      </c>
      <c r="L1048" s="2" t="s">
        <v>9430</v>
      </c>
      <c r="P1048" s="7" t="s">
        <v>1241</v>
      </c>
      <c r="AV1048" s="1" t="s">
        <v>38</v>
      </c>
      <c r="BG1048" s="7" t="s">
        <v>1242</v>
      </c>
      <c r="BH1048" s="1" t="s">
        <v>1947</v>
      </c>
      <c r="BI1048" s="1" t="s">
        <v>5490</v>
      </c>
      <c r="BJ1048" s="1" t="s">
        <v>1959</v>
      </c>
      <c r="BK1048" s="1" t="s">
        <v>5491</v>
      </c>
      <c r="BL1048" s="1" t="s">
        <v>1875</v>
      </c>
      <c r="BM1048" s="2" t="s">
        <v>5492</v>
      </c>
    </row>
    <row r="1049" spans="1:69" ht="126" x14ac:dyDescent="0.45">
      <c r="A1049" s="5">
        <v>1048</v>
      </c>
      <c r="B1049" s="8" t="s">
        <v>787</v>
      </c>
      <c r="C1049" s="6" t="s">
        <v>6850</v>
      </c>
      <c r="D1049" s="7" t="s">
        <v>9752</v>
      </c>
      <c r="E1049" s="1" t="s">
        <v>1631</v>
      </c>
      <c r="F1049" s="1" t="s">
        <v>121</v>
      </c>
      <c r="G1049" s="1"/>
      <c r="J1049" s="1" t="s">
        <v>9753</v>
      </c>
      <c r="L1049" s="2" t="s">
        <v>9431</v>
      </c>
      <c r="M1049" s="1" t="s">
        <v>12167</v>
      </c>
      <c r="P1049" s="7" t="s">
        <v>1241</v>
      </c>
      <c r="Q1049" s="13" t="str">
        <f>INDEX($L:$L, MATCH("stress", $B:$B, 0))</f>
        <v>&lt;span class="w"&gt;&lt;b&gt;【154.stress：ストレス, 圧力, 強調】&lt;/b&gt;&lt;/span&gt;
&lt;span class="ml"&gt;ラテン語stringere（引き締める）に由来する。
&lt;span class="spacer"&gt;&lt;/span&gt;何かを引き締めるというところから、物理的また精神的にかける力＝「圧力, ストレス」という意味になる。また重要なことを発言するときに言葉を強く発音することがあるが、このような「強調」も意味する。&lt;/span&gt;</v>
      </c>
      <c r="R1049" s="13" t="str">
        <f>INDEX($L:$L, MATCH("strict", $B:$B, 0))</f>
        <v>&lt;span class="w"&gt;&lt;b&gt;【489.strict：厳しい, 厳格な】&lt;/b&gt;&lt;/span&gt;
&lt;span class="ml"&gt;ラテン語stringere（強く引き締める）の過去分詞strictus（引き締められた）に由来する。
&lt;span class="spacer"&gt;&lt;/span&gt;この語の核は「強く引き締める」。何かを強く引き締めるように、きつく制限されて「厳しい, 厳格な」という意味になる。&lt;/span&gt;</v>
      </c>
      <c r="S1049" s="13" t="str">
        <f>INDEX($L:$L, MATCH("district", $B:$B, 0))</f>
        <v>&lt;span class="w"&gt;&lt;b&gt;【665.district：地区, 行政区】&lt;/b&gt;&lt;/span&gt;
&lt;span class="ml"&gt;ラテン語に由来する語で、以下の2つの要素から成る。
&lt;span class="spacer"&gt;&lt;/span&gt;dis（離れて）
stringere（引き締める）
&lt;span class="spacer"&gt;&lt;/span&gt;このまま日本語にすると「引き離す」となる。もともとは、土地の支配者が、違反者を社会から引き離したり、個人の財産を法的に引き離したりすることができる管轄区域を表していた。こうした強制的な支配というニュアンスは、時代が進むにつれて薄まっていき、特定の目的をもった「地区, 行政区」という意味になった。&lt;/span&gt;</v>
      </c>
      <c r="T1049" s="13" t="str">
        <f>INDEX($L:$L, MATCH("restrict", $B:$B, 0))</f>
        <v>&lt;span class="w"&gt;&lt;b&gt;【711.restrict：〜を制限する】&lt;/b&gt;&lt;/span&gt;
&lt;span class="ml"&gt;ラテン語に由来する語で、以下の2つの要素から成る。
&lt;span class="spacer"&gt;&lt;/span&gt;re（後ろへ）
stringere（引っ張る）
&lt;span class="spacer"&gt;&lt;/span&gt;このまま日本語にすると「後ろへ引っ張る」となる。前に出ないようにする、抑制するということから「制限する」という意味になる。&lt;/span&gt;</v>
      </c>
      <c r="U1049" s="13" t="str">
        <f>INDEX($L:$L, MATCH("strain", $B:$B, 0))</f>
        <v>&lt;span class="w"&gt;&lt;b&gt;【1326.strain：〜に負担をかける, 〜を緊張させる】&lt;/b&gt;&lt;/span&gt;
&lt;span class="ml"&gt;ラテン語stringere（きつく引く, 圧縮する）に由来する。
&lt;span class="spacer"&gt;&lt;/span&gt;これは「ひもを限界までギューっと引っ張る」イメージ。きつく引っぱるという物理的な動作から発展して、物だけではなく、精神・能力・金銭状況・人間関係など、さまざまな対象を「緊張させる」、また引っ張りすぎて「負担をかける」という意味になった。&lt;/span&gt;</v>
      </c>
      <c r="AU1049" s="15"/>
      <c r="AV1049" s="1" t="s">
        <v>38</v>
      </c>
      <c r="BG1049" s="7" t="s">
        <v>1242</v>
      </c>
      <c r="BH1049" s="1" t="s">
        <v>1947</v>
      </c>
      <c r="BI1049" s="2" t="s">
        <v>5493</v>
      </c>
      <c r="BJ1049" s="1" t="s">
        <v>2026</v>
      </c>
      <c r="BK1049" s="2" t="s">
        <v>5494</v>
      </c>
      <c r="BL1049" s="1" t="s">
        <v>1959</v>
      </c>
      <c r="BM1049" s="1" t="s">
        <v>5495</v>
      </c>
      <c r="BN1049" s="1" t="s">
        <v>1875</v>
      </c>
      <c r="BO1049" s="2" t="s">
        <v>5496</v>
      </c>
    </row>
    <row r="1050" spans="1:69" ht="144" x14ac:dyDescent="0.45">
      <c r="A1050" s="5">
        <v>1049</v>
      </c>
      <c r="B1050" s="6" t="s">
        <v>788</v>
      </c>
      <c r="C1050" s="6" t="s">
        <v>6850</v>
      </c>
      <c r="D1050" s="7" t="s">
        <v>9752</v>
      </c>
      <c r="E1050" s="1" t="s">
        <v>788</v>
      </c>
      <c r="F1050" s="1"/>
      <c r="G1050" s="1"/>
      <c r="J1050" s="1" t="s">
        <v>9753</v>
      </c>
      <c r="K1050" s="1" t="s">
        <v>5497</v>
      </c>
      <c r="L1050" s="2" t="s">
        <v>9432</v>
      </c>
      <c r="P1050" s="7" t="s">
        <v>1241</v>
      </c>
      <c r="AU1050" s="15"/>
      <c r="AV1050" s="1" t="s">
        <v>38</v>
      </c>
      <c r="BG1050" s="7" t="s">
        <v>1242</v>
      </c>
      <c r="BH1050" s="1" t="s">
        <v>1947</v>
      </c>
      <c r="BI1050" s="2" t="s">
        <v>5498</v>
      </c>
      <c r="BJ1050" s="1" t="s">
        <v>1959</v>
      </c>
      <c r="BK1050" s="2" t="s">
        <v>5499</v>
      </c>
      <c r="BL1050" s="1" t="s">
        <v>1875</v>
      </c>
      <c r="BM1050" s="2" t="s">
        <v>5500</v>
      </c>
    </row>
    <row r="1051" spans="1:69" ht="216" x14ac:dyDescent="0.45">
      <c r="A1051" s="5">
        <v>1050</v>
      </c>
      <c r="B1051" s="6" t="s">
        <v>789</v>
      </c>
      <c r="C1051" s="6" t="s">
        <v>6850</v>
      </c>
      <c r="D1051" s="7" t="s">
        <v>9752</v>
      </c>
      <c r="E1051" s="1" t="s">
        <v>1413</v>
      </c>
      <c r="F1051" s="1" t="s">
        <v>9433</v>
      </c>
      <c r="G1051" s="1" t="s">
        <v>1584</v>
      </c>
      <c r="J1051" s="1" t="s">
        <v>9753</v>
      </c>
      <c r="K1051" s="1" t="s">
        <v>9434</v>
      </c>
      <c r="L1051" s="3" t="s">
        <v>9451</v>
      </c>
      <c r="P1051" s="7" t="s">
        <v>1241</v>
      </c>
      <c r="Q1051" s="13" t="str">
        <f>INDEX($L:$L, MATCH("pedestrian", $B:$B, 0))</f>
        <v>&lt;span class="w"&gt;&lt;b&gt;【971.pedestrian：歩行者】&lt;/b&gt;&lt;/span&gt;
&lt;span class="ml"&gt;ラテン語に由来する語で、以下の2つの要素から成る。
&lt;span class="spacer"&gt;&lt;/span&gt;pes（足）から派生したpedes（歩行者）
&lt;span class="obsolete"&gt;ian（〜する人）は英語段階で付いた&lt;/span&gt;
&lt;span class="spacer"&gt;&lt;/span&gt;この語の核は「足」。馬に乗って行くのではなく、足で行くことから「歩行者」という意味になる。このラテン語からはpedal（ペダル）も生まれている。&lt;/span&gt;</v>
      </c>
      <c r="AU1051" s="15"/>
      <c r="AV1051" s="1" t="s">
        <v>38</v>
      </c>
      <c r="BG1051" s="7" t="s">
        <v>1242</v>
      </c>
      <c r="BH1051" s="1" t="s">
        <v>1947</v>
      </c>
      <c r="BI1051" s="2" t="s">
        <v>9435</v>
      </c>
      <c r="BJ1051" s="1" t="s">
        <v>1959</v>
      </c>
      <c r="BK1051" s="2" t="s">
        <v>5501</v>
      </c>
      <c r="BL1051" s="1" t="s">
        <v>1875</v>
      </c>
      <c r="BM1051" s="2" t="s">
        <v>5502</v>
      </c>
      <c r="BN1051" s="1" t="s">
        <v>1877</v>
      </c>
      <c r="BO1051" s="2" t="s">
        <v>5503</v>
      </c>
    </row>
    <row r="1052" spans="1:69" ht="198" x14ac:dyDescent="0.45">
      <c r="A1052" s="5">
        <v>1051</v>
      </c>
      <c r="B1052" s="6" t="s">
        <v>790</v>
      </c>
      <c r="C1052" s="6" t="s">
        <v>6850</v>
      </c>
      <c r="D1052" s="7" t="s">
        <v>9752</v>
      </c>
      <c r="E1052" s="1" t="s">
        <v>1459</v>
      </c>
      <c r="F1052" s="1" t="s">
        <v>5504</v>
      </c>
      <c r="G1052" s="1" t="s">
        <v>1698</v>
      </c>
      <c r="J1052" s="1" t="s">
        <v>9753</v>
      </c>
      <c r="L1052" s="3" t="s">
        <v>9701</v>
      </c>
      <c r="P1052" s="7" t="s">
        <v>1241</v>
      </c>
      <c r="AU1052" s="15"/>
      <c r="AV1052" s="1" t="s">
        <v>38</v>
      </c>
      <c r="BG1052" s="7" t="s">
        <v>1242</v>
      </c>
      <c r="BH1052" s="1" t="s">
        <v>1976</v>
      </c>
      <c r="BI1052" s="2" t="s">
        <v>5505</v>
      </c>
      <c r="BJ1052" s="1" t="s">
        <v>1947</v>
      </c>
      <c r="BK1052" s="2" t="s">
        <v>9436</v>
      </c>
      <c r="BL1052" s="1" t="s">
        <v>1996</v>
      </c>
      <c r="BM1052" s="2" t="s">
        <v>5506</v>
      </c>
      <c r="BN1052" s="1" t="s">
        <v>1875</v>
      </c>
      <c r="BO1052" s="2" t="s">
        <v>5507</v>
      </c>
    </row>
    <row r="1053" spans="1:69" ht="144" x14ac:dyDescent="0.45">
      <c r="A1053" s="5">
        <v>1052</v>
      </c>
      <c r="B1053" s="6" t="s">
        <v>791</v>
      </c>
      <c r="C1053" s="6" t="s">
        <v>6850</v>
      </c>
      <c r="D1053" s="7" t="s">
        <v>9752</v>
      </c>
      <c r="E1053" s="6" t="s">
        <v>791</v>
      </c>
      <c r="F1053" s="1"/>
      <c r="G1053" s="1"/>
      <c r="J1053" s="1" t="s">
        <v>9753</v>
      </c>
      <c r="L1053" s="2" t="s">
        <v>9437</v>
      </c>
      <c r="P1053" s="7" t="s">
        <v>1241</v>
      </c>
      <c r="AU1053" s="15"/>
      <c r="AV1053" s="1" t="s">
        <v>38</v>
      </c>
      <c r="BG1053" s="7" t="s">
        <v>1242</v>
      </c>
      <c r="BH1053" s="1" t="s">
        <v>1872</v>
      </c>
      <c r="BI1053" s="2" t="s">
        <v>5508</v>
      </c>
      <c r="BJ1053" s="1" t="s">
        <v>1875</v>
      </c>
      <c r="BK1053" s="1" t="s">
        <v>5509</v>
      </c>
      <c r="BL1053" s="1" t="s">
        <v>1877</v>
      </c>
      <c r="BM1053" s="2" t="s">
        <v>5510</v>
      </c>
    </row>
    <row r="1054" spans="1:69" ht="126" x14ac:dyDescent="0.45">
      <c r="A1054" s="5">
        <v>1053</v>
      </c>
      <c r="B1054" s="6" t="s">
        <v>792</v>
      </c>
      <c r="C1054" s="6" t="s">
        <v>6850</v>
      </c>
      <c r="D1054" s="7" t="s">
        <v>9752</v>
      </c>
      <c r="E1054" s="6" t="s">
        <v>792</v>
      </c>
      <c r="F1054" s="1"/>
      <c r="G1054" s="1"/>
      <c r="J1054" s="1" t="s">
        <v>9753</v>
      </c>
      <c r="L1054" s="2" t="s">
        <v>9438</v>
      </c>
      <c r="P1054" s="7" t="s">
        <v>1241</v>
      </c>
      <c r="Q1054" s="13" t="str">
        <f>INDEX($L:$L, MATCH("judge", $B:$B, 0))</f>
        <v>&lt;span class="w"&gt;&lt;b&gt;【310.judge：～を判断する, 判決を下す】&lt;/b&gt;&lt;/span&gt;
&lt;span class="ml"&gt;ラテン語に由来する語で、以下の2つの要素から成る。
&lt;span class="spacer"&gt;&lt;/span&gt;ius（法）
dicere（宣言する, 示す）
&lt;span class="spacer"&gt;&lt;/span&gt;このまま日本語にすると「法を宣言する」となる。ここから法を宣言する人＝裁判官という意味を経て「判決を下す」という意味になる。また法とは関係なく、自分で考えて「判断する」となる。&lt;/span&gt;</v>
      </c>
      <c r="R1054" s="13" t="str">
        <f>INDEX($L:$L, MATCH("prejudice", $B:$B, 0))</f>
        <v>&lt;span class="w"&gt;&lt;b&gt;【768.prejudice：偏見】&lt;/b&gt;&lt;/span&gt;
&lt;span class="ml"&gt;ラテン語に由来する語で、以下の2つの要素から成る。
&lt;span class="spacer"&gt;&lt;/span&gt;prae（前もって）
iudexから派生したiudicium（判断）
&lt;span class="spacer"&gt;&lt;/span&gt;このまま日本語にすると「前もって行われる判断」となる。そこから先入観となり、特に否定的な意味での「偏見」という意味になった。
&lt;span class="spacer"&gt;&lt;/span&gt;ラテン語iudexはjudgeの語源でもある。そのためprejudiceは、前もって（pre）行われるジャッジ（判断）というイメージで覚えればよい。&lt;/span&gt;</v>
      </c>
      <c r="S1054" s="13" t="str">
        <f>INDEX($L:$L, MATCH("justice", $B:$B, 0))</f>
        <v>&lt;span class="w"&gt;&lt;b&gt;【769.justice：公正, 正義, 司法】&lt;/b&gt;&lt;/span&gt;
&lt;span class="ml"&gt;ラテン語ius（法）に由来する。
&lt;span class="spacer"&gt;&lt;/span&gt;この語の核は「法」。法を司る「司法」や、法や道徳に基づく「正義」や「公正」という意味になる。&lt;/span&gt;</v>
      </c>
      <c r="AU1054" s="15"/>
      <c r="AV1054" s="1" t="s">
        <v>38</v>
      </c>
      <c r="BG1054" s="7" t="s">
        <v>1242</v>
      </c>
      <c r="BH1054" s="1" t="s">
        <v>1947</v>
      </c>
      <c r="BI1054" s="2" t="s">
        <v>5511</v>
      </c>
      <c r="BJ1054" s="1" t="s">
        <v>1967</v>
      </c>
      <c r="BK1054" s="1" t="s">
        <v>5512</v>
      </c>
      <c r="BL1054" s="1" t="s">
        <v>1959</v>
      </c>
      <c r="BM1054" s="2" t="s">
        <v>5513</v>
      </c>
      <c r="BN1054" s="1" t="s">
        <v>1875</v>
      </c>
      <c r="BO1054" s="2" t="s">
        <v>5514</v>
      </c>
      <c r="BP1054" s="1" t="s">
        <v>1877</v>
      </c>
      <c r="BQ1054" s="2" t="s">
        <v>5515</v>
      </c>
    </row>
    <row r="1055" spans="1:69" ht="180" x14ac:dyDescent="0.45">
      <c r="A1055" s="5">
        <v>1054</v>
      </c>
      <c r="B1055" s="6" t="s">
        <v>793</v>
      </c>
      <c r="C1055" s="6" t="s">
        <v>6850</v>
      </c>
      <c r="D1055" s="7" t="s">
        <v>9752</v>
      </c>
      <c r="E1055" s="1" t="s">
        <v>5516</v>
      </c>
      <c r="F1055" s="1" t="s">
        <v>1551</v>
      </c>
      <c r="G1055" s="1"/>
      <c r="J1055" s="1" t="s">
        <v>9753</v>
      </c>
      <c r="L1055" s="2" t="s">
        <v>9439</v>
      </c>
      <c r="P1055" s="7" t="s">
        <v>1241</v>
      </c>
      <c r="AU1055" s="15"/>
      <c r="AV1055" s="1" t="s">
        <v>38</v>
      </c>
      <c r="BG1055" s="7" t="s">
        <v>1242</v>
      </c>
      <c r="BH1055" s="1" t="s">
        <v>2458</v>
      </c>
      <c r="BI1055" s="2" t="s">
        <v>5517</v>
      </c>
      <c r="BJ1055" s="1" t="s">
        <v>2036</v>
      </c>
      <c r="BK1055" s="1" t="s">
        <v>5518</v>
      </c>
      <c r="BL1055" s="1" t="s">
        <v>1959</v>
      </c>
      <c r="BM1055" s="2" t="s">
        <v>5519</v>
      </c>
      <c r="BN1055" s="1" t="s">
        <v>1875</v>
      </c>
      <c r="BO1055" s="2" t="s">
        <v>5520</v>
      </c>
      <c r="BP1055" s="1" t="s">
        <v>1877</v>
      </c>
      <c r="BQ1055" s="2" t="s">
        <v>5521</v>
      </c>
    </row>
    <row r="1056" spans="1:69" ht="126" x14ac:dyDescent="0.45">
      <c r="A1056" s="5">
        <v>1055</v>
      </c>
      <c r="B1056" s="8" t="s">
        <v>794</v>
      </c>
      <c r="C1056" s="6" t="s">
        <v>6850</v>
      </c>
      <c r="D1056" s="7" t="s">
        <v>9752</v>
      </c>
      <c r="E1056" s="1" t="s">
        <v>9440</v>
      </c>
      <c r="F1056" s="1" t="s">
        <v>49</v>
      </c>
      <c r="G1056" s="1" t="s">
        <v>1522</v>
      </c>
      <c r="J1056" s="1" t="s">
        <v>9753</v>
      </c>
      <c r="L1056" s="2" t="s">
        <v>9441</v>
      </c>
      <c r="P1056" s="7" t="s">
        <v>1241</v>
      </c>
      <c r="Q1056" s="13" t="str">
        <f>INDEX($L:$L, MATCH("pain", $B:$B, 0))</f>
        <v>&lt;span class="w"&gt;&lt;b&gt;【247.pain：苦痛, 痛み, （painsで）骨折り】&lt;/b&gt;&lt;/span&gt;
&lt;span class="ml"&gt;ギリシャ語poinē（報復, 刑罰）に由来する。
&lt;span class="spacer"&gt;&lt;/span&gt;古代の報復や刑罰による苦しみが、一般的な意味での「苦痛, 痛み」となる。さらにそこから、苦痛を伴いながら何かを行うという「苦労, 骨折り」という意味にもなる。
&lt;span class="spacer"&gt;&lt;/span&gt;&lt;span class="obsolete"&gt;骨折り：努力した割に疲労しか得られなかった「骨折り損のくたびれ儲け」の「骨折り」と同じ意味。&lt;/span&gt;&lt;/span&gt;</v>
      </c>
      <c r="AV1056" s="1" t="s">
        <v>38</v>
      </c>
      <c r="BG1056" s="7" t="s">
        <v>1242</v>
      </c>
      <c r="BH1056" s="1" t="s">
        <v>2458</v>
      </c>
      <c r="BI1056" s="1" t="s">
        <v>5522</v>
      </c>
      <c r="BJ1056" s="1" t="s">
        <v>1947</v>
      </c>
      <c r="BK1056" s="2" t="s">
        <v>5523</v>
      </c>
      <c r="BL1056" s="1" t="s">
        <v>1967</v>
      </c>
      <c r="BM1056" s="2" t="s">
        <v>5524</v>
      </c>
      <c r="BN1056" s="1" t="s">
        <v>1959</v>
      </c>
      <c r="BO1056" s="1" t="s">
        <v>5525</v>
      </c>
      <c r="BP1056" s="1" t="s">
        <v>1877</v>
      </c>
      <c r="BQ1056" s="2" t="s">
        <v>5526</v>
      </c>
    </row>
    <row r="1057" spans="1:69" ht="198" x14ac:dyDescent="0.45">
      <c r="A1057" s="5">
        <v>1056</v>
      </c>
      <c r="B1057" s="6" t="s">
        <v>795</v>
      </c>
      <c r="C1057" s="6" t="s">
        <v>6850</v>
      </c>
      <c r="D1057" s="7" t="s">
        <v>9752</v>
      </c>
      <c r="E1057" s="1" t="s">
        <v>3374</v>
      </c>
      <c r="F1057" s="1" t="s">
        <v>5527</v>
      </c>
      <c r="G1057" s="1" t="s">
        <v>1522</v>
      </c>
      <c r="J1057" s="1" t="s">
        <v>9753</v>
      </c>
      <c r="L1057" s="3" t="s">
        <v>9702</v>
      </c>
      <c r="P1057" s="7" t="s">
        <v>1241</v>
      </c>
      <c r="Q1057" s="13" t="str">
        <f>INDEX($L:$L, MATCH("facility", $B:$B, 0))</f>
        <v>&lt;span class="w"&gt;&lt;b&gt;【459.facility：施設, 設備】&lt;/b&gt;&lt;/span&gt;
&lt;span class="ml"&gt;ラテン語に由来する語で、以下の3つの要素から成る。
&lt;span class="spacer"&gt;&lt;/span&gt;facere（行う, 作る）
ilis（形容詞化）
tas（名詞化）
&lt;span class="spacer"&gt;&lt;/span&gt;この語は「行う」から「行いやすい, 容易な」という形容詞、そして「行いやすいこと, 容易さ」という名詞へと発展した。
&lt;span class="spacer"&gt;&lt;/span&gt;ここから、物事を容易に行える性質や能力を表し、さらにそうした「行いやすさ」を実現するための具体的な手段である「施設・設備」という意味になった。&lt;/span&gt;</v>
      </c>
      <c r="AU1057" s="15"/>
      <c r="AV1057" s="1" t="s">
        <v>38</v>
      </c>
      <c r="BG1057" s="7" t="s">
        <v>1242</v>
      </c>
      <c r="BH1057" s="1" t="s">
        <v>1947</v>
      </c>
      <c r="BI1057" s="2" t="s">
        <v>5528</v>
      </c>
      <c r="BJ1057" s="1" t="s">
        <v>1959</v>
      </c>
      <c r="BK1057" s="1" t="s">
        <v>5529</v>
      </c>
      <c r="BL1057" s="1" t="s">
        <v>1875</v>
      </c>
      <c r="BM1057" s="2" t="s">
        <v>5530</v>
      </c>
      <c r="BN1057" s="1" t="s">
        <v>1877</v>
      </c>
      <c r="BO1057" s="2" t="s">
        <v>5531</v>
      </c>
    </row>
    <row r="1058" spans="1:69" ht="198" x14ac:dyDescent="0.45">
      <c r="A1058" s="5">
        <v>1057</v>
      </c>
      <c r="B1058" s="6" t="s">
        <v>796</v>
      </c>
      <c r="C1058" s="6" t="s">
        <v>6850</v>
      </c>
      <c r="D1058" s="7" t="s">
        <v>9752</v>
      </c>
      <c r="E1058" s="6" t="s">
        <v>796</v>
      </c>
      <c r="F1058" s="1"/>
      <c r="G1058" s="1"/>
      <c r="J1058" s="1" t="s">
        <v>9753</v>
      </c>
      <c r="L1058" s="3" t="s">
        <v>9442</v>
      </c>
      <c r="P1058" s="7" t="s">
        <v>1241</v>
      </c>
      <c r="AV1058" s="1" t="s">
        <v>38</v>
      </c>
      <c r="BG1058" s="7" t="s">
        <v>1242</v>
      </c>
      <c r="BH1058" s="1" t="s">
        <v>2458</v>
      </c>
      <c r="BI1058" s="1" t="s">
        <v>5532</v>
      </c>
      <c r="BJ1058" s="1" t="s">
        <v>1967</v>
      </c>
      <c r="BK1058" s="1" t="s">
        <v>5533</v>
      </c>
      <c r="BL1058" s="1" t="s">
        <v>1877</v>
      </c>
      <c r="BM1058" s="2" t="s">
        <v>5534</v>
      </c>
    </row>
    <row r="1059" spans="1:69" ht="162" x14ac:dyDescent="0.45">
      <c r="A1059" s="5">
        <v>1058</v>
      </c>
      <c r="B1059" s="6" t="s">
        <v>797</v>
      </c>
      <c r="C1059" s="6" t="s">
        <v>6850</v>
      </c>
      <c r="D1059" s="7" t="s">
        <v>9752</v>
      </c>
      <c r="E1059" s="1" t="s">
        <v>9443</v>
      </c>
      <c r="F1059" s="1" t="s">
        <v>1584</v>
      </c>
      <c r="G1059" s="1"/>
      <c r="J1059" s="1" t="s">
        <v>9753</v>
      </c>
      <c r="L1059" s="2" t="s">
        <v>9444</v>
      </c>
      <c r="P1059" s="7" t="s">
        <v>1241</v>
      </c>
      <c r="Q1059" s="13" t="str">
        <f>INDEX($L:$L, MATCH("nurture", $B:$B, 0))</f>
        <v>&lt;span class="w"&gt;&lt;b&gt;【1210.nurture：〜をはぐくむ, 〜を養成する】&lt;/b&gt;&lt;/span&gt;
&lt;span class="ml"&gt;ラテン語nutrire（育てる, 授乳する）に由来する。
&lt;span class="spacer"&gt;&lt;/span&gt;この語の核は「母親が乳飲み子に母乳（栄養）を与える」。もともとは物理的に栄養を与えることを表したが、そこから子どもの育成に限らず能力や計画など、様々なものに愛情や注意を注いで「はぐくむ, 養成する」という意味になった。&lt;/span&gt;</v>
      </c>
      <c r="AU1059" s="15"/>
      <c r="AV1059" s="1" t="s">
        <v>38</v>
      </c>
      <c r="BG1059" s="7" t="s">
        <v>1242</v>
      </c>
      <c r="BH1059" s="1" t="s">
        <v>1947</v>
      </c>
      <c r="BI1059" s="2" t="s">
        <v>5535</v>
      </c>
      <c r="BJ1059" s="1" t="s">
        <v>1959</v>
      </c>
      <c r="BK1059" s="2" t="s">
        <v>5536</v>
      </c>
      <c r="BL1059" s="1" t="s">
        <v>1877</v>
      </c>
      <c r="BM1059" s="2" t="s">
        <v>5537</v>
      </c>
    </row>
    <row r="1060" spans="1:69" ht="108" x14ac:dyDescent="0.45">
      <c r="A1060" s="5">
        <v>1059</v>
      </c>
      <c r="B1060" s="8" t="s">
        <v>798</v>
      </c>
      <c r="C1060" s="6" t="s">
        <v>6850</v>
      </c>
      <c r="D1060" s="7" t="s">
        <v>9752</v>
      </c>
      <c r="E1060" s="1" t="s">
        <v>5538</v>
      </c>
      <c r="F1060" s="1" t="s">
        <v>3162</v>
      </c>
      <c r="G1060" s="1"/>
      <c r="J1060" s="1" t="s">
        <v>9753</v>
      </c>
      <c r="K1060" s="2"/>
      <c r="L1060" s="2" t="s">
        <v>9445</v>
      </c>
      <c r="M1060" s="1" t="s">
        <v>12138</v>
      </c>
      <c r="P1060" s="7" t="s">
        <v>1241</v>
      </c>
      <c r="Q1060" s="13" t="str">
        <f>INDEX($L:$L, MATCH("proportion", $B:$B, 0))</f>
        <v>&lt;span class="w"&gt;&lt;b&gt;【464.proportion：割合, つり合い, 比例】&lt;/b&gt;&lt;/span&gt;
&lt;span class="ml"&gt;ラテン語に由来する語で、以下の2つの要素から成る。
&lt;span class="spacer"&gt;&lt;/span&gt;pro（〜に対して）
pars（部分）から派生した*portio（部分）
&lt;span class="spacer"&gt;&lt;/span&gt;この二つが合わさることで、「全体や他の要素に対して（pro）、ある部分（portio）がどのような関係にあるか」を表すようになる。
&lt;span class="spacer"&gt;&lt;/span&gt;具体的には、全体と部分、あるいは部分同士の大きさを比較する考え方から、主に以下の3つの意味へと派生した。
&lt;span class="spacer"&gt;&lt;/span&gt;「割合」： 全体と部分の大きさの比較。全体（100）に対して、ある部分（10）なら10％という割合になる。
&lt;span class="spacer"&gt;&lt;/span&gt;「比例」： ある部分と全体・他の部分との比較。ある部分が変化した際、同じ比率で全体や他の部分も連動して変化する。
&lt;span class="spacer"&gt;&lt;/span&gt;「つり合い」： ある部分と全体・他の部分との比較。全体や他の部分に対して、ある部分の大きさやバランスが適切に保たれている状態。
&lt;div class="sample_image proportion"&gt;&lt;/div&gt;&lt;/span&gt;</v>
      </c>
      <c r="R1060" s="13" t="str">
        <f>INDEX($L:$L, MATCH("portion", $B:$B, 0))</f>
        <v>&lt;span class="w"&gt;&lt;b&gt;【869.portion：部分, 1人前, 割り当て】&lt;/b&gt;&lt;/span&gt;
&lt;span class="ml"&gt;ラテン語portio（部分, 分け前）に由来する。
&lt;span class="spacer"&gt;&lt;/span&gt;この語の核は「全体を分けて何かに割り当てた部分」。そこから「1人前, 割り当て, 部分」という意味になる。&lt;/span&gt;</v>
      </c>
      <c r="S1060" s="13" t="str">
        <f>INDEX($L:$L, MATCH("partial", $B:$B, 0))</f>
        <v>&lt;span class="w"&gt;&lt;b&gt;【1491.partial：部分的な, 不公平な】&lt;/b&gt;&lt;/span&gt;
&lt;span class="ml"&gt;ラテン語に由来する語で、以下の2つの要素から成る。
&lt;span class="spacer"&gt;&lt;/span&gt;pars（部分）
alis（形容詞化）
&lt;span class="spacer"&gt;&lt;/span&gt;これはpart（部分）の形容詞として考えればよい。「部分的な」という意味だけではなく、全体的に公平ではなくある一部分に偏っているという発想から「不公平な」という意味にもなる。&lt;/span&gt;</v>
      </c>
      <c r="T1060" s="13" t="str">
        <f>INDEX($L:$L, MATCH("depart", $B:$B, 0))</f>
        <v>&lt;span class="w"&gt;&lt;b&gt;【1415.depart：出発する, それる】&lt;/b&gt;&lt;/span&gt;
&lt;span class="ml"&gt;ラテン語に由来する語で、以下の2つの要素から成る。
&lt;span class="spacer"&gt;&lt;/span&gt;de（〜から）
pars（部分, 分け前）から派生したpartire（分ける）
&lt;span class="spacer"&gt;&lt;/span&gt;このまま日本語にすると「〜から分ける」となる。くっついてまとまっている状態から分かれて離れるイメージ。そこから、今いる場所から離れる＝「出発する」や、本来の流れから「それる」という意味になる。
&lt;div class="sample_image depart"&gt;&lt;/div&gt;&lt;/span&gt;</v>
      </c>
      <c r="U1060" s="13" t="str">
        <f>INDEX($L:$L, MATCH("counterpart", $B:$B, 0))</f>
        <v>&lt;span class="w"&gt;&lt;b&gt;【969.counterpart：相当する物や人】&lt;/b&gt;&lt;/span&gt;
&lt;span class="ml"&gt;フランス語に由来する語で、以下の2つの要素から成る。
&lt;span class="spacer"&gt;&lt;/span&gt;contra（対して）
partie（分けられたもの, 部分, 写し）
&lt;span class="spacer"&gt;&lt;/span&gt;このまま日本語にすると「何かに対応させて分けられたもの」となる。もともとは法的な文書を写して分けたものを表した。法的文書の写しは元の文書と同等のものであることから、一般的な意味に発展し、何かに「相当する物や人」という意味になった。&lt;/span&gt;</v>
      </c>
      <c r="V1060" s="13" t="str">
        <f>INDEX($L:$L, MATCH("particular", $B:$B, 0))</f>
        <v>&lt;span class="w"&gt;&lt;b&gt;【90.particular：特定の, こだわる】&lt;/b&gt;&lt;/span&gt;
&lt;span class="ml"&gt;ラテン語に由来する語で、以下の3つの要素から成る。
&lt;span class="spacer"&gt;&lt;/span&gt;pars（部分：partの語源）
cula（小さいことを表す）
arius（形容詞化）
&lt;span class="spacer"&gt;&lt;/span&gt;このまま日本語にすると「小さな部分の」となる。全体ではなく、ある一部分に目を向けることから、「特定の」という意味になる。また全体ではなく、細かい部分に目がいくということから、「こだわる, 口うるさい」という意味になる。&lt;/span&gt;</v>
      </c>
      <c r="W1060" s="13" t="str">
        <f>INDEX($L:$L, MATCH("article", $B:$B, 0))</f>
        <v>&lt;span class="w"&gt;&lt;b&gt;【65.article：記事, 憲法などの条項, 品物】&lt;/b&gt;&lt;/span&gt;
&lt;span class="ml"&gt;ラテン語に由来する語で、以下の2つの要素から成る。
&lt;span class="spacer"&gt;&lt;/span&gt;artus（関節）
culus（小さいことを表す要素）
&lt;span class="spacer"&gt;&lt;/span&gt;このまま日本語にすると「小さな関節」となる。関節というのは全体を小さなパーツ＝構成要素に分けるもの。ここから次のような意味になる。
&lt;span class="spacer"&gt;&lt;/span&gt;①雑誌全体の構成要素
＝「記事」
②憲法全体の構成要素
＝「条項」
&lt;span class="spacer"&gt;&lt;/span&gt;また盗賊が盗んだ物の一つひとつをarticleと言ったことから「品物」という意味にもなる。&lt;/span&gt;</v>
      </c>
      <c r="X1060" s="13" t="str">
        <f>INDEX($L:$L, MATCH("molecule", $B:$B, 0))</f>
        <v>&lt;span class="w"&gt;&lt;b&gt;【1060.molecule：分子】&lt;/b&gt;&lt;/span&gt;
&lt;span class="ml"&gt;ラテン語に由来する語で、以下の2つの要素から成る。
&lt;span class="spacer"&gt;&lt;/span&gt;moles（塊）
cula（小さいことを表す）
&lt;span class="spacer"&gt;&lt;/span&gt;このまま日本語にすると「小さい塊」となる。近代の化学において、物質の化学的な性質を損なうことなく物質を分割できる最小の単位、つまり「分子」という意味になった。
&lt;div class="sample_image molecule"&gt;&lt;/div&gt;
&lt;span class="spacer"&gt;&lt;/span&gt;H₂OがH₂とOになれば、水という性質を失うことから、原子ではなく分子を意味する。&lt;/span&gt;</v>
      </c>
      <c r="Y1060" s="13" t="str">
        <f>INDEX($L:$L, MATCH("nuclear", $B:$B, 0))</f>
        <v>&lt;span class="w"&gt;&lt;b&gt;【389.nuclear：核の, 原子力の】&lt;/b&gt;&lt;/span&gt;
&lt;span class="ml"&gt;ラテン語に由来する語で、以下の2つの要素から成る。
&lt;span class="spacer"&gt;&lt;/span&gt;nux（ナッツ）
cula（小さいことを表す）
&lt;span class="obsolete"&gt;ar（形容詞化）は英語段階で付いた&lt;/span&gt;
&lt;span class="spacer"&gt;&lt;/span&gt;ナッツの中にある実の部分から比喩的に、何かの中心にある小さな核を表すようになった。そして近代から現代において、細胞核や原子核を指すようになり、「原子力の, 核の」という意味になった。&lt;/span&gt;</v>
      </c>
      <c r="AU1060" s="15"/>
      <c r="AV1060" s="1" t="s">
        <v>38</v>
      </c>
      <c r="BG1060" s="7" t="s">
        <v>1242</v>
      </c>
      <c r="BH1060" s="1" t="s">
        <v>1947</v>
      </c>
      <c r="BI1060" s="2" t="s">
        <v>5539</v>
      </c>
      <c r="BJ1060" s="1" t="s">
        <v>1875</v>
      </c>
      <c r="BK1060" s="2" t="s">
        <v>5540</v>
      </c>
      <c r="BL1060" s="1" t="s">
        <v>1877</v>
      </c>
      <c r="BM1060" s="2" t="s">
        <v>5541</v>
      </c>
      <c r="BN1060" s="1" t="s">
        <v>3496</v>
      </c>
      <c r="BO1060" s="2" t="s">
        <v>5542</v>
      </c>
    </row>
    <row r="1061" spans="1:69" ht="180" x14ac:dyDescent="0.45">
      <c r="A1061" s="5">
        <v>1060</v>
      </c>
      <c r="B1061" s="6" t="s">
        <v>799</v>
      </c>
      <c r="C1061" s="6" t="s">
        <v>6850</v>
      </c>
      <c r="D1061" s="7" t="s">
        <v>9752</v>
      </c>
      <c r="E1061" s="1" t="s">
        <v>5543</v>
      </c>
      <c r="F1061" s="1" t="s">
        <v>5544</v>
      </c>
      <c r="G1061" s="1"/>
      <c r="J1061" s="1" t="s">
        <v>9753</v>
      </c>
      <c r="K1061" s="2"/>
      <c r="L1061" s="3" t="s">
        <v>9452</v>
      </c>
      <c r="M1061" s="1" t="s">
        <v>12138</v>
      </c>
      <c r="P1061" s="7" t="s">
        <v>1241</v>
      </c>
      <c r="Q1061" s="13" t="str">
        <f>INDEX($L:$L, MATCH("article", $B:$B, 0))</f>
        <v>&lt;span class="w"&gt;&lt;b&gt;【65.article：記事, 憲法などの条項, 品物】&lt;/b&gt;&lt;/span&gt;
&lt;span class="ml"&gt;ラテン語に由来する語で、以下の2つの要素から成る。
&lt;span class="spacer"&gt;&lt;/span&gt;artus（関節）
culus（小さいことを表す要素）
&lt;span class="spacer"&gt;&lt;/span&gt;このまま日本語にすると「小さな関節」となる。関節というのは全体を小さなパーツ＝構成要素に分けるもの。ここから次のような意味になる。
&lt;span class="spacer"&gt;&lt;/span&gt;①雑誌全体の構成要素
＝「記事」
②憲法全体の構成要素
＝「条項」
&lt;span class="spacer"&gt;&lt;/span&gt;また盗賊が盗んだ物の一つひとつをarticleと言ったことから「品物」という意味にもなる。&lt;/span&gt;</v>
      </c>
      <c r="R1061" s="13" t="str">
        <f>INDEX($L:$L, MATCH("particle", $B:$B, 0))</f>
        <v>&lt;span class="w"&gt;&lt;b&gt;【1059.particle：（微）粒子, ほんのわずか】&lt;/b&gt;&lt;/span&gt;
&lt;span class="ml"&gt;ラテン語に由来する語で、以下の2つの要素から成る。
&lt;span class="spacer"&gt;&lt;/span&gt;pars（部分）
cula（小さいことを表す）
&lt;span class="spacer"&gt;&lt;/span&gt;このまま日本語にすると「小さい部分」となり、そこから「（微）粒子, ほんのわずか」という意味になった。&lt;/span&gt;</v>
      </c>
      <c r="S1061" s="13" t="str">
        <f>INDEX($L:$L, MATCH("particular", $B:$B, 0))</f>
        <v>&lt;span class="w"&gt;&lt;b&gt;【90.particular：特定の, こだわる】&lt;/b&gt;&lt;/span&gt;
&lt;span class="ml"&gt;ラテン語に由来する語で、以下の3つの要素から成る。
&lt;span class="spacer"&gt;&lt;/span&gt;pars（部分：partの語源）
cula（小さいことを表す）
arius（形容詞化）
&lt;span class="spacer"&gt;&lt;/span&gt;このまま日本語にすると「小さな部分の」となる。全体ではなく、ある一部分に目を向けることから、「特定の」という意味になる。また全体ではなく、細かい部分に目がいくということから、「こだわる, 口うるさい」という意味になる。&lt;/span&gt;</v>
      </c>
      <c r="T1061" s="13" t="str">
        <f>INDEX($L:$L, MATCH("nuclear", $B:$B, 0))</f>
        <v>&lt;span class="w"&gt;&lt;b&gt;【389.nuclear：核の, 原子力の】&lt;/b&gt;&lt;/span&gt;
&lt;span class="ml"&gt;ラテン語に由来する語で、以下の2つの要素から成る。
&lt;span class="spacer"&gt;&lt;/span&gt;nux（ナッツ）
cula（小さいことを表す）
&lt;span class="obsolete"&gt;ar（形容詞化）は英語段階で付いた&lt;/span&gt;
&lt;span class="spacer"&gt;&lt;/span&gt;ナッツの中にある実の部分から比喩的に、何かの中心にある小さな核を表すようになった。そして近代から現代において、細胞核や原子核を指すようになり、「原子力の, 核の」という意味になった。&lt;/span&gt;</v>
      </c>
      <c r="AU1061" s="15"/>
      <c r="AV1061" s="1" t="s">
        <v>38</v>
      </c>
      <c r="BG1061" s="7" t="s">
        <v>1242</v>
      </c>
      <c r="BH1061" s="1" t="s">
        <v>1947</v>
      </c>
      <c r="BI1061" s="2" t="s">
        <v>5545</v>
      </c>
      <c r="BJ1061" s="1" t="s">
        <v>3408</v>
      </c>
      <c r="BK1061" s="2" t="s">
        <v>5546</v>
      </c>
      <c r="BL1061" s="1" t="s">
        <v>1877</v>
      </c>
      <c r="BM1061" s="2" t="s">
        <v>5547</v>
      </c>
    </row>
    <row r="1062" spans="1:69" ht="180" x14ac:dyDescent="0.45">
      <c r="A1062" s="5">
        <v>1061</v>
      </c>
      <c r="B1062" s="6" t="s">
        <v>800</v>
      </c>
      <c r="C1062" s="6" t="s">
        <v>6850</v>
      </c>
      <c r="D1062" s="7" t="s">
        <v>9752</v>
      </c>
      <c r="E1062" s="1" t="s">
        <v>5548</v>
      </c>
      <c r="F1062" s="1" t="s">
        <v>49</v>
      </c>
      <c r="G1062" s="1" t="s">
        <v>1474</v>
      </c>
      <c r="J1062" s="1" t="s">
        <v>9753</v>
      </c>
      <c r="K1062" s="1" t="s">
        <v>5549</v>
      </c>
      <c r="L1062" s="2" t="s">
        <v>9446</v>
      </c>
      <c r="P1062" s="7" t="s">
        <v>1241</v>
      </c>
      <c r="Q1062" s="16" t="str">
        <f>INDEX($L:$L, MATCH("native", $B:$B, 0))</f>
        <v>&lt;span class="w"&gt;&lt;b&gt;【94.native：出生地の, 原生の, 生まれつきの】&lt;/b&gt;&lt;/span&gt;
&lt;span class="ml"&gt;印欧祖語*gene-（生む, 生み出す）から派生したラテン語に由来する語で、以下の2つの要素から成る。
&lt;span class="spacer"&gt;&lt;/span&gt;nasci（生まれる）
ivus（形容詞化）
&lt;span class="spacer"&gt;&lt;/span&gt;「生まれる」が形容詞となって「生まれたままの」＝「生まれつきの」という意味になる。
&lt;span class="spacer"&gt;&lt;/span&gt;また生まれた土地と結びついている＝「出生地の, 原生の」という意味になる。&lt;/span&gt;</v>
      </c>
      <c r="R1062" s="16" t="str">
        <f>INDEX($L:$L, MATCH("innate", $B:$B, 0))</f>
        <v>&lt;span class="w"&gt;&lt;b&gt;【1290.innate：生まれながらの】&lt;/b&gt;&lt;/span&gt;
&lt;span class="ml"&gt;ラテン語に由来する語で、以下の2つの要素から成る。
&lt;span class="spacer"&gt;&lt;/span&gt;in（中に）
nasci（生まれる）
&lt;span class="spacer"&gt;&lt;/span&gt;このまま日本語にすると「〜の中に生まれる」となる。生まれた時からその人やその動物の中にあることを表して「生まれつきの」という意味になる。
&lt;span class="spacer"&gt;&lt;/span&gt;nate部分は、nativeやnatureと同じイメージ。&lt;/span&gt;</v>
      </c>
      <c r="S1062" s="19" t="str">
        <f>INDEX($L:$L, MATCH("gender", $B:$B, 0))</f>
        <v>&lt;span class="w"&gt;&lt;b&gt;【370.gender：社会的/文化的な性, 性別】&lt;/b&gt;&lt;/span&gt;
&lt;span class="ml"&gt;ラテン語genus（種族, 血統, 性別）に由来する。
&lt;span class="spacer"&gt;&lt;/span&gt;もともとは種類や文法上の性を表す言葉だったが、次第に人間の種類を分ける性別として使われるようになる。特に生物学的な性別に対し、「社会/文化的な性」として使われる。たとえば社会・文化における性差別をなくすことをジェンダーの平等と言う。&lt;/span&gt;</v>
      </c>
      <c r="T1062" s="19" t="str">
        <f>INDEX($L:$L, MATCH("generate", $B:$B, 0))</f>
        <v>&lt;span class="w"&gt;&lt;b&gt;【407.generate：〜を生み出す】&lt;/b&gt;&lt;/span&gt;
&lt;span class="ml"&gt;ラテン語genus（種族,  血統, 性別）から派生した動詞generare（生む, 生じさせる）に由来する。
&lt;span class="spacer"&gt;&lt;/span&gt;印欧祖語*gene-（生む, 産む）と同じく「生み出す」という意味になる。
&lt;span class="spacer"&gt;&lt;/span&gt;名詞generationは同時代の種族全体や生むこと自体を表して「世代, 発生」という意味になる。
&lt;span class="spacer"&gt;&lt;/span&gt;形容詞generalは「種族全体に関する」から「一般的な」という意味になる。&lt;/span&gt;</v>
      </c>
      <c r="U1062" s="19" t="str">
        <f>INDEX($L:$L, MATCH("generous", $B:$B, 0))</f>
        <v>&lt;span class="w"&gt;&lt;b&gt;【880.generous：寛大な, 気前のよい】&lt;/b&gt;&lt;/span&gt;
&lt;span class="ml"&gt;ラテン語に由来する語で、以下の2つの要素から成る。
&lt;span class="spacer"&gt;&lt;/span&gt;genus（生まれ, 家系, 血統）
osus（形容詞化：〜に満ちている）
&lt;span class="spacer"&gt;&lt;/span&gt;もともとは、立派な血統に満ちていて高貴な生まれであることを表した。古代や中世には、高貴な人は器が大きく、他者に対して気前よくものを与え、寛大に振る舞うべきであるという価値観があったことから「寛大な, 気前のよい」という意味になった。&lt;/span&gt;</v>
      </c>
      <c r="V1062" s="19" t="str">
        <f>INDEX($L:$L, MATCH("genuine", $B:$B, 0))</f>
        <v>&lt;span class="w"&gt;&lt;b&gt;【888.genuine：本物の, 偽りのない】&lt;/b&gt;&lt;/span&gt;
&lt;span class="ml"&gt;ラテン語に由来する語で、以下の2つの要素から成ると考えられる。
&lt;span class="spacer"&gt;&lt;/span&gt;gignere（生む, 産出する）
inus（形容詞化）
&lt;span class="spacer"&gt;&lt;/span&gt;この語の核は「生まれたまま自然な状態」。後から作られた混ぜ物や偽物ではなく、生まれたままであることを表し、「本物の, 偽りのない」という意味になる。
&lt;span class="spacer"&gt;&lt;/span&gt;また別の語源の説では、ラテン語genu（膝）に由来するという考えもある。
&lt;span class="spacer"&gt;&lt;/span&gt;古代ローマでは、赤ん坊が生まれると、父親がその子を自分の膝の上に置くという伝統的な儀式があった。これは単なるスキンシップではなく、「この子は間違いなく自分の血を引く、正式な子供である」と公に認めるための重要な法的手続きだった。そこから「偽りのない, 本物の」という意味になった。&lt;/span&gt;</v>
      </c>
      <c r="W1062" s="19" t="str">
        <f>INDEX($L:$L, MATCH("keen", $B:$B, 0))</f>
        <v>&lt;span class="w"&gt;&lt;b&gt;【999.keen：熱心な, 鋭い】&lt;/b&gt;&lt;/span&gt;
&lt;span class="ml"&gt;古英語cane（勇敢な, 賢い, 有能な）にさかのぼる。
&lt;span class="spacer"&gt;&lt;/span&gt;この語の核は「一点に向かう鋭さ」。古英語ではもともと、勇敢で有能で賢いという人物の性質を表す語だった。中英語になると、有能つまり頭がキレるということから比喩的に、刃物などが物理的に「鋭い」という意味になった。さらにその一点に集中して尖っている様子から、人の心が一点に集中していることを表し、「熱心な」という意味になった。&lt;/span&gt;</v>
      </c>
      <c r="X1062" s="19" t="str">
        <f>INDEX($L:$L, MATCH("pregnant", $B:$B, 0))</f>
        <v>&lt;span class="w"&gt;&lt;b&gt;【1095.pregnant：妊娠した】&lt;/b&gt;&lt;/span&gt;
&lt;span class="ml"&gt;ラテン語に由来する語で、以下の2つの要素から成る。
&lt;span class="spacer"&gt;&lt;/span&gt;prae（前に）
gnasci（生まれる）
&lt;span class="spacer"&gt;&lt;/span&gt;このまま日本語にすると「生まれる前」となる。そこから子を宿している状態＝「妊娠した」という意味になる。&lt;/span&gt;</v>
      </c>
      <c r="AV1062" s="1" t="s">
        <v>38</v>
      </c>
      <c r="BG1062" s="7" t="s">
        <v>1242</v>
      </c>
      <c r="BH1062" s="1" t="s">
        <v>1976</v>
      </c>
      <c r="BI1062" s="1" t="s">
        <v>5550</v>
      </c>
      <c r="BJ1062" s="1" t="s">
        <v>1947</v>
      </c>
      <c r="BK1062" s="2" t="s">
        <v>5551</v>
      </c>
      <c r="BL1062" s="1" t="s">
        <v>1877</v>
      </c>
      <c r="BM1062" s="2" t="s">
        <v>5552</v>
      </c>
    </row>
    <row r="1063" spans="1:69" ht="126" x14ac:dyDescent="0.45">
      <c r="A1063" s="5">
        <v>1062</v>
      </c>
      <c r="B1063" s="6" t="s">
        <v>801</v>
      </c>
      <c r="C1063" s="6" t="s">
        <v>6850</v>
      </c>
      <c r="D1063" s="7" t="s">
        <v>9752</v>
      </c>
      <c r="E1063" s="1" t="s">
        <v>801</v>
      </c>
      <c r="F1063" s="1"/>
      <c r="G1063" s="1"/>
      <c r="J1063" s="1" t="s">
        <v>9753</v>
      </c>
      <c r="L1063" s="3" t="s">
        <v>9453</v>
      </c>
      <c r="P1063" s="7" t="s">
        <v>1241</v>
      </c>
      <c r="AV1063" s="1" t="s">
        <v>38</v>
      </c>
      <c r="BG1063" s="7" t="s">
        <v>1242</v>
      </c>
      <c r="BH1063" s="1" t="s">
        <v>5553</v>
      </c>
      <c r="BI1063" s="1" t="s">
        <v>5554</v>
      </c>
      <c r="BJ1063" s="1" t="s">
        <v>1875</v>
      </c>
      <c r="BK1063" s="2" t="s">
        <v>5555</v>
      </c>
      <c r="BL1063" s="1" t="s">
        <v>1877</v>
      </c>
      <c r="BM1063" s="2" t="s">
        <v>5556</v>
      </c>
      <c r="BN1063" s="1" t="s">
        <v>3496</v>
      </c>
      <c r="BO1063" s="2" t="s">
        <v>5557</v>
      </c>
    </row>
    <row r="1064" spans="1:69" ht="144" x14ac:dyDescent="0.45">
      <c r="A1064" s="5">
        <v>1063</v>
      </c>
      <c r="B1064" s="8" t="s">
        <v>802</v>
      </c>
      <c r="C1064" s="6" t="s">
        <v>6850</v>
      </c>
      <c r="D1064" s="7" t="s">
        <v>9752</v>
      </c>
      <c r="E1064" s="1" t="s">
        <v>5558</v>
      </c>
      <c r="F1064" s="1" t="s">
        <v>1551</v>
      </c>
      <c r="G1064" s="1"/>
      <c r="J1064" s="1" t="s">
        <v>9753</v>
      </c>
      <c r="L1064" s="2" t="s">
        <v>9447</v>
      </c>
      <c r="P1064" s="7" t="s">
        <v>1241</v>
      </c>
      <c r="AU1064" s="15"/>
      <c r="AV1064" s="1" t="s">
        <v>38</v>
      </c>
      <c r="BG1064" s="7" t="s">
        <v>1242</v>
      </c>
      <c r="BH1064" s="1" t="s">
        <v>2458</v>
      </c>
      <c r="BI1064" s="2" t="s">
        <v>9448</v>
      </c>
      <c r="BJ1064" s="1" t="s">
        <v>1947</v>
      </c>
      <c r="BK1064" s="2" t="s">
        <v>5559</v>
      </c>
      <c r="BL1064" s="1" t="s">
        <v>1996</v>
      </c>
      <c r="BM1064" s="2" t="s">
        <v>5560</v>
      </c>
      <c r="BN1064" s="1" t="s">
        <v>1877</v>
      </c>
      <c r="BO1064" s="2" t="s">
        <v>5561</v>
      </c>
    </row>
    <row r="1065" spans="1:69" ht="198" x14ac:dyDescent="0.45">
      <c r="A1065" s="5">
        <v>1064</v>
      </c>
      <c r="B1065" s="8" t="s">
        <v>803</v>
      </c>
      <c r="C1065" s="6" t="s">
        <v>6850</v>
      </c>
      <c r="D1065" s="7" t="s">
        <v>9752</v>
      </c>
      <c r="E1065" s="1" t="s">
        <v>1327</v>
      </c>
      <c r="F1065" s="1" t="s">
        <v>1517</v>
      </c>
      <c r="G1065" s="1" t="s">
        <v>5562</v>
      </c>
      <c r="J1065" s="1" t="s">
        <v>9753</v>
      </c>
      <c r="L1065" s="3" t="s">
        <v>9454</v>
      </c>
      <c r="M1065" s="1" t="s">
        <v>12156</v>
      </c>
      <c r="P1065" s="7" t="s">
        <v>1241</v>
      </c>
      <c r="Q1065" s="13" t="str">
        <f>INDEX($L:$L, MATCH("mention", $B:$B, 0))</f>
        <v>&lt;span class="w"&gt;&lt;b&gt;【128.mention：～に言及する, ～と言う】&lt;/b&gt;&lt;/span&gt;
&lt;span class="ml"&gt;ラテン語mens（心, 知性）に関連するminisci（思い出す, 考える）に由来する。
&lt;span class="spacer"&gt;&lt;/span&gt;何かを思い出したり考えたりして、それを言葉にすることから「言及する, 言う」という意味になる。&lt;/span&gt;</v>
      </c>
      <c r="R1065" s="13" t="str">
        <f>INDEX($L:$L, MATCH("mental", $B:$B, 0))</f>
        <v>&lt;span class="w"&gt;&lt;b&gt;【183.mental：精神の, 頭の中で行う】&lt;/b&gt;&lt;/span&gt;
&lt;span class="ml"&gt;ラテン語に由来する語で、以下の2つの要素から成る。
&lt;span class="spacer"&gt;&lt;/span&gt;mens（心）
alis（形容詞化）
&lt;span class="spacer"&gt;&lt;/span&gt;ラテン語から意味の変化はほとんどなく「心の, 精神の, 頭の中で行う」という意味になる。&lt;/span&gt;</v>
      </c>
      <c r="S1065" s="13" t="str">
        <f>INDEX($L:$L, MATCH("comment", $B:$B, 0))</f>
        <v>&lt;span class="w"&gt;&lt;b&gt;【441.comment：意見, コメント】&lt;/b&gt;&lt;/span&gt;
&lt;span class="ml"&gt;ラテン語ラテン語に由来する語で、以下の2つの要素から成る。
&lt;span class="spacer"&gt;&lt;/span&gt;com（強意）
mēns（心）に関連する動詞meminisse（思い出す）
&lt;span class="spacer"&gt;&lt;/span&gt;この語の核は、心（mind）で考えること。そこから考え出されたもの＝「意見, コメント」という意味になる。&lt;/span&gt;</v>
      </c>
      <c r="T1065" s="13" t="str">
        <f>INDEX($L:$L, MATCH("remind", $B:$B, 0))</f>
        <v>&lt;span class="w"&gt;&lt;b&gt;【416.remind：〜に思い出させる】&lt;/b&gt;&lt;/span&gt;
&lt;span class="ml"&gt;近代英語にさかのぼり、以下の2つの要素から成る。
&lt;span class="spacer"&gt;&lt;/span&gt;re（再び）
mind（心にとめる）
&lt;span class="spacer"&gt;&lt;/span&gt;このまま日本語にすると「再び心にとめる」となる。誰かに対してもう一度心にとめさせることから、「思い出させる」という意味になる。&lt;/span&gt;</v>
      </c>
      <c r="U1065" s="13" t="str">
        <f>INDEX($L:$L, MATCH("monument", $B:$B, 0))</f>
        <v>&lt;span class="w"&gt;&lt;b&gt;【1277.monument：記念碑, 遺跡, 金字塔】&lt;/b&gt;&lt;/span&gt;
&lt;span class="ml"&gt;ラテン語に由来する語で、以下の2つの要素から成る。
&lt;span class="spacer"&gt;&lt;/span&gt;monere（思い出させる）
mentum（名詞化）
&lt;span class="spacer"&gt;&lt;/span&gt;この語の核は「人や出来事を思い出させるもの」。そこから、亡くなった人を思い出させるための墓や霊廟、または特定の人物や出来事を記念して建てられた像といった「記念碑, 遺跡」という意味になった。
&lt;span class="spacer"&gt;&lt;/span&gt;また物理的な建造物だけではなく比喩的に、後世に長く語り継がれるべき偉大な業績や不朽の名作を表す「金字塔」という意味でも使われる。
&lt;div class="sample_image monument"&gt;&lt;/div&gt;&lt;/span&gt;</v>
      </c>
      <c r="V1065" s="13" t="str">
        <f>INDEX($L:$L, MATCH("monitor", $B:$B, 0))</f>
        <v>&lt;span class="w"&gt;&lt;b&gt;【636.monitor：〜を監視する】&lt;/b&gt;&lt;/span&gt;
&lt;span class="ml"&gt;ラテン語に由来する語で、以下の2つの要素から成る。
&lt;span class="spacer"&gt;&lt;/span&gt;monere（思い出させる, 警告する）
or（〜するもの）
&lt;span class="spacer"&gt;&lt;/span&gt;このまま日本語にすると「警告するもの」となる。これは、問題がないか目を光らせるイメージで。そこから、何かを「監視する」という意味になる。&lt;/span&gt;</v>
      </c>
      <c r="AU1065" s="15"/>
      <c r="AV1065" s="1" t="s">
        <v>38</v>
      </c>
      <c r="BG1065" s="7" t="s">
        <v>1242</v>
      </c>
      <c r="BH1065" s="1" t="s">
        <v>1947</v>
      </c>
      <c r="BI1065" s="2" t="s">
        <v>5563</v>
      </c>
      <c r="BJ1065" s="1" t="s">
        <v>1877</v>
      </c>
      <c r="BK1065" s="2" t="s">
        <v>5564</v>
      </c>
    </row>
    <row r="1066" spans="1:69" ht="162" x14ac:dyDescent="0.45">
      <c r="A1066" s="5">
        <v>1065</v>
      </c>
      <c r="B1066" s="6" t="s">
        <v>804</v>
      </c>
      <c r="C1066" s="6" t="s">
        <v>6850</v>
      </c>
      <c r="D1066" s="7" t="s">
        <v>9752</v>
      </c>
      <c r="E1066" s="6" t="s">
        <v>804</v>
      </c>
      <c r="F1066" s="1"/>
      <c r="G1066" s="1"/>
      <c r="J1066" s="1" t="s">
        <v>9753</v>
      </c>
      <c r="L1066" s="2" t="s">
        <v>9455</v>
      </c>
      <c r="P1066" s="7" t="s">
        <v>1241</v>
      </c>
      <c r="AV1066" s="1" t="s">
        <v>38</v>
      </c>
      <c r="BG1066" s="7" t="s">
        <v>1242</v>
      </c>
      <c r="BH1066" s="1" t="s">
        <v>5565</v>
      </c>
      <c r="BI1066" s="1" t="s">
        <v>5566</v>
      </c>
      <c r="BJ1066" s="1" t="s">
        <v>1947</v>
      </c>
      <c r="BK1066" s="1" t="s">
        <v>5567</v>
      </c>
      <c r="BL1066" s="1" t="s">
        <v>1996</v>
      </c>
      <c r="BM1066" s="2" t="s">
        <v>5568</v>
      </c>
      <c r="BN1066" s="1" t="s">
        <v>1877</v>
      </c>
      <c r="BO1066" s="2" t="s">
        <v>5569</v>
      </c>
    </row>
    <row r="1067" spans="1:69" ht="162" x14ac:dyDescent="0.45">
      <c r="A1067" s="5">
        <v>1066</v>
      </c>
      <c r="B1067" s="6" t="s">
        <v>805</v>
      </c>
      <c r="C1067" s="6" t="s">
        <v>6850</v>
      </c>
      <c r="D1067" s="7" t="s">
        <v>9752</v>
      </c>
      <c r="E1067" s="1" t="s">
        <v>1631</v>
      </c>
      <c r="F1067" s="1" t="s">
        <v>5570</v>
      </c>
      <c r="G1067" s="1"/>
      <c r="J1067" s="1" t="s">
        <v>9753</v>
      </c>
      <c r="L1067" s="3" t="s">
        <v>9456</v>
      </c>
      <c r="P1067" s="7" t="s">
        <v>1241</v>
      </c>
      <c r="AU1067" s="15"/>
      <c r="AV1067" s="1" t="s">
        <v>38</v>
      </c>
      <c r="BG1067" s="7" t="s">
        <v>1242</v>
      </c>
      <c r="BH1067" s="1" t="s">
        <v>2458</v>
      </c>
      <c r="BI1067" s="2" t="s">
        <v>9457</v>
      </c>
      <c r="BJ1067" s="1" t="s">
        <v>2036</v>
      </c>
      <c r="BK1067" s="1" t="s">
        <v>805</v>
      </c>
      <c r="BL1067" s="1" t="s">
        <v>1877</v>
      </c>
      <c r="BM1067" s="2" t="s">
        <v>5571</v>
      </c>
    </row>
    <row r="1068" spans="1:69" ht="108" x14ac:dyDescent="0.45">
      <c r="A1068" s="5" t="s">
        <v>5572</v>
      </c>
      <c r="B1068" s="6" t="s">
        <v>806</v>
      </c>
      <c r="C1068" s="6" t="s">
        <v>6850</v>
      </c>
      <c r="D1068" s="7" t="s">
        <v>9752</v>
      </c>
      <c r="E1068" s="6" t="s">
        <v>806</v>
      </c>
      <c r="F1068" s="1"/>
      <c r="G1068" s="1"/>
      <c r="J1068" s="1" t="s">
        <v>9753</v>
      </c>
      <c r="L1068" s="3" t="s">
        <v>9458</v>
      </c>
      <c r="P1068" s="7" t="s">
        <v>1241</v>
      </c>
      <c r="AV1068" s="1" t="s">
        <v>38</v>
      </c>
      <c r="BG1068" s="7" t="s">
        <v>1242</v>
      </c>
      <c r="BH1068" s="1" t="s">
        <v>1947</v>
      </c>
      <c r="BI1068" s="1" t="s">
        <v>5573</v>
      </c>
      <c r="BJ1068" s="1" t="s">
        <v>1959</v>
      </c>
      <c r="BK1068" s="2" t="s">
        <v>5574</v>
      </c>
      <c r="BL1068" s="1" t="s">
        <v>1875</v>
      </c>
      <c r="BM1068" s="2" t="s">
        <v>5575</v>
      </c>
      <c r="BN1068" s="1" t="s">
        <v>1877</v>
      </c>
      <c r="BO1068" s="2" t="s">
        <v>5576</v>
      </c>
    </row>
    <row r="1069" spans="1:69" ht="72" x14ac:dyDescent="0.45">
      <c r="A1069" s="5">
        <v>1068</v>
      </c>
      <c r="B1069" s="6" t="s">
        <v>807</v>
      </c>
      <c r="C1069" s="6" t="s">
        <v>6850</v>
      </c>
      <c r="D1069" s="7" t="s">
        <v>9752</v>
      </c>
      <c r="E1069" s="6" t="s">
        <v>807</v>
      </c>
      <c r="F1069" s="1"/>
      <c r="G1069" s="1"/>
      <c r="J1069" s="1" t="s">
        <v>9753</v>
      </c>
      <c r="L1069" s="2" t="s">
        <v>9459</v>
      </c>
      <c r="P1069" s="7" t="s">
        <v>1241</v>
      </c>
      <c r="AU1069" s="15"/>
      <c r="AV1069" s="1" t="s">
        <v>38</v>
      </c>
      <c r="BG1069" s="7" t="s">
        <v>1242</v>
      </c>
      <c r="BH1069" s="1" t="s">
        <v>1947</v>
      </c>
      <c r="BI1069" s="2" t="s">
        <v>5577</v>
      </c>
      <c r="BJ1069" s="1" t="s">
        <v>1875</v>
      </c>
      <c r="BK1069" s="2" t="s">
        <v>5578</v>
      </c>
      <c r="BL1069" s="1" t="s">
        <v>1877</v>
      </c>
      <c r="BM1069" s="2" t="s">
        <v>5579</v>
      </c>
    </row>
    <row r="1070" spans="1:69" ht="252" x14ac:dyDescent="0.45">
      <c r="A1070" s="5">
        <v>1069</v>
      </c>
      <c r="B1070" s="6" t="s">
        <v>808</v>
      </c>
      <c r="C1070" s="6" t="s">
        <v>6850</v>
      </c>
      <c r="D1070" s="7" t="s">
        <v>9752</v>
      </c>
      <c r="E1070" s="1" t="s">
        <v>5580</v>
      </c>
      <c r="F1070" s="1" t="s">
        <v>1528</v>
      </c>
      <c r="G1070" s="1"/>
      <c r="J1070" s="1" t="s">
        <v>9753</v>
      </c>
      <c r="K1070" s="2" t="s">
        <v>9460</v>
      </c>
      <c r="L1070" s="2" t="s">
        <v>9461</v>
      </c>
      <c r="P1070" s="7" t="s">
        <v>1241</v>
      </c>
      <c r="AV1070" s="1" t="s">
        <v>38</v>
      </c>
      <c r="BG1070" s="7" t="s">
        <v>1242</v>
      </c>
      <c r="BH1070" s="1" t="s">
        <v>1976</v>
      </c>
      <c r="BI1070" s="1" t="s">
        <v>3355</v>
      </c>
      <c r="BJ1070" s="1" t="s">
        <v>1947</v>
      </c>
      <c r="BK1070" s="2" t="s">
        <v>5581</v>
      </c>
      <c r="BL1070" s="1" t="s">
        <v>2036</v>
      </c>
      <c r="BM1070" s="2" t="s">
        <v>5582</v>
      </c>
      <c r="BN1070" s="1" t="s">
        <v>1875</v>
      </c>
      <c r="BO1070" s="2" t="s">
        <v>5583</v>
      </c>
      <c r="BP1070" s="1" t="s">
        <v>1877</v>
      </c>
      <c r="BQ1070" s="2" t="s">
        <v>5584</v>
      </c>
    </row>
    <row r="1071" spans="1:69" ht="108" x14ac:dyDescent="0.45">
      <c r="A1071" s="5">
        <v>1070</v>
      </c>
      <c r="B1071" s="8" t="s">
        <v>809</v>
      </c>
      <c r="C1071" s="6" t="s">
        <v>6850</v>
      </c>
      <c r="D1071" s="7" t="s">
        <v>9752</v>
      </c>
      <c r="E1071" s="1" t="s">
        <v>5585</v>
      </c>
      <c r="F1071" s="1" t="s">
        <v>5586</v>
      </c>
      <c r="G1071" s="1"/>
      <c r="J1071" s="1" t="s">
        <v>9753</v>
      </c>
      <c r="L1071" s="2" t="s">
        <v>9462</v>
      </c>
      <c r="P1071" s="7" t="s">
        <v>1241</v>
      </c>
      <c r="AU1071" s="15"/>
      <c r="AV1071" s="1" t="s">
        <v>38</v>
      </c>
      <c r="BG1071" s="7" t="s">
        <v>1242</v>
      </c>
      <c r="BH1071" s="1" t="s">
        <v>1877</v>
      </c>
      <c r="BI1071" s="2" t="s">
        <v>5587</v>
      </c>
    </row>
    <row r="1072" spans="1:69" ht="72" x14ac:dyDescent="0.45">
      <c r="A1072" s="5">
        <v>1071</v>
      </c>
      <c r="B1072" s="6" t="s">
        <v>810</v>
      </c>
      <c r="C1072" s="6" t="s">
        <v>6850</v>
      </c>
      <c r="D1072" s="7" t="s">
        <v>9752</v>
      </c>
      <c r="E1072" s="1" t="s">
        <v>810</v>
      </c>
      <c r="F1072" s="1"/>
      <c r="G1072" s="1"/>
      <c r="J1072" s="1" t="s">
        <v>9753</v>
      </c>
      <c r="L1072" s="2" t="s">
        <v>9463</v>
      </c>
      <c r="P1072" s="7" t="s">
        <v>1241</v>
      </c>
      <c r="AV1072" s="1" t="s">
        <v>38</v>
      </c>
      <c r="BG1072" s="7" t="s">
        <v>1242</v>
      </c>
      <c r="BH1072" s="1" t="s">
        <v>1947</v>
      </c>
      <c r="BI1072" s="1" t="s">
        <v>5588</v>
      </c>
      <c r="BJ1072" s="1" t="s">
        <v>1959</v>
      </c>
      <c r="BK1072" s="2" t="s">
        <v>5589</v>
      </c>
      <c r="BL1072" s="1" t="s">
        <v>1996</v>
      </c>
      <c r="BM1072" s="2" t="s">
        <v>5590</v>
      </c>
      <c r="BN1072" s="1" t="s">
        <v>1877</v>
      </c>
      <c r="BO1072" s="2" t="s">
        <v>5591</v>
      </c>
    </row>
    <row r="1073" spans="1:71" ht="162" x14ac:dyDescent="0.45">
      <c r="A1073" s="5">
        <v>1072</v>
      </c>
      <c r="B1073" s="6" t="s">
        <v>811</v>
      </c>
      <c r="C1073" s="6" t="s">
        <v>6850</v>
      </c>
      <c r="D1073" s="7" t="s">
        <v>9752</v>
      </c>
      <c r="E1073" s="1" t="s">
        <v>5592</v>
      </c>
      <c r="F1073" s="1" t="s">
        <v>1786</v>
      </c>
      <c r="G1073" s="1" t="s">
        <v>1803</v>
      </c>
      <c r="J1073" s="1" t="s">
        <v>9753</v>
      </c>
      <c r="L1073" s="2" t="s">
        <v>9464</v>
      </c>
      <c r="P1073" s="7" t="s">
        <v>1241</v>
      </c>
      <c r="AU1073" s="15"/>
      <c r="AV1073" s="1" t="s">
        <v>38</v>
      </c>
      <c r="BG1073" s="7" t="s">
        <v>1242</v>
      </c>
      <c r="BH1073" s="1" t="s">
        <v>1872</v>
      </c>
      <c r="BI1073" s="2" t="s">
        <v>5593</v>
      </c>
      <c r="BJ1073" s="1" t="s">
        <v>1875</v>
      </c>
      <c r="BK1073" s="2" t="s">
        <v>5594</v>
      </c>
    </row>
    <row r="1074" spans="1:71" ht="108" x14ac:dyDescent="0.45">
      <c r="A1074" s="5">
        <v>1073</v>
      </c>
      <c r="B1074" s="8" t="s">
        <v>812</v>
      </c>
      <c r="C1074" s="6" t="s">
        <v>6850</v>
      </c>
      <c r="D1074" s="7" t="s">
        <v>9752</v>
      </c>
      <c r="E1074" s="1" t="s">
        <v>5595</v>
      </c>
      <c r="F1074" s="1" t="s">
        <v>5596</v>
      </c>
      <c r="G1074" s="1"/>
      <c r="J1074" s="1" t="s">
        <v>9753</v>
      </c>
      <c r="K1074" s="1" t="s">
        <v>5597</v>
      </c>
      <c r="L1074" s="2" t="s">
        <v>9465</v>
      </c>
      <c r="M1074" s="1" t="s">
        <v>12114</v>
      </c>
      <c r="P1074" s="7" t="s">
        <v>1241</v>
      </c>
      <c r="Q1074" s="13" t="str">
        <f>INDEX($L:$L, MATCH("precise", $B:$B, 0))</f>
        <v>&lt;span class="w"&gt;&lt;b&gt;【599.precise：精密な, 正確な】&lt;/b&gt;&lt;/span&gt;
&lt;span class="ml"&gt;ラテン語に由来する語で、以下の2つの要素から成る。
&lt;span class="spacer"&gt;&lt;/span&gt;prae（前に）
caedere（切る）
&lt;span class="spacer"&gt;&lt;/span&gt;このまま日本語にすると「前もって切る」となる。これは、あらかじめ無駄な部分を切り落としておくことを表した。この余分な部分や曖昧な部分が一切ないということから、「正確な, 精密な」という意味になった。
&lt;div class="sample_image precise"&gt;&lt;/div&gt;&lt;/span&gt;</v>
      </c>
      <c r="R1074" s="13" t="str">
        <f>INDEX($L:$L, MATCH("decide", $B:$B, 0))</f>
        <v>&lt;span class="w"&gt;&lt;b&gt;【11.decide：～を決める】&lt;/b&gt;&lt;/span&gt;
&lt;span class="ml"&gt;ラテン語に由来する語で、以下の2つの要素からなる。
&lt;span class="spacer"&gt;&lt;/span&gt;de（離れて）
caedere（切る）
&lt;span class="spacer"&gt;&lt;/span&gt;このまま日本語にすると「切り離す」となる。あれこれ考えてしまう物事を思考から切り離すイメージから「決める, 決断する, 決心する」という意味になる。一度決めてしまえば、もう考える必要がないので思考から切り離される。
&lt;span class="spacer"&gt;&lt;/span&gt;決断の「断」は、断つ＝切り離すという意味なので、ラテン語の意味と日本語の感覚はぴったり合っている。&lt;/span&gt;</v>
      </c>
      <c r="S1074" s="13" t="str">
        <f>INDEX($L:$L, MATCH("suicide", $B:$B, 0))</f>
        <v>&lt;span class="w"&gt;&lt;b&gt;【1360.suicide：自殺】&lt;/b&gt;&lt;/span&gt;
&lt;span class="ml"&gt;ラテン語に由来する語で、以下の3つの要素から成る。
&lt;span class="spacer"&gt;&lt;/span&gt;sui（自分自身の）
caedere（殺す, 切る）
ium（名詞化）
&lt;span class="spacer"&gt;&lt;/span&gt;このまま日本語にすると「自分自身を殺すこと」となり、そこから「自殺」という意味になる。
&lt;span class="spacer"&gt;&lt;/span&gt;ラテン語sui（自分自身の）は、印欧祖語*s(w)e-（自分自身）にさかのぼる。この印欧祖語からはselfも生まれている。
&lt;span class="spacer"&gt;&lt;/span&gt;またラテン語caedere（殺す, 切る）からは、decide（決断する）・precise（正確な）・concise（簡潔な）も生まれている。いずれも「切る」が核となっている。
&lt;span class="spacer"&gt;&lt;/span&gt;suicideは、self（自身を）＋cide（切る, 殺す）と考えればよい。&lt;/span&gt;</v>
      </c>
      <c r="AU1074" s="15"/>
      <c r="AV1074" s="1" t="s">
        <v>38</v>
      </c>
      <c r="BG1074" s="7" t="s">
        <v>1242</v>
      </c>
      <c r="BH1074" s="1" t="s">
        <v>3496</v>
      </c>
      <c r="BI1074" s="2" t="s">
        <v>5598</v>
      </c>
    </row>
    <row r="1075" spans="1:71" ht="108" x14ac:dyDescent="0.45">
      <c r="A1075" s="5">
        <v>1074</v>
      </c>
      <c r="B1075" s="6" t="s">
        <v>813</v>
      </c>
      <c r="C1075" s="6" t="s">
        <v>6850</v>
      </c>
      <c r="D1075" s="7" t="s">
        <v>9752</v>
      </c>
      <c r="E1075" s="1" t="s">
        <v>5599</v>
      </c>
      <c r="F1075" s="1" t="s">
        <v>1551</v>
      </c>
      <c r="G1075" s="1"/>
      <c r="J1075" s="1" t="s">
        <v>9753</v>
      </c>
      <c r="L1075" s="2" t="s">
        <v>9466</v>
      </c>
      <c r="P1075" s="7" t="s">
        <v>1241</v>
      </c>
      <c r="AU1075" s="15"/>
      <c r="AV1075" s="1" t="s">
        <v>38</v>
      </c>
      <c r="BG1075" s="7" t="s">
        <v>1242</v>
      </c>
      <c r="BH1075" s="1" t="s">
        <v>2458</v>
      </c>
      <c r="BI1075" s="2" t="s">
        <v>5600</v>
      </c>
      <c r="BJ1075" s="1" t="s">
        <v>1996</v>
      </c>
      <c r="BK1075" s="2" t="s">
        <v>5601</v>
      </c>
      <c r="BL1075" s="1" t="s">
        <v>1877</v>
      </c>
      <c r="BM1075" s="2" t="s">
        <v>5602</v>
      </c>
    </row>
    <row r="1076" spans="1:71" ht="180" x14ac:dyDescent="0.45">
      <c r="A1076" s="5">
        <v>1075</v>
      </c>
      <c r="B1076" s="6" t="s">
        <v>814</v>
      </c>
      <c r="C1076" s="6" t="s">
        <v>6850</v>
      </c>
      <c r="D1076" s="7" t="s">
        <v>9752</v>
      </c>
      <c r="E1076" s="6" t="s">
        <v>814</v>
      </c>
      <c r="F1076" s="1"/>
      <c r="G1076" s="1"/>
      <c r="J1076" s="1" t="s">
        <v>9753</v>
      </c>
      <c r="L1076" s="3" t="s">
        <v>9467</v>
      </c>
      <c r="P1076" s="7" t="s">
        <v>1241</v>
      </c>
      <c r="AU1076" s="15"/>
      <c r="AV1076" s="1" t="s">
        <v>38</v>
      </c>
      <c r="BG1076" s="7" t="s">
        <v>1242</v>
      </c>
      <c r="BH1076" s="1" t="s">
        <v>1947</v>
      </c>
      <c r="BI1076" s="2" t="s">
        <v>5603</v>
      </c>
      <c r="BJ1076" s="1" t="s">
        <v>1959</v>
      </c>
      <c r="BK1076" s="2" t="s">
        <v>5604</v>
      </c>
      <c r="BL1076" s="1" t="s">
        <v>1875</v>
      </c>
      <c r="BM1076" s="2" t="s">
        <v>5605</v>
      </c>
    </row>
    <row r="1077" spans="1:71" ht="90" x14ac:dyDescent="0.45">
      <c r="A1077" s="5">
        <v>1076</v>
      </c>
      <c r="B1077" s="6" t="s">
        <v>815</v>
      </c>
      <c r="C1077" s="6" t="s">
        <v>6850</v>
      </c>
      <c r="D1077" s="7" t="s">
        <v>9752</v>
      </c>
      <c r="E1077" s="6" t="s">
        <v>815</v>
      </c>
      <c r="F1077" s="1"/>
      <c r="G1077" s="1"/>
      <c r="J1077" s="1" t="s">
        <v>9753</v>
      </c>
      <c r="K1077" s="2"/>
      <c r="L1077" s="2" t="s">
        <v>9468</v>
      </c>
      <c r="P1077" s="7" t="s">
        <v>1241</v>
      </c>
      <c r="Q1077" s="13" t="str">
        <f>INDEX($L:$L, MATCH("phenomenon", $B:$B, 0))</f>
        <v>&lt;span class="w"&gt;&lt;b&gt;【344.phenomenon：現象】&lt;/b&gt;&lt;/span&gt;
&lt;span class="ml"&gt;ギリシャ語phainein（明らかにする, 出現させる）の現在分詞phainomenon（現れるもの, 見えるもの）に由来する。
&lt;span class="spacer"&gt;&lt;/span&gt;目の前に現れるもの、つまり「現象」という意味になる。
&lt;span class="spacer"&gt;&lt;/span&gt;phenomenonのphe部分は、語源的に光・輝きを意味し、光や輝きのように何かが現れるというイメージになる。
光を取り込んで現像する写真＝photographのphoto部分も同じく光を意味する。&lt;/span&gt;</v>
      </c>
      <c r="R1077" s="13" t="str">
        <f>INDEX($L:$L, MATCH("emphasize", $B:$B, 0))</f>
        <v>&lt;span class="w"&gt;&lt;b&gt;【516.emphasize：〜を強調する】&lt;/b&gt;&lt;/span&gt;
&lt;span class="ml"&gt;近代英語にさかのぼり、以下の2つの要素から成る。
&lt;span class="spacer"&gt;&lt;/span&gt;emphasis（強調）
ize（動詞化）
&lt;span class="spacer"&gt;&lt;/span&gt;［emphasisの語源］
ギリシャ語en（中に）＋phainein（示す）に由来する。これは「中にあるものを示す」というイメージで、言葉の中に含まれる重要な意味や内容をはっきり示すこと、つまり「強調」を意味した（例えば発音の強調など）。
&lt;span class="spacer"&gt;&lt;/span&gt;［emphasize］
近代英語において、emphasis（強調）に動詞を作る-izeが付いて「強調する」という意味になった。
&lt;div class="sample_image emphasize"&gt;&lt;/div&gt;&lt;/span&gt;</v>
      </c>
      <c r="S1077" s="13" t="str">
        <f>INDEX($L:$L, MATCH("phase", $B:$B, 0))</f>
        <v>&lt;span class="w"&gt;&lt;b&gt;【843.phase：段階, 局面】&lt;/b&gt;&lt;/span&gt;
&lt;span class="ml"&gt;ギリシャ語phainein（現れる）から派生したphasis（星の出現, 月の位相・満ち欠け）に由来する。
&lt;span class="spacer"&gt;&lt;/span&gt;もともとは、月が時間をかけて異なる姿になっていく月の満ち欠けを表した。そこから、進行によって変化・発展していく物事の「段階, 局面」という意味になった。&lt;/span&gt;</v>
      </c>
      <c r="T1077" s="13" t="str">
        <f>INDEX($L:$L, MATCH("fancy", $B:$B, 0))</f>
        <v>&lt;span class="w"&gt;&lt;b&gt;【1077.fancy：（気まぐれな）好み, 気分】&lt;/b&gt;&lt;/span&gt;
&lt;span class="ml"&gt;中英語においてfantasyが短縮されてできた語。
&lt;span class="spacer"&gt;&lt;/span&gt;fantasy（空想, 幻想）は、想像する人自身の心に形成されるため、その人が思いついた瞬間の好みや気分、欲望を反映している。
&lt;span class="spacer"&gt;&lt;/span&gt;fantasyが心の中に出来上がった空想や幻想を意味する語として使われるようになった一方で、fancyはその空想や幻想に含まれる「（気まぐれな）好み」や「そのときの気分」という意味で使われるようになった。&lt;/span&gt;</v>
      </c>
      <c r="AU1077" s="15"/>
      <c r="AV1077" s="1" t="s">
        <v>38</v>
      </c>
      <c r="BG1077" s="7" t="s">
        <v>1242</v>
      </c>
      <c r="BH1077" s="1" t="s">
        <v>2458</v>
      </c>
      <c r="BI1077" s="2" t="s">
        <v>5606</v>
      </c>
      <c r="BJ1077" s="1" t="s">
        <v>1947</v>
      </c>
      <c r="BK1077" s="1" t="s">
        <v>5607</v>
      </c>
      <c r="BL1077" s="1" t="s">
        <v>1959</v>
      </c>
      <c r="BM1077" s="2" t="s">
        <v>5608</v>
      </c>
      <c r="BN1077" s="1" t="s">
        <v>1875</v>
      </c>
      <c r="BO1077" s="2" t="s">
        <v>5609</v>
      </c>
    </row>
    <row r="1078" spans="1:71" ht="126" x14ac:dyDescent="0.45">
      <c r="A1078" s="5">
        <v>1077</v>
      </c>
      <c r="B1078" s="6" t="s">
        <v>816</v>
      </c>
      <c r="C1078" s="6" t="s">
        <v>6850</v>
      </c>
      <c r="D1078" s="7" t="s">
        <v>9752</v>
      </c>
      <c r="E1078" s="6" t="s">
        <v>816</v>
      </c>
      <c r="F1078" s="1"/>
      <c r="G1078" s="1"/>
      <c r="J1078" s="1" t="s">
        <v>9753</v>
      </c>
      <c r="K1078" s="1" t="s">
        <v>5610</v>
      </c>
      <c r="L1078" s="2" t="s">
        <v>9469</v>
      </c>
      <c r="P1078" s="7" t="s">
        <v>1241</v>
      </c>
      <c r="Q1078" s="13" t="str">
        <f>INDEX($L:$L, MATCH("phenomenon", $B:$B, 0))</f>
        <v>&lt;span class="w"&gt;&lt;b&gt;【344.phenomenon：現象】&lt;/b&gt;&lt;/span&gt;
&lt;span class="ml"&gt;ギリシャ語phainein（明らかにする, 出現させる）の現在分詞phainomenon（現れるもの, 見えるもの）に由来する。
&lt;span class="spacer"&gt;&lt;/span&gt;目の前に現れるもの、つまり「現象」という意味になる。
&lt;span class="spacer"&gt;&lt;/span&gt;phenomenonのphe部分は、語源的に光・輝きを意味し、光や輝きのように何かが現れるというイメージになる。
光を取り込んで現像する写真＝photographのphoto部分も同じく光を意味する。&lt;/span&gt;</v>
      </c>
      <c r="R1078" s="13" t="str">
        <f>INDEX($L:$L, MATCH("emphasize", $B:$B, 0))</f>
        <v>&lt;span class="w"&gt;&lt;b&gt;【516.emphasize：〜を強調する】&lt;/b&gt;&lt;/span&gt;
&lt;span class="ml"&gt;近代英語にさかのぼり、以下の2つの要素から成る。
&lt;span class="spacer"&gt;&lt;/span&gt;emphasis（強調）
ize（動詞化）
&lt;span class="spacer"&gt;&lt;/span&gt;［emphasisの語源］
ギリシャ語en（中に）＋phainein（示す）に由来する。これは「中にあるものを示す」というイメージで、言葉の中に含まれる重要な意味や内容をはっきり示すこと、つまり「強調」を意味した（例えば発音の強調など）。
&lt;span class="spacer"&gt;&lt;/span&gt;［emphasize］
近代英語において、emphasis（強調）に動詞を作る-izeが付いて「強調する」という意味になった。
&lt;div class="sample_image emphasize"&gt;&lt;/div&gt;&lt;/span&gt;</v>
      </c>
      <c r="S1078" s="13" t="str">
        <f>INDEX($L:$L, MATCH("phase", $B:$B, 0))</f>
        <v>&lt;span class="w"&gt;&lt;b&gt;【843.phase：段階, 局面】&lt;/b&gt;&lt;/span&gt;
&lt;span class="ml"&gt;ギリシャ語phainein（現れる）から派生したphasis（星の出現, 月の位相・満ち欠け）に由来する。
&lt;span class="spacer"&gt;&lt;/span&gt;もともとは、月が時間をかけて異なる姿になっていく月の満ち欠けを表した。そこから、進行によって変化・発展していく物事の「段階, 局面」という意味になった。&lt;/span&gt;</v>
      </c>
      <c r="T1078" s="13" t="str">
        <f>INDEX($L:$L, MATCH("fantasy", $B:$B, 0))</f>
        <v>&lt;span class="w"&gt;&lt;b&gt;【1076.fantasy：空想, 幻想】&lt;/b&gt;&lt;/span&gt;
&lt;span class="ml"&gt;ギリシャ語phainesthai（現れる）に由来する。
&lt;span class="spacer"&gt;&lt;/span&gt;もともとは目に見えるように現れることを表した。そこから意味が抽象化し、心の中に現れる像を指すようになり、さらに発展して現実ではない「空想, 幻想」という意味になった。&lt;/span&gt;</v>
      </c>
      <c r="AU1078" s="15"/>
      <c r="AV1078" s="1" t="s">
        <v>38</v>
      </c>
      <c r="BG1078" s="7" t="s">
        <v>1242</v>
      </c>
      <c r="BH1078" s="1" t="s">
        <v>1875</v>
      </c>
      <c r="BI1078" s="2" t="s">
        <v>5611</v>
      </c>
      <c r="BJ1078" s="1" t="s">
        <v>1877</v>
      </c>
      <c r="BK1078" s="2" t="s">
        <v>5612</v>
      </c>
    </row>
    <row r="1079" spans="1:71" ht="216" x14ac:dyDescent="0.45">
      <c r="A1079" s="5">
        <v>1078</v>
      </c>
      <c r="B1079" s="8" t="s">
        <v>817</v>
      </c>
      <c r="C1079" s="6" t="s">
        <v>6850</v>
      </c>
      <c r="D1079" s="7" t="s">
        <v>9752</v>
      </c>
      <c r="E1079" s="1" t="s">
        <v>5613</v>
      </c>
      <c r="F1079" s="1" t="s">
        <v>5614</v>
      </c>
      <c r="G1079" s="1"/>
      <c r="J1079" s="1" t="s">
        <v>9753</v>
      </c>
      <c r="L1079" s="3" t="s">
        <v>10457</v>
      </c>
      <c r="P1079" s="7" t="s">
        <v>1241</v>
      </c>
      <c r="Q1079" s="13" t="str">
        <f>INDEX($L:$L, MATCH("virtual", $B:$B, 0))</f>
        <v>&lt;span class="w"&gt;&lt;b&gt;【496.virtual：仮想の, 事実上の】&lt;/b&gt;&lt;/span&gt;
&lt;span class="ml"&gt;ラテン語に由来する語で、以下の3つの要素から成る。
vir（男）
tus（名詞化）
alis（形容詞化）
&lt;span class="spacer"&gt;&lt;/span&gt;ラテン語vir（男）から「男らしさ」や、そこから連想される「力」という概念へと発展した。
&lt;span class="spacer"&gt;&lt;/span&gt;この「力」は、目に見える形として存在しなくても、実際には働いているもの。そこから「見た目はそうではなくても本質的にはそうである」という意味になり、「事実上の」という意味が生まれた。
&lt;span class="spacer"&gt;&lt;/span&gt;さらに現代では、コンピューター技術の発展により、実体はないが現実のように機能するものを指して、「仮想の」という意味でも使われるようになった&lt;/span&gt;</v>
      </c>
      <c r="AU1079" s="15"/>
      <c r="AV1079" s="1" t="s">
        <v>38</v>
      </c>
      <c r="BG1079" s="7" t="s">
        <v>1242</v>
      </c>
      <c r="BH1079" s="1" t="s">
        <v>1947</v>
      </c>
      <c r="BI1079" s="2" t="s">
        <v>5615</v>
      </c>
      <c r="BJ1079" s="1" t="s">
        <v>1959</v>
      </c>
      <c r="BK1079" s="2" t="s">
        <v>5616</v>
      </c>
      <c r="BL1079" s="1" t="s">
        <v>1875</v>
      </c>
      <c r="BM1079" s="2" t="s">
        <v>5617</v>
      </c>
    </row>
    <row r="1080" spans="1:71" ht="162" x14ac:dyDescent="0.45">
      <c r="A1080" s="5">
        <v>1079</v>
      </c>
      <c r="B1080" s="6" t="s">
        <v>818</v>
      </c>
      <c r="C1080" s="6" t="s">
        <v>6851</v>
      </c>
      <c r="D1080" s="7" t="s">
        <v>9752</v>
      </c>
      <c r="E1080" s="1" t="s">
        <v>5618</v>
      </c>
      <c r="F1080" s="1" t="s">
        <v>1821</v>
      </c>
      <c r="G1080" s="1"/>
      <c r="J1080" s="1" t="s">
        <v>9753</v>
      </c>
      <c r="K1080" s="1" t="s">
        <v>9470</v>
      </c>
      <c r="L1080" s="2" t="s">
        <v>9471</v>
      </c>
      <c r="P1080" s="7" t="s">
        <v>1241</v>
      </c>
      <c r="AV1080" s="1" t="s">
        <v>38</v>
      </c>
      <c r="BG1080" s="7" t="s">
        <v>1242</v>
      </c>
      <c r="BH1080" s="1" t="s">
        <v>1947</v>
      </c>
      <c r="BI1080" s="1" t="s">
        <v>5619</v>
      </c>
      <c r="BJ1080" s="1" t="s">
        <v>1875</v>
      </c>
      <c r="BK1080" s="2" t="s">
        <v>5620</v>
      </c>
      <c r="BL1080" s="1" t="s">
        <v>1877</v>
      </c>
      <c r="BM1080" s="2" t="s">
        <v>5621</v>
      </c>
    </row>
    <row r="1081" spans="1:71" ht="162" x14ac:dyDescent="0.45">
      <c r="A1081" s="5">
        <v>1080</v>
      </c>
      <c r="B1081" s="8" t="s">
        <v>819</v>
      </c>
      <c r="C1081" s="6" t="s">
        <v>6851</v>
      </c>
      <c r="D1081" s="7" t="s">
        <v>9752</v>
      </c>
      <c r="E1081" s="1" t="s">
        <v>4141</v>
      </c>
      <c r="F1081" s="1" t="s">
        <v>1853</v>
      </c>
      <c r="G1081" s="1"/>
      <c r="J1081" s="1" t="s">
        <v>9753</v>
      </c>
      <c r="L1081" s="3" t="s">
        <v>9472</v>
      </c>
      <c r="M1081" s="1" t="s">
        <v>12134</v>
      </c>
      <c r="P1081" s="7" t="s">
        <v>1241</v>
      </c>
      <c r="Q1081" s="13" t="str">
        <f>INDEX($L:$L, MATCH("value", $B:$B, 0))</f>
        <v>&lt;span class="w"&gt;&lt;b&gt;【55.value：価値, 評価, 値】&lt;/b&gt;&lt;/span&gt;
&lt;span class="ml"&gt;ラテン語valere（価値がある, 強い）に由来する。
&lt;span class="spacer"&gt;&lt;/span&gt;価値があるという動詞から名詞になり、「価値, 評価, 値」という意味になる。&lt;/span&gt;</v>
      </c>
      <c r="R1081" s="13" t="str">
        <f>INDEX($L:$L, MATCH("available", $B:$B, 0))</f>
        <v>&lt;span class="w"&gt;&lt;b&gt;【93.available：利用できる, 手に入る】&lt;/b&gt;&lt;/span&gt;
&lt;span class="ml"&gt;ラテン語と古フランス語に由来する語で、以下の3つの要素から成る。
&lt;span class="spacer"&gt;&lt;/span&gt;a（〜へ）
valoir（価値がある：ラテン語valere）
&lt;span class="obsolete"&gt;able（できる）は英語段階で付いた&lt;/span&gt;
&lt;span class="spacer"&gt;&lt;/span&gt;aとvaloirから「何かに対して価値がある」つまり「何かに役立つ, 有用である（avail）」となる。役立つということは、必要なときに使える状態でなければならない（使えなければ役立たない）。ここから「手に入る」そして「利用できる」という意味になる。&lt;/span&gt;</v>
      </c>
      <c r="S1081" s="13" t="str">
        <f>INDEX($L:$L, MATCH("equivalent", $B:$B, 0))</f>
        <v>&lt;span class="w"&gt;&lt;b&gt;【685.equivalent：同等の, 相当する】&lt;/b&gt;&lt;/span&gt;
&lt;span class="ml"&gt;ラテン語に由来する語で、以下の2つの要素から成る。
&lt;span class="spacer"&gt;&lt;/span&gt;aequus（等しい）
valere（価値がある）
&lt;span class="spacer"&gt;&lt;/span&gt;このまま日本語にすると「等しい価値がある」となる。ここから「同等の, 相当する」という意味になる。
&lt;span class="spacer"&gt;&lt;/span&gt;equal：AとBが完全に一致
equivalent：AとBは別物だが同等/span&gt;</v>
      </c>
      <c r="T1081" s="13" t="str">
        <f>INDEX($L:$L, MATCH("evaluate", $B:$B, 0))</f>
        <v>&lt;span class="w"&gt;&lt;b&gt;【719.evaluate：〜を評価する, 〜を査定する】&lt;/b&gt;&lt;/span&gt;
&lt;span class="ml"&gt;古フランス語に由来し、以下の2つの要素から成る。
&lt;span class="spacer"&gt;&lt;/span&gt;é（外へ）
valuer（価値を置く）
&lt;span class="spacer"&gt;&lt;/span&gt;このまま日本語にすると「外へ価値を置く」となる。つまり何かの価値を見出すことを表して「評価する, 査定する」という意味になる。&lt;/span&gt;</v>
      </c>
      <c r="U1081" s="13" t="str">
        <f>INDEX($L:$L, MATCH("prevail", $B:$B, 0))</f>
        <v>&lt;span class="w"&gt;&lt;b&gt;【1340.prevail：普及している, 支配的である, 圧倒している, 打ち勝つ】&lt;/b&gt;&lt;/span&gt;
&lt;span class="ml"&gt;ラテン語に由来する語で、以下の2つの要素から成る。
&lt;span class="spacer"&gt;&lt;/span&gt;prae（前に）
valere（力を持つ, 強い）
&lt;span class="spacer"&gt;&lt;/span&gt;この語の核は「他者の前へ立って力を見せつける」イメージ。そこから、物理的に力で相手を「圧倒している, 打ち勝つ」という意味になる。
&lt;span class="spacer"&gt;&lt;/span&gt;また、強い力を持って社会全体を覆い尽くすイメージから、考え方や習慣、あるいは病気などが「支配的である, 普及している」という意味にもなる。
&lt;div class="sample_image prevail"&gt;&lt;/div&gt;&lt;/span&gt;</v>
      </c>
      <c r="AU1081" s="15"/>
      <c r="AV1081" s="1" t="s">
        <v>38</v>
      </c>
      <c r="BG1081" s="7" t="s">
        <v>1242</v>
      </c>
      <c r="BH1081" s="1" t="s">
        <v>1947</v>
      </c>
      <c r="BI1081" s="2" t="s">
        <v>5622</v>
      </c>
      <c r="BJ1081" s="1" t="s">
        <v>1996</v>
      </c>
      <c r="BK1081" s="2" t="s">
        <v>5623</v>
      </c>
      <c r="BL1081" s="1" t="s">
        <v>1877</v>
      </c>
      <c r="BM1081" s="2" t="s">
        <v>5624</v>
      </c>
    </row>
    <row r="1082" spans="1:71" ht="144" x14ac:dyDescent="0.45">
      <c r="A1082" s="5">
        <v>1081</v>
      </c>
      <c r="B1082" s="8" t="s">
        <v>820</v>
      </c>
      <c r="C1082" s="6" t="s">
        <v>6851</v>
      </c>
      <c r="D1082" s="7" t="s">
        <v>9752</v>
      </c>
      <c r="E1082" s="1" t="s">
        <v>1454</v>
      </c>
      <c r="F1082" s="1" t="s">
        <v>5625</v>
      </c>
      <c r="G1082" s="1" t="s">
        <v>1818</v>
      </c>
      <c r="J1082" s="1" t="s">
        <v>9753</v>
      </c>
      <c r="K1082" s="2" t="s">
        <v>9473</v>
      </c>
      <c r="L1082" s="3" t="s">
        <v>9474</v>
      </c>
      <c r="P1082" s="7" t="s">
        <v>1241</v>
      </c>
      <c r="AU1082" s="15"/>
      <c r="AV1082" s="1" t="s">
        <v>38</v>
      </c>
      <c r="BG1082" s="7" t="s">
        <v>1242</v>
      </c>
      <c r="BH1082" s="1" t="s">
        <v>1947</v>
      </c>
      <c r="BI1082" s="2" t="s">
        <v>5626</v>
      </c>
      <c r="BJ1082" s="1" t="s">
        <v>1877</v>
      </c>
      <c r="BK1082" s="2" t="s">
        <v>5627</v>
      </c>
    </row>
    <row r="1083" spans="1:71" ht="90" x14ac:dyDescent="0.45">
      <c r="A1083" s="5">
        <v>1082</v>
      </c>
      <c r="B1083" s="8" t="s">
        <v>821</v>
      </c>
      <c r="C1083" s="6" t="s">
        <v>6851</v>
      </c>
      <c r="D1083" s="7" t="s">
        <v>9752</v>
      </c>
      <c r="E1083" s="1" t="s">
        <v>5628</v>
      </c>
      <c r="F1083" s="1" t="s">
        <v>1818</v>
      </c>
      <c r="G1083" s="1"/>
      <c r="J1083" s="1" t="s">
        <v>9753</v>
      </c>
      <c r="K1083" s="1" t="s">
        <v>9475</v>
      </c>
      <c r="L1083" s="2" t="s">
        <v>9476</v>
      </c>
      <c r="M1083" s="1" t="s">
        <v>12165</v>
      </c>
      <c r="P1083" s="7" t="s">
        <v>1241</v>
      </c>
      <c r="Q1083" s="13" t="str">
        <f>INDEX($L:$L, MATCH("mode", $B:$B, 0))</f>
        <v>&lt;span class="w"&gt;&lt;b&gt;【844.mode：方式, 形態, モード】&lt;/b&gt;&lt;/span&gt;
&lt;span class="ml"&gt;ラテン語modus（尺度, 方法）に由来する。
&lt;span class="spacer"&gt;&lt;/span&gt;尺度とは物事を測るための基準であり、その基準に従って行動すると、自然と一定のやり方（方法）が定まってくる。その「基準に沿ったやり方」が固定化されて「方式, 形態」といった意味になる。&lt;/span&gt;</v>
      </c>
      <c r="R1083" s="13" t="str">
        <f>INDEX($L:$L, MATCH("model", $B:$B, 0))</f>
        <v>&lt;span class="w"&gt;&lt;b&gt;【149.model：型, 模型, 模範】&lt;/b&gt;&lt;/span&gt;
&lt;span class="ml"&gt;ラテン語に由来する語で、以下の2つの要素から成る。
&lt;span class="spacer"&gt;&lt;/span&gt;modus（尺度）
ulus（小さいことを表す）
&lt;span class="spacer"&gt;&lt;/span&gt;このまま日本語にすると「小さな尺度」となる。小さな尺度とは、元のサイズから小さくした形の基準となるもの、つまり「型, 模型」のこと。何かのあり方の型なら「模範」という訳になる。&lt;/span&gt;</v>
      </c>
      <c r="S1083" s="13" t="str">
        <f>INDEX($L:$L, MATCH("modest", $B:$B, 0))</f>
        <v>&lt;span class="w"&gt;&lt;b&gt;【998.modest：謙虚な, 適度な, 質素な】&lt;/b&gt;&lt;/span&gt;
&lt;span class="ml"&gt;ラテン語に由来する語で、以下の2つの要素から成る。
&lt;span class="spacer"&gt;&lt;/span&gt;modus（尺度, 方法）
tus（形容詞化）
&lt;span class="spacer"&gt;&lt;/span&gt;この語の核は「尺度の中に収まっている」。出過ぎることなくちょうどよい感じから「謙虚な, 適度な, 質素な」という意味になる。ラテン語modusは英語modelの語源でもあるため、モデル（基準）の中に収まっていて出過ぎていない、とイメージしてもよい。&lt;/span&gt;</v>
      </c>
      <c r="T1083" s="13" t="str">
        <f>INDEX($L:$L, MATCH("modify", $B:$B, 0))</f>
        <v>&lt;span class="w"&gt;&lt;b&gt;【839.modify：～を修正する, ～を調整する】&lt;/b&gt;&lt;/span&gt;
&lt;span class="ml"&gt;ラテン語に由来する語で、以下の2つの要素から成る。
&lt;span class="spacer"&gt;&lt;/span&gt;modus（尺度）
facere（行う, 作る）
&lt;span class="spacer"&gt;&lt;/span&gt;この語の核は「一定の尺度に収まるようにする」。ラテン語modusは、英語model（モデル）の語源でもあるので「一定のモデル（基準）に収まるようにする」と考えてもよい。
&lt;span class="spacer"&gt;&lt;/span&gt;基準の中に収めるので、はみ出した部分があれば基準に合うように「調整する」という意味になる。また基準が変われば、それに収めるためにで部分的に「修正する」という意味にもなる。
&lt;div class="sample_image modify"&gt;&lt;/div&gt;&lt;/span&gt;</v>
      </c>
      <c r="U1083" s="13" t="str">
        <f>INDEX($L:$L, MATCH("commodity", $B:$B, 0))</f>
        <v>&lt;span class="w"&gt;&lt;b&gt;【1262.commodity：商品, 有用なもの】&lt;/b&gt;&lt;/span&gt;
&lt;span class="ml"&gt;ラテン語に由来する語で、以下の3つの要素から成る。
&lt;span class="spacer"&gt;&lt;/span&gt;com（強意）
modus（尺度, 方法）
tas（名詞化）
&lt;span class="spacer"&gt;&lt;/span&gt;もともとは、状況や目的といった尺度（基準）にピッタリ合っていることから、基準にあった「有用なもの」を意味した。
&lt;span class="spacer"&gt;&lt;/span&gt;そうした有用なものは価値があり、利益を生むことから、やがて市場で取引される「商品」を意味するようになった。&lt;/span&gt;</v>
      </c>
      <c r="AU1083" s="15"/>
      <c r="AV1083" s="1" t="s">
        <v>38</v>
      </c>
      <c r="BG1083" s="7" t="s">
        <v>1242</v>
      </c>
      <c r="BH1083" s="1" t="s">
        <v>1947</v>
      </c>
      <c r="BI1083" s="2" t="s">
        <v>5629</v>
      </c>
      <c r="BJ1083" s="1" t="s">
        <v>1875</v>
      </c>
      <c r="BK1083" s="2" t="s">
        <v>5630</v>
      </c>
      <c r="BL1083" s="1" t="s">
        <v>1877</v>
      </c>
      <c r="BM1083" s="2" t="s">
        <v>5631</v>
      </c>
    </row>
    <row r="1084" spans="1:71" ht="144" x14ac:dyDescent="0.45">
      <c r="A1084" s="5">
        <v>1083</v>
      </c>
      <c r="B1084" s="6" t="s">
        <v>822</v>
      </c>
      <c r="C1084" s="6" t="s">
        <v>6851</v>
      </c>
      <c r="D1084" s="7" t="s">
        <v>9752</v>
      </c>
      <c r="E1084" s="1" t="s">
        <v>5632</v>
      </c>
      <c r="F1084" s="1" t="s">
        <v>1551</v>
      </c>
      <c r="G1084" s="1"/>
      <c r="J1084" s="1" t="s">
        <v>9753</v>
      </c>
      <c r="L1084" s="2" t="s">
        <v>9477</v>
      </c>
      <c r="P1084" s="7" t="s">
        <v>1241</v>
      </c>
      <c r="AU1084" s="15"/>
      <c r="AV1084" s="1" t="s">
        <v>38</v>
      </c>
      <c r="BG1084" s="7" t="s">
        <v>1242</v>
      </c>
      <c r="BH1084" s="1" t="s">
        <v>2458</v>
      </c>
      <c r="BI1084" s="2" t="s">
        <v>5633</v>
      </c>
      <c r="BJ1084" s="1" t="s">
        <v>1996</v>
      </c>
      <c r="BK1084" s="1" t="s">
        <v>5634</v>
      </c>
      <c r="BL1084" s="1" t="s">
        <v>1877</v>
      </c>
      <c r="BM1084" s="2" t="s">
        <v>5635</v>
      </c>
    </row>
    <row r="1085" spans="1:71" ht="144" x14ac:dyDescent="0.45">
      <c r="A1085" s="5">
        <v>1084</v>
      </c>
      <c r="B1085" s="6" t="s">
        <v>823</v>
      </c>
      <c r="C1085" s="6" t="s">
        <v>6851</v>
      </c>
      <c r="D1085" s="7" t="s">
        <v>9752</v>
      </c>
      <c r="E1085" s="6" t="s">
        <v>823</v>
      </c>
      <c r="F1085" s="1"/>
      <c r="G1085" s="1"/>
      <c r="J1085" s="1" t="s">
        <v>9753</v>
      </c>
      <c r="L1085" s="2" t="s">
        <v>9478</v>
      </c>
      <c r="P1085" s="7" t="s">
        <v>1241</v>
      </c>
      <c r="AV1085" s="1" t="s">
        <v>38</v>
      </c>
      <c r="BG1085" s="7" t="s">
        <v>1242</v>
      </c>
      <c r="BH1085" s="1" t="s">
        <v>1994</v>
      </c>
      <c r="BI1085" s="1" t="s">
        <v>5636</v>
      </c>
      <c r="BJ1085" s="1" t="s">
        <v>1996</v>
      </c>
      <c r="BK1085" s="1" t="s">
        <v>5637</v>
      </c>
      <c r="BL1085" s="1" t="s">
        <v>1875</v>
      </c>
      <c r="BM1085" s="2" t="s">
        <v>5638</v>
      </c>
    </row>
    <row r="1086" spans="1:71" ht="144" x14ac:dyDescent="0.45">
      <c r="A1086" s="5">
        <v>1085</v>
      </c>
      <c r="B1086" s="6" t="s">
        <v>824</v>
      </c>
      <c r="C1086" s="6" t="s">
        <v>6851</v>
      </c>
      <c r="D1086" s="7" t="s">
        <v>9752</v>
      </c>
      <c r="E1086" s="1" t="s">
        <v>5639</v>
      </c>
      <c r="F1086" s="1" t="s">
        <v>1931</v>
      </c>
      <c r="G1086" s="1"/>
      <c r="J1086" s="1" t="s">
        <v>9753</v>
      </c>
      <c r="K1086" s="1" t="s">
        <v>5640</v>
      </c>
      <c r="L1086" s="3" t="s">
        <v>9479</v>
      </c>
      <c r="P1086" s="7" t="s">
        <v>1241</v>
      </c>
      <c r="AU1086" s="15"/>
      <c r="AV1086" s="1" t="s">
        <v>38</v>
      </c>
      <c r="BG1086" s="7" t="s">
        <v>1242</v>
      </c>
      <c r="BH1086" s="1" t="s">
        <v>2458</v>
      </c>
      <c r="BI1086" s="2" t="s">
        <v>9480</v>
      </c>
      <c r="BJ1086" s="1" t="s">
        <v>1947</v>
      </c>
      <c r="BK1086" s="1" t="s">
        <v>5641</v>
      </c>
      <c r="BL1086" s="1" t="s">
        <v>2026</v>
      </c>
      <c r="BM1086" s="2" t="s">
        <v>5642</v>
      </c>
      <c r="BN1086" s="1" t="s">
        <v>1994</v>
      </c>
      <c r="BO1086" s="1" t="s">
        <v>5643</v>
      </c>
      <c r="BP1086" s="1" t="s">
        <v>1996</v>
      </c>
      <c r="BQ1086" s="2" t="s">
        <v>5644</v>
      </c>
      <c r="BR1086" s="1" t="s">
        <v>1877</v>
      </c>
      <c r="BS1086" s="2" t="s">
        <v>5645</v>
      </c>
    </row>
    <row r="1087" spans="1:71" ht="198" x14ac:dyDescent="0.45">
      <c r="A1087" s="5">
        <v>1086</v>
      </c>
      <c r="B1087" s="6" t="s">
        <v>825</v>
      </c>
      <c r="C1087" s="6" t="s">
        <v>6851</v>
      </c>
      <c r="D1087" s="7" t="s">
        <v>9752</v>
      </c>
      <c r="E1087" s="1" t="s">
        <v>5646</v>
      </c>
      <c r="F1087" s="1" t="s">
        <v>5647</v>
      </c>
      <c r="G1087" s="1"/>
      <c r="J1087" s="1" t="s">
        <v>9753</v>
      </c>
      <c r="K1087" s="2" t="s">
        <v>9481</v>
      </c>
      <c r="L1087" s="2" t="s">
        <v>9482</v>
      </c>
      <c r="P1087" s="7" t="s">
        <v>1241</v>
      </c>
      <c r="AU1087" s="15"/>
      <c r="AV1087" s="1" t="s">
        <v>38</v>
      </c>
      <c r="BG1087" s="7" t="s">
        <v>1242</v>
      </c>
      <c r="BH1087" s="1" t="s">
        <v>1947</v>
      </c>
      <c r="BI1087" s="2" t="s">
        <v>5648</v>
      </c>
      <c r="BJ1087" s="1" t="s">
        <v>1877</v>
      </c>
      <c r="BK1087" s="2" t="s">
        <v>5649</v>
      </c>
    </row>
    <row r="1088" spans="1:71" ht="126" x14ac:dyDescent="0.45">
      <c r="A1088" s="5">
        <v>1087</v>
      </c>
      <c r="B1088" s="6" t="s">
        <v>826</v>
      </c>
      <c r="C1088" s="6" t="s">
        <v>6851</v>
      </c>
      <c r="D1088" s="7" t="s">
        <v>9752</v>
      </c>
      <c r="E1088" s="1" t="s">
        <v>1695</v>
      </c>
      <c r="F1088" s="1" t="s">
        <v>49</v>
      </c>
      <c r="G1088" s="1"/>
      <c r="J1088" s="1" t="s">
        <v>9753</v>
      </c>
      <c r="L1088" s="2" t="s">
        <v>9483</v>
      </c>
      <c r="P1088" s="7" t="s">
        <v>1241</v>
      </c>
      <c r="AV1088" s="1" t="s">
        <v>38</v>
      </c>
      <c r="BG1088" s="7" t="s">
        <v>1242</v>
      </c>
      <c r="BH1088" s="1" t="s">
        <v>1947</v>
      </c>
      <c r="BI1088" s="1" t="s">
        <v>5650</v>
      </c>
      <c r="BJ1088" s="1" t="s">
        <v>2036</v>
      </c>
      <c r="BK1088" s="2" t="s">
        <v>5651</v>
      </c>
      <c r="BL1088" s="1" t="s">
        <v>1877</v>
      </c>
      <c r="BM1088" s="2" t="s">
        <v>5652</v>
      </c>
    </row>
    <row r="1089" spans="1:67" ht="126" x14ac:dyDescent="0.45">
      <c r="A1089" s="5">
        <v>1088</v>
      </c>
      <c r="B1089" s="6" t="s">
        <v>827</v>
      </c>
      <c r="C1089" s="6" t="s">
        <v>6851</v>
      </c>
      <c r="D1089" s="7" t="s">
        <v>9752</v>
      </c>
      <c r="E1089" s="1" t="s">
        <v>27</v>
      </c>
      <c r="F1089" s="1" t="s">
        <v>5653</v>
      </c>
      <c r="G1089" s="1" t="s">
        <v>1698</v>
      </c>
      <c r="J1089" s="1" t="s">
        <v>9753</v>
      </c>
      <c r="L1089" s="2" t="s">
        <v>9484</v>
      </c>
      <c r="P1089" s="7" t="s">
        <v>1241</v>
      </c>
      <c r="AU1089" s="15"/>
      <c r="AV1089" s="1" t="s">
        <v>38</v>
      </c>
      <c r="BG1089" s="7" t="s">
        <v>1242</v>
      </c>
      <c r="BH1089" s="1" t="s">
        <v>1947</v>
      </c>
      <c r="BI1089" s="2" t="s">
        <v>5654</v>
      </c>
      <c r="BJ1089" s="1" t="s">
        <v>1959</v>
      </c>
      <c r="BK1089" s="2" t="s">
        <v>5655</v>
      </c>
      <c r="BL1089" s="1" t="s">
        <v>1875</v>
      </c>
      <c r="BM1089" s="2" t="s">
        <v>5656</v>
      </c>
    </row>
    <row r="1090" spans="1:67" ht="126" x14ac:dyDescent="0.45">
      <c r="A1090" s="5">
        <v>1089</v>
      </c>
      <c r="B1090" s="8" t="s">
        <v>828</v>
      </c>
      <c r="C1090" s="6" t="s">
        <v>6851</v>
      </c>
      <c r="D1090" s="7" t="s">
        <v>9752</v>
      </c>
      <c r="E1090" s="1" t="s">
        <v>4500</v>
      </c>
      <c r="F1090" s="1" t="s">
        <v>5657</v>
      </c>
      <c r="G1090" s="1" t="s">
        <v>1698</v>
      </c>
      <c r="J1090" s="1" t="s">
        <v>9753</v>
      </c>
      <c r="L1090" s="2" t="s">
        <v>9485</v>
      </c>
      <c r="M1090" s="1" t="s">
        <v>12183</v>
      </c>
      <c r="P1090" s="7" t="s">
        <v>1241</v>
      </c>
      <c r="Q1090" s="13" t="str">
        <f>INDEX($L:$L, MATCH("sequence", $B:$B, 0))</f>
        <v>&lt;span class="w"&gt;&lt;b&gt;【641.sequence：連続, 一連のもの】&lt;/b&gt;&lt;/span&gt;
&lt;span class="ml"&gt;ラテン語sequi（従う, 続く）に由来する。
&lt;span class="spacer"&gt;&lt;/span&gt;何かに従って続いていくことから「一連のもの, 連続」という意味になる。
&lt;div class="sample_image sequence"&gt;&lt;/div&gt;&lt;/span&gt;</v>
      </c>
      <c r="R1090" s="13" t="str">
        <f>INDEX($L:$L, MATCH("consequence", $B:$B, 0))</f>
        <v>&lt;span class="w"&gt;&lt;b&gt;【272.consequence：（通例〜sで）結果】&lt;/b&gt;&lt;/span&gt;
&lt;span class="ml"&gt;ラテン語に由来する語で、以下の2つの要素から成る。
&lt;span class="spacer"&gt;&lt;/span&gt;com（共に）
sequi（従う, 後に続く）
&lt;span class="spacer"&gt;&lt;/span&gt;このまま日本語にすると「共に従う」となる。何かの後に従って続くイメージから、
→ある行動や過程のあとに続く「結果」という意味になる。
&lt;div class="sample_image consequence"&gt;&lt;/div&gt;&lt;/span&gt;</v>
      </c>
      <c r="S1090" s="13" t="str">
        <f>INDEX($L:$L, MATCH("pursue", $B:$B, 0))</f>
        <v>&lt;span class="w"&gt;&lt;b&gt;【604.pursue：追い求める】&lt;/b&gt;&lt;/span&gt;
&lt;span class="ml"&gt;ラテン語に由来する語で、以下の2つの要素から成る。
&lt;span class="spacer"&gt;&lt;/span&gt;pro（前へ）
sequi（従う）
&lt;span class="spacer"&gt;&lt;/span&gt;このまま日本語にすると「前に従う」となる。この核は「前にいるものの後を追って従い続ける」。物理的に何かを追いかけることから、比喩的に目標や目的を「追い求める」という意味になった。
&lt;div class="sample_image pursue"&gt;&lt;/div&gt;&lt;/span&gt;</v>
      </c>
      <c r="T1090" s="13" t="str">
        <f>INDEX($L:$L, MATCH("sue", $B:$B, 0))</f>
        <v>&lt;span class="w"&gt;&lt;b&gt;【902.sue：〜を告訴する】&lt;/b&gt;&lt;/span&gt;
&lt;span class="ml"&gt;ラテン語sequi（従う, 後を追う）に由来する。
&lt;span class="spacer"&gt;&lt;/span&gt;相手の後を追うという物理的な追跡から、法廷で相手を追うことへと意味が特化して「告訴する」という意味になった。
&lt;div class="sample_image sue"&gt;&lt;/div&gt;&lt;/span&gt;</v>
      </c>
      <c r="AU1090" s="15"/>
      <c r="AV1090" s="1" t="s">
        <v>38</v>
      </c>
      <c r="BG1090" s="7" t="s">
        <v>1242</v>
      </c>
      <c r="BH1090" s="1" t="s">
        <v>1947</v>
      </c>
      <c r="BI1090" s="2" t="s">
        <v>9486</v>
      </c>
      <c r="BJ1090" s="1" t="s">
        <v>1959</v>
      </c>
      <c r="BK1090" s="2" t="s">
        <v>5658</v>
      </c>
      <c r="BL1090" s="1" t="s">
        <v>1875</v>
      </c>
      <c r="BM1090" s="2" t="s">
        <v>5659</v>
      </c>
    </row>
    <row r="1091" spans="1:67" ht="108" x14ac:dyDescent="0.45">
      <c r="A1091" s="5">
        <v>1090</v>
      </c>
      <c r="B1091" s="6" t="s">
        <v>829</v>
      </c>
      <c r="C1091" s="6" t="s">
        <v>6851</v>
      </c>
      <c r="D1091" s="7" t="s">
        <v>9752</v>
      </c>
      <c r="E1091" s="6" t="s">
        <v>829</v>
      </c>
      <c r="F1091" s="1"/>
      <c r="G1091" s="1"/>
      <c r="J1091" s="1" t="s">
        <v>9753</v>
      </c>
      <c r="K1091" s="1" t="s">
        <v>5660</v>
      </c>
      <c r="L1091" s="2" t="s">
        <v>9487</v>
      </c>
      <c r="P1091" s="7" t="s">
        <v>1241</v>
      </c>
      <c r="AU1091" s="15"/>
      <c r="AV1091" s="1" t="s">
        <v>38</v>
      </c>
      <c r="BG1091" s="7" t="s">
        <v>1242</v>
      </c>
      <c r="BH1091" s="1" t="s">
        <v>1875</v>
      </c>
      <c r="BI1091" s="2" t="s">
        <v>5661</v>
      </c>
      <c r="BJ1091" s="1" t="s">
        <v>1877</v>
      </c>
      <c r="BK1091" s="2" t="s">
        <v>5662</v>
      </c>
    </row>
    <row r="1092" spans="1:67" ht="144" x14ac:dyDescent="0.45">
      <c r="A1092" s="5">
        <v>1091</v>
      </c>
      <c r="B1092" s="6" t="s">
        <v>830</v>
      </c>
      <c r="C1092" s="6" t="s">
        <v>6851</v>
      </c>
      <c r="D1092" s="7" t="s">
        <v>9752</v>
      </c>
      <c r="E1092" s="1" t="s">
        <v>27</v>
      </c>
      <c r="F1092" s="1" t="s">
        <v>5663</v>
      </c>
      <c r="G1092" s="1" t="s">
        <v>1698</v>
      </c>
      <c r="J1092" s="1" t="s">
        <v>9753</v>
      </c>
      <c r="L1092" s="2" t="s">
        <v>9488</v>
      </c>
      <c r="M1092" s="1" t="s">
        <v>12115</v>
      </c>
      <c r="P1092" s="7" t="s">
        <v>1241</v>
      </c>
      <c r="Q1092" s="13" t="str">
        <f>INDEX($L:$L, MATCH("offer", $B:$B, 0))</f>
        <v>&lt;span class="w"&gt;&lt;b&gt;【12.offer：～を提供する, ～を申し出る】&lt;/b&gt;&lt;/span&gt;
&lt;span class="ml"&gt;ラテン語に由来する語で、以下の2つの要素から成る。
&lt;span class="spacer"&gt;&lt;/span&gt;ob（～に対して）
ferre（運ぶ）
&lt;span class="spacer"&gt;&lt;/span&gt;このまま日本語にすると「～に対して運ぶ」となる。何かを相手に対して運ぶイメージから「提供する, 申し出る」という意味になる。&lt;/span&gt;</v>
      </c>
      <c r="R1092" s="13" t="str">
        <f>INDEX($L:$L, MATCH("refer", $B:$B, 0))</f>
        <v>&lt;span class="w"&gt;&lt;b&gt;【102.refer：言及する, 参照する】&lt;/b&gt;&lt;/span&gt;
&lt;span class="ml"&gt;ラテン語に由来する語で、以下の2つの要素から成る。
&lt;span class="spacer"&gt;&lt;/span&gt;re（戻る）
ferre（運ぶ）
&lt;span class="spacer"&gt;&lt;/span&gt;このまま日本語にすると「運んで戻る」となる。離れた場所にある情報を取りに行き、それを運んで戻って来ることから「参照する」という意味になる。
&lt;span class="spacer"&gt;&lt;/span&gt;また別の場所へ行って再び元の場所に戻るというイメージから、会話の中である話題に立ち寄る＝何かに「言及する」という意味になる。
&lt;div class="sample_image refer"&gt;&lt;/div&gt;&lt;/span&gt;</v>
      </c>
      <c r="S1092" s="13" t="str">
        <f>INDEX($L:$L, MATCH("prefer", $B:$B, 0))</f>
        <v>&lt;span class="w"&gt;&lt;b&gt;【123.prefer：～を好む】&lt;/b&gt;&lt;/span&gt;
&lt;span class="ml"&gt;ラテン語に由来する語で、以下の2つの要素から成る。
&lt;span class="spacer"&gt;&lt;/span&gt;prae（前に, 先に）
ferre（運ぶ）
&lt;span class="spacer"&gt;&lt;/span&gt;このまま日本語にすると「前に運ぶ」となる。他のものよりも前に出すことから、他よりも高く評価する、他のよりも何かを「好む」という意味になる。
&lt;div class="sample_image prefer"&gt;&lt;/div&gt;
&lt;span class="spacer"&gt;&lt;/span&gt;prefer A to B（AよりBを好む）では、比較の対象をtoで示す。これは「前へ運ぶ」が、何に対して前なのかを示すため。つまり、Bに対して（to B）Aを前に運ぶ（好む）ことを表している。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v>
      </c>
      <c r="T1092" s="13" t="str">
        <f>INDEX($L:$L, MATCH("suffer", $B:$B, 0))</f>
        <v>&lt;span class="w"&gt;&lt;b&gt;【138.suffer：苦しむ, 患う】&lt;/b&gt;&lt;/span&gt;
&lt;span class="ml"&gt;ラテン語に由来する語で、以下の2つの要素から成る。
&lt;span class="spacer"&gt;&lt;/span&gt;sub（下に）
ferre（運ぶ）
&lt;span class="spacer"&gt;&lt;/span&gt;このまま日本語にすると「下に運ぶ」となる。もともとは、物理的に重いものがのしかかることを表したが、そこからその苦しみの表現へ発展し、苦痛を受けて「苦しむ」や病気を「患う」という意味になった。
&lt;div class="sample_image suffer"&gt;&lt;/div&gt;&lt;/span&gt;</v>
      </c>
      <c r="U1092" s="13" t="str">
        <f>INDEX($L:$L, MATCH("differ", $B:$B, 0))</f>
        <v>&lt;span class="w"&gt;&lt;b&gt;【514.differ：異なる】&lt;/b&gt;&lt;/span&gt;
&lt;span class="ml"&gt;ラテン語に由来する語で、以下の2つの要素から成る。
&lt;span class="spacer"&gt;&lt;/span&gt;dis（離して）
ferre（運ぶ）
&lt;span class="spacer"&gt;&lt;/span&gt;このまま日本語にすると「離れて運ぶ」となる。もともとは別々の方向に運ぶというイメージ。そこから同じではない、つまり「異なる」という意味になる。&lt;/span&gt;</v>
      </c>
      <c r="V1092" s="13" t="str">
        <f>INDEX($L:$L, MATCH("transfer", $B:$B, 0))</f>
        <v>&lt;span class="w"&gt;&lt;b&gt;【611.transfer：〜を移す, 乗り換える】&lt;/b&gt;&lt;/span&gt;
&lt;span class="ml"&gt;ラテン語に由来する語で、以下の2つの要素から成る。
&lt;span class="spacer"&gt;&lt;/span&gt;trans（越えて）
ferre（運ぶ）
&lt;span class="spacer"&gt;&lt;/span&gt;このまま日本語にすると「越えて運ぶ」となる。これは、ある場所から越えた向こう側へ運ぶイメージ。そこから、物や人を一つの状態・場所・手段から別の状態・場所・手段に「移す」という意味になる。
&lt;div class="sample_image transfer"&gt;&lt;/div&gt;&lt;/span&gt;</v>
      </c>
      <c r="W1092" s="13" t="str">
        <f>INDEX($L:$L, MATCH("infer", $B:$B, 0))</f>
        <v>&lt;span class="w"&gt;&lt;b&gt;【1201.infer：〜を推論する, 推測する】&lt;/b&gt;&lt;/span&gt;
&lt;span class="ml"&gt;ラテン語に由来する語で、以下の2つの要素から成る。
&lt;span class="spacer"&gt;&lt;/span&gt;in（中に）
ferre（運ぶ）
&lt;span class="spacer"&gt;&lt;/span&gt;このまま日本語にすると「中に運ぶ」となる。既にある事柄を思考の中に持ち込んで結論を出すことから、既知の情報をもとに「推論する, 推測する」という意味になる。
&lt;div class="sample_image infer"&gt;&lt;/div&gt;&lt;/span&gt;</v>
      </c>
      <c r="X1092" s="13" t="str">
        <f>INDEX($L:$L, MATCH("conference", $B:$B, 0))</f>
        <v>&lt;span class="w"&gt;&lt;b&gt;【461.conference：会議, 協議】&lt;/b&gt;&lt;/span&gt;
&lt;span class="ml"&gt;ラテン語に由来する語で、以下の2つの要素から成る。
&lt;span class="spacer"&gt;&lt;/span&gt;com（共に）
ferre（運ぶ）
&lt;span class="spacer"&gt;&lt;/span&gt;このまま日本語にすると「共に運ぶ」となる。これは、人々が意見や話題を持ち寄って集まるというイメージ。そこから、意見や問題を持ち寄って話し合う「会議, 協議」という意味になる。
&lt;div class="sample_image conference"&gt;&lt;/div&gt;&lt;/span&gt;</v>
      </c>
      <c r="AU1092" s="15"/>
      <c r="AV1092" s="1" t="s">
        <v>38</v>
      </c>
      <c r="BG1092" s="7" t="s">
        <v>1242</v>
      </c>
      <c r="BH1092" s="1" t="s">
        <v>1947</v>
      </c>
      <c r="BI1092" s="2" t="s">
        <v>5664</v>
      </c>
      <c r="BJ1092" s="1" t="s">
        <v>1959</v>
      </c>
      <c r="BK1092" s="1" t="s">
        <v>5665</v>
      </c>
      <c r="BL1092" s="1" t="s">
        <v>1875</v>
      </c>
      <c r="BM1092" s="2" t="s">
        <v>5666</v>
      </c>
    </row>
    <row r="1093" spans="1:67" ht="252" x14ac:dyDescent="0.45">
      <c r="A1093" s="5">
        <v>1092</v>
      </c>
      <c r="B1093" s="8" t="s">
        <v>831</v>
      </c>
      <c r="C1093" s="6" t="s">
        <v>6851</v>
      </c>
      <c r="D1093" s="7" t="s">
        <v>9752</v>
      </c>
      <c r="E1093" s="1" t="s">
        <v>5667</v>
      </c>
      <c r="F1093" s="1" t="s">
        <v>1695</v>
      </c>
      <c r="G1093" s="1"/>
      <c r="J1093" s="1" t="s">
        <v>9753</v>
      </c>
      <c r="K1093" s="2" t="s">
        <v>9489</v>
      </c>
      <c r="L1093" s="2" t="s">
        <v>12110</v>
      </c>
      <c r="M1093" s="1" t="s">
        <v>12205</v>
      </c>
      <c r="P1093" s="7" t="s">
        <v>1241</v>
      </c>
      <c r="Q1093" s="13" t="str">
        <f>INDEX($L:$L, MATCH("superior", $B:$B, 0))</f>
        <v>&lt;span class="w"&gt;&lt;b&gt;【493.superior：より優れた】&lt;/b&gt;&lt;/span&gt;
&lt;span class="ml"&gt;ラテン語に由来する語で、以下の3つの要素から成る。
&lt;span class="spacer"&gt;&lt;/span&gt;super（上に, 越えて）
us（形容詞化）
ior（比較級を作る）
&lt;span class="spacer"&gt;&lt;/span&gt;このまま日本語にすると「より上の」となる。物理的な位置関係において、何かよりも上であるということから、能力・品質・地位などが上であることへと発展し、「より優れた」という意味になった。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v>
      </c>
      <c r="R1093" s="13" t="str">
        <f>INDEX($L:$L, MATCH("priority", $B:$B, 0))</f>
        <v>&lt;span class="w"&gt;&lt;b&gt;【651.priority：優先（事項）】&lt;/b&gt;&lt;/span&gt;
&lt;span class="ml"&gt;ラテン語に由来する語で、以下の3つの要素から成る。
&lt;span class="spacer"&gt;&lt;/span&gt;pri（前に, 以前に）
or（比較級）
tas（名詞化）
&lt;span class="spacer"&gt;&lt;/span&gt;このまま日本語にすると「他より前にあること」となる。他よりも前にあるということは、他よりも優先されるということ。そこから「優先（事項）」という意味になる。&lt;/span&gt;</v>
      </c>
      <c r="AU1093" s="15"/>
      <c r="AV1093" s="1" t="s">
        <v>38</v>
      </c>
      <c r="BG1093" s="7" t="s">
        <v>1242</v>
      </c>
      <c r="BH1093" s="1" t="s">
        <v>1947</v>
      </c>
      <c r="BI1093" s="2" t="s">
        <v>5668</v>
      </c>
      <c r="BJ1093" s="1" t="s">
        <v>1875</v>
      </c>
      <c r="BK1093" s="2" t="s">
        <v>5669</v>
      </c>
      <c r="BL1093" s="1" t="s">
        <v>1877</v>
      </c>
      <c r="BM1093" s="2" t="s">
        <v>5670</v>
      </c>
    </row>
    <row r="1094" spans="1:67" ht="126" x14ac:dyDescent="0.45">
      <c r="A1094" s="5">
        <v>1093</v>
      </c>
      <c r="B1094" s="6" t="s">
        <v>832</v>
      </c>
      <c r="C1094" s="6" t="s">
        <v>6851</v>
      </c>
      <c r="D1094" s="7" t="s">
        <v>9752</v>
      </c>
      <c r="E1094" s="1" t="s">
        <v>5671</v>
      </c>
      <c r="F1094" s="1" t="s">
        <v>1808</v>
      </c>
      <c r="G1094" s="1"/>
      <c r="J1094" s="1" t="s">
        <v>9753</v>
      </c>
      <c r="K1094" s="1" t="s">
        <v>9490</v>
      </c>
      <c r="L1094" s="2" t="s">
        <v>9491</v>
      </c>
      <c r="P1094" s="7" t="s">
        <v>1241</v>
      </c>
      <c r="AU1094" s="15"/>
      <c r="AV1094" s="1" t="s">
        <v>38</v>
      </c>
      <c r="BG1094" s="7" t="s">
        <v>1242</v>
      </c>
      <c r="BH1094" s="1" t="s">
        <v>1875</v>
      </c>
      <c r="BI1094" s="2" t="s">
        <v>5672</v>
      </c>
      <c r="BJ1094" s="1" t="s">
        <v>1877</v>
      </c>
      <c r="BK1094" s="2" t="s">
        <v>5673</v>
      </c>
    </row>
    <row r="1095" spans="1:67" ht="126" x14ac:dyDescent="0.45">
      <c r="A1095" s="5">
        <v>1094</v>
      </c>
      <c r="B1095" s="6" t="s">
        <v>833</v>
      </c>
      <c r="C1095" s="6" t="s">
        <v>6851</v>
      </c>
      <c r="D1095" s="7" t="s">
        <v>9752</v>
      </c>
      <c r="E1095" s="6" t="s">
        <v>833</v>
      </c>
      <c r="F1095" s="1"/>
      <c r="G1095" s="1"/>
      <c r="J1095" s="1" t="s">
        <v>9753</v>
      </c>
      <c r="K1095" s="2" t="s">
        <v>9492</v>
      </c>
      <c r="L1095" s="2" t="s">
        <v>9493</v>
      </c>
      <c r="P1095" s="7" t="s">
        <v>1241</v>
      </c>
      <c r="AU1095" s="15"/>
      <c r="AV1095" s="1" t="s">
        <v>38</v>
      </c>
      <c r="BG1095" s="7" t="s">
        <v>1242</v>
      </c>
      <c r="BH1095" s="1" t="s">
        <v>1947</v>
      </c>
      <c r="BI1095" s="2" t="s">
        <v>5674</v>
      </c>
      <c r="BJ1095" s="1" t="s">
        <v>1877</v>
      </c>
      <c r="BK1095" s="2" t="s">
        <v>5675</v>
      </c>
    </row>
    <row r="1096" spans="1:67" ht="108" x14ac:dyDescent="0.45">
      <c r="A1096" s="5">
        <v>1095</v>
      </c>
      <c r="B1096" s="8" t="s">
        <v>834</v>
      </c>
      <c r="C1096" s="6" t="s">
        <v>6851</v>
      </c>
      <c r="D1096" s="7" t="s">
        <v>9752</v>
      </c>
      <c r="E1096" s="1" t="s">
        <v>1338</v>
      </c>
      <c r="F1096" s="1" t="s">
        <v>5676</v>
      </c>
      <c r="G1096" s="1" t="s">
        <v>1931</v>
      </c>
      <c r="J1096" s="1" t="s">
        <v>9753</v>
      </c>
      <c r="L1096" s="2" t="s">
        <v>9494</v>
      </c>
      <c r="M1096" s="1" t="s">
        <v>12146</v>
      </c>
      <c r="P1096" s="7" t="s">
        <v>1241</v>
      </c>
      <c r="Q1096" s="13" t="str">
        <f>INDEX($L:$L, MATCH("native", $B:$B, 0))</f>
        <v>&lt;span class="w"&gt;&lt;b&gt;【94.native：出生地の, 原生の, 生まれつきの】&lt;/b&gt;&lt;/span&gt;
&lt;span class="ml"&gt;印欧祖語*gene-（生む, 生み出す）から派生したラテン語に由来する語で、以下の2つの要素から成る。
&lt;span class="spacer"&gt;&lt;/span&gt;nasci（生まれる）
ivus（形容詞化）
&lt;span class="spacer"&gt;&lt;/span&gt;「生まれる」が形容詞となって「生まれたままの」＝「生まれつきの」という意味になる。
&lt;span class="spacer"&gt;&lt;/span&gt;また生まれた土地と結びついている＝「出生地の, 原生の」という意味になる。&lt;/span&gt;</v>
      </c>
      <c r="R1096" s="13" t="str">
        <f>INDEX($L:$L, MATCH("innate", $B:$B, 0))</f>
        <v>&lt;span class="w"&gt;&lt;b&gt;【1290.innate：生まれながらの】&lt;/b&gt;&lt;/span&gt;
&lt;span class="ml"&gt;ラテン語に由来する語で、以下の2つの要素から成る。
&lt;span class="spacer"&gt;&lt;/span&gt;in（中に）
nasci（生まれる）
&lt;span class="spacer"&gt;&lt;/span&gt;このまま日本語にすると「〜の中に生まれる」となる。生まれた時からその人やその動物の中にあることを表して「生まれつきの」という意味になる。
&lt;span class="spacer"&gt;&lt;/span&gt;nate部分は、nativeやnatureと同じイメージ。&lt;/span&gt;</v>
      </c>
      <c r="S1096" s="13" t="str">
        <f>INDEX($L:$L, MATCH("indigenous", $B:$B, 0))</f>
        <v>&lt;span class="w"&gt;&lt;b&gt;【1189.indigenous：原産の, 先住の】&lt;/b&gt;&lt;/span&gt;
&lt;span class="ml"&gt;ラテン語に由来する語で、以下の3つの要素から成る。
&lt;span class="spacer"&gt;&lt;/span&gt;indu（中に）
gignere（生む）
us（形容詞化）
&lt;span class="spacer"&gt;&lt;/span&gt;この語の核は「ある環境の中で生まれた」。ある土地に初めから根付いている動植物や人を表して「土着の, 先住の」という意味になった。
&lt;div class="sample_image indigenous"&gt;&lt;/div&gt;&lt;/span&gt;</v>
      </c>
      <c r="T1096" s="13" t="str">
        <f>INDEX($L:$L, MATCH("gene", $B:$B, 0))</f>
        <v>&lt;span class="w"&gt;&lt;b&gt;【275.gene：遺伝子】&lt;/b&gt;&lt;/span&gt;
&lt;span class="ml"&gt;印欧祖語*gene-（生む, 産む）から生まれたギリシャ語genea（世代, 人種, 血統）に由来する。
&lt;span class="spacer"&gt;&lt;/span&gt;このギリシャ語をもとに、デンマークの科学者が1905年にドイツ語Gen（遺伝子）を造る。世代を超えて引き継がれるもの, 種族で共通するもの、つまり「遺伝子」を指した。&lt;/span&gt;</v>
      </c>
      <c r="U1096" s="13" t="str">
        <f>INDEX($L:$L, MATCH("gender", $B:$B, 0))</f>
        <v>&lt;span class="w"&gt;&lt;b&gt;【370.gender：社会的/文化的な性, 性別】&lt;/b&gt;&lt;/span&gt;
&lt;span class="ml"&gt;ラテン語genus（種族, 血統, 性別）に由来する。
&lt;span class="spacer"&gt;&lt;/span&gt;もともとは種類や文法上の性を表す言葉だったが、次第に人間の種類を分ける性別として使われるようになる。特に生物学的な性別に対し、「社会/文化的な性」として使われる。たとえば社会・文化における性差別をなくすことをジェンダーの平等と言う。&lt;/span&gt;</v>
      </c>
      <c r="V1096" s="13" t="str">
        <f>INDEX($L:$L, MATCH("generate", $B:$B, 0))</f>
        <v>&lt;span class="w"&gt;&lt;b&gt;【407.generate：〜を生み出す】&lt;/b&gt;&lt;/span&gt;
&lt;span class="ml"&gt;ラテン語genus（種族,  血統, 性別）から派生した動詞generare（生む, 生じさせる）に由来する。
&lt;span class="spacer"&gt;&lt;/span&gt;印欧祖語*gene-（生む, 産む）と同じく「生み出す」という意味になる。
&lt;span class="spacer"&gt;&lt;/span&gt;名詞generationは同時代の種族全体や生むこと自体を表して「世代, 発生」という意味になる。
&lt;span class="spacer"&gt;&lt;/span&gt;形容詞generalは「種族全体に関する」から「一般的な」という意味になる。&lt;/span&gt;</v>
      </c>
      <c r="W1096" s="13" t="str">
        <f>INDEX($L:$L, MATCH("generous", $B:$B, 0))</f>
        <v>&lt;span class="w"&gt;&lt;b&gt;【880.generous：寛大な, 気前のよい】&lt;/b&gt;&lt;/span&gt;
&lt;span class="ml"&gt;ラテン語に由来する語で、以下の2つの要素から成る。
&lt;span class="spacer"&gt;&lt;/span&gt;genus（生まれ, 家系, 血統）
osus（形容詞化：〜に満ちている）
&lt;span class="spacer"&gt;&lt;/span&gt;もともとは、立派な血統に満ちていて高貴な生まれであることを表した。古代や中世には、高貴な人は器が大きく、他者に対して気前よくものを与え、寛大に振る舞うべきであるという価値観があったことから「寛大な, 気前のよい」という意味になった。&lt;/span&gt;</v>
      </c>
      <c r="X1096" s="13" t="str">
        <f>INDEX($L:$L, MATCH("genuine", $B:$B, 0))</f>
        <v>&lt;span class="w"&gt;&lt;b&gt;【888.genuine：本物の, 偽りのない】&lt;/b&gt;&lt;/span&gt;
&lt;span class="ml"&gt;ラテン語に由来する語で、以下の2つの要素から成ると考えられる。
&lt;span class="spacer"&gt;&lt;/span&gt;gignere（生む, 産出する）
inus（形容詞化）
&lt;span class="spacer"&gt;&lt;/span&gt;この語の核は「生まれたまま自然な状態」。後から作られた混ぜ物や偽物ではなく、生まれたままであることを表し、「本物の, 偽りのない」という意味になる。
&lt;span class="spacer"&gt;&lt;/span&gt;また別の語源の説では、ラテン語genu（膝）に由来するという考えもある。
&lt;span class="spacer"&gt;&lt;/span&gt;古代ローマでは、赤ん坊が生まれると、父親がその子を自分の膝の上に置くという伝統的な儀式があった。これは単なるスキンシップではなく、「この子は間違いなく自分の血を引く、正式な子供である」と公に認めるための重要な法的手続きだった。そこから「偽りのない, 本物の」という意味になった。&lt;/span&gt;</v>
      </c>
      <c r="AV1096" s="1" t="s">
        <v>38</v>
      </c>
      <c r="BG1096" s="7" t="s">
        <v>1242</v>
      </c>
      <c r="BH1096" s="1" t="s">
        <v>1976</v>
      </c>
      <c r="BI1096" s="1" t="s">
        <v>4844</v>
      </c>
      <c r="BJ1096" s="1" t="s">
        <v>1947</v>
      </c>
      <c r="BK1096" s="2" t="s">
        <v>5677</v>
      </c>
      <c r="BL1096" s="1" t="s">
        <v>1875</v>
      </c>
      <c r="BM1096" s="2" t="s">
        <v>5678</v>
      </c>
    </row>
    <row r="1097" spans="1:67" ht="162" x14ac:dyDescent="0.45">
      <c r="A1097" s="5">
        <v>1096</v>
      </c>
      <c r="B1097" s="6" t="s">
        <v>835</v>
      </c>
      <c r="C1097" s="6" t="s">
        <v>6851</v>
      </c>
      <c r="D1097" s="7" t="s">
        <v>9752</v>
      </c>
      <c r="E1097" s="1" t="s">
        <v>27</v>
      </c>
      <c r="F1097" s="1" t="s">
        <v>5679</v>
      </c>
      <c r="G1097" s="1"/>
      <c r="J1097" s="1" t="s">
        <v>9753</v>
      </c>
      <c r="L1097" s="2" t="s">
        <v>12100</v>
      </c>
      <c r="P1097" s="7" t="s">
        <v>1241</v>
      </c>
      <c r="Q1097" s="13" t="str">
        <f>INDEX($L:$L, MATCH("internal", $B:$B, 0))</f>
        <v>&lt;span class="w"&gt;&lt;b&gt;【680.internal：内部の, 国内の】&lt;/b&gt;&lt;/span&gt;
&lt;span class="ml"&gt;ラテン語に由来する語で、以下の2つの要素から成る。
&lt;span class="spacer"&gt;&lt;/span&gt;internus（内部の）
alis（形容詞化）
&lt;span class="spacer"&gt;&lt;/span&gt;このまま日本語にすると「内部の」という意味になる。これは外部がある前提で、それに対して内部を指すイメージ。&lt;/span&gt;</v>
      </c>
      <c r="R1097" s="13" t="str">
        <f>INDEX($L:$L, MATCH("interior", $B:$B, 0))</f>
        <v>&lt;span class="w"&gt;&lt;b&gt;【1284.interior：室内の, 内部の】&lt;/b&gt;&lt;/span&gt;
&lt;span class="ml"&gt;ラテン語に由来する語で、以下の2つの要素から成る。
&lt;span class="spacer"&gt;&lt;/span&gt;inter（内側の, 内部の）
ior（比較級を作る）
&lt;span class="spacer"&gt;&lt;/span&gt;外部があるという前提で、より内側を表して「内部の」や「室内の」という意味になった。&lt;/span&gt;</v>
      </c>
      <c r="S1097" s="13" t="str">
        <f>INDEX($L:$L, MATCH("ultimate", $B:$B, 0))</f>
        <v>&lt;span class="w"&gt;&lt;b&gt;【886.ultimate：究極の】&lt;/b&gt;&lt;/span&gt;
&lt;span class="ml"&gt;ラテン語*ulter（向こう側の）の最上級ultimus（最も向こうの, 最後の, 最終の）に由来する。
&lt;span class="spacer"&gt;&lt;/span&gt;最も向こう側という最果て・限界というイメージから「究極の」という意味になる。
&lt;span class="spacer"&gt;&lt;/span&gt;ラテン語*ulter（向こう側の）は印欧祖語*al-（向こうへ）にさかのぼる。この印欧祖語からはother / alter という「こちらではなくあちら側＝他の」を意味する語も生まれている。&lt;/span&gt;</v>
      </c>
      <c r="AU1097" s="15"/>
      <c r="AV1097" s="1" t="s">
        <v>38</v>
      </c>
      <c r="BG1097" s="7" t="s">
        <v>1242</v>
      </c>
      <c r="BH1097" s="1" t="s">
        <v>1947</v>
      </c>
      <c r="BI1097" s="2" t="s">
        <v>9495</v>
      </c>
      <c r="BJ1097" s="1" t="s">
        <v>2036</v>
      </c>
      <c r="BK1097" s="2" t="s">
        <v>5680</v>
      </c>
      <c r="BL1097" s="1" t="s">
        <v>1877</v>
      </c>
      <c r="BM1097" s="2" t="s">
        <v>5681</v>
      </c>
    </row>
    <row r="1098" spans="1:67" ht="162" x14ac:dyDescent="0.45">
      <c r="A1098" s="5">
        <v>1097</v>
      </c>
      <c r="B1098" s="8" t="s">
        <v>836</v>
      </c>
      <c r="C1098" s="6" t="s">
        <v>6851</v>
      </c>
      <c r="D1098" s="7" t="s">
        <v>9752</v>
      </c>
      <c r="E1098" s="1" t="s">
        <v>5682</v>
      </c>
      <c r="F1098" s="1" t="s">
        <v>5683</v>
      </c>
      <c r="G1098" s="1" t="s">
        <v>49</v>
      </c>
      <c r="J1098" s="1" t="s">
        <v>9753</v>
      </c>
      <c r="L1098" s="2" t="s">
        <v>9496</v>
      </c>
      <c r="M1098" s="1" t="s">
        <v>12163</v>
      </c>
      <c r="P1098" s="7" t="s">
        <v>1241</v>
      </c>
      <c r="Q1098" s="13" t="str">
        <f>INDEX($L:$L, MATCH("medium", $B:$B, 0))</f>
        <v>&lt;span class="w"&gt;&lt;b&gt;【144.medium：媒体, 手段, メディアmediaの単数形】&lt;/b&gt;&lt;/span&gt;
&lt;span class="ml"&gt;ラテン語medius（中間の）に由来する。
&lt;span class="spacer"&gt;&lt;/span&gt;この語の核は「中間にあるもの」。情報を送る側と受ける側の間にあるものなら「媒体」という意味になる。また行動と目的の間にあるものなら「手段」という意味になる。
&lt;span class="spacer"&gt;&lt;/span&gt;またmediumのmed部分は、middle（ミドル, 真ん中の）と同じ語源にさかのぼる。&lt;/span&gt;</v>
      </c>
      <c r="R1098" s="13" t="str">
        <f>INDEX($L:$L, MATCH("immediate", $B:$B, 0))</f>
        <v>&lt;span class="w"&gt;&lt;b&gt;【498.immediate：即座の, 当面の, 直接の】&lt;/b&gt;&lt;/span&gt;
&lt;span class="ml"&gt;ラテン語に由来する語で、以下の2つの要素から成る。
&lt;span class="spacer"&gt;&lt;/span&gt;in（否定）
medius（中間の）
&lt;span class="spacer"&gt;&lt;/span&gt;このまま日本語にすると「間に何もない」となる。間に何も介さないことから「直接の」という意味になる。また時間において、何かと何かの間に余分な時間がないことから「即座の, 当面の」という意味になる。&lt;/span&gt;</v>
      </c>
      <c r="S1098" s="13" t="str">
        <f>INDEX($L:$L, MATCH("means", $B:$B, 0))</f>
        <v>&lt;span class="w"&gt;&lt;b&gt;【757.means：手段, 資力, 収入】&lt;/b&gt;&lt;/span&gt;
&lt;span class="ml"&gt;ラテン語medius（中間の）に由来する。
&lt;span class="spacer"&gt;&lt;/span&gt;この語の核は「スタートとゴールの中間にあるもの」。そこから、ゴール（目的）に到達するための「手段」という意味になった。また目的を達成するための手段として「資力, 収入」という意味にもなった。
&lt;div class="sample_image means"&gt;&lt;/div&gt;&lt;/span&gt;</v>
      </c>
      <c r="AU1098" s="15"/>
      <c r="AV1098" s="1" t="s">
        <v>38</v>
      </c>
      <c r="BG1098" s="7" t="s">
        <v>1242</v>
      </c>
      <c r="BH1098" s="1" t="s">
        <v>1877</v>
      </c>
      <c r="BI1098" s="2" t="s">
        <v>5684</v>
      </c>
    </row>
    <row r="1099" spans="1:67" ht="126" x14ac:dyDescent="0.45">
      <c r="A1099" s="5">
        <v>1098</v>
      </c>
      <c r="B1099" s="8" t="s">
        <v>837</v>
      </c>
      <c r="C1099" s="6" t="s">
        <v>6851</v>
      </c>
      <c r="D1099" s="7" t="s">
        <v>9752</v>
      </c>
      <c r="E1099" s="1" t="s">
        <v>5685</v>
      </c>
      <c r="F1099" s="1" t="s">
        <v>1920</v>
      </c>
      <c r="G1099" s="1"/>
      <c r="J1099" s="1" t="s">
        <v>9753</v>
      </c>
      <c r="K1099" s="2" t="s">
        <v>9497</v>
      </c>
      <c r="L1099" s="3" t="s">
        <v>9498</v>
      </c>
      <c r="P1099" s="7" t="s">
        <v>1241</v>
      </c>
      <c r="Q1099" s="13" t="str">
        <f>INDEX($L:$L, MATCH("sacrifice", $B:$B, 0))</f>
        <v>&lt;span class="w"&gt;&lt;b&gt;【756.sacrifice：犠牲, いけにえ】&lt;/b&gt;&lt;/span&gt;
&lt;span class="ml"&gt;ラテン語に由来する語で、以下の2つの要素から成る。
&lt;span class="spacer"&gt;&lt;/span&gt;sacer（神聖な：sacredの語源）
facere（行う, 作る）
&lt;span class="spacer"&gt;&lt;/span&gt;このまま日本語にすると「神聖なものにする」となる。古代の宗教では、動物や農作物などを祭壇で神に捧げ、その供物を俗世から切り離して神聖なものに変える儀式が行われていた。ここから神聖なものにされた「いけにえ」という意味になった。
&lt;span class="spacer"&gt;&lt;/span&gt;さらに、神のために自分の持ち物を手放すことから発展して、何らかの目的や他者のために、自分の利益や大切なものを手放すこと、つまり「犠牲」という意味になった。
&lt;div class="sample_image sacrifice"&gt;&lt;/div&gt;&lt;/span&gt;</v>
      </c>
      <c r="AU1099" s="15"/>
      <c r="AV1099" s="1" t="s">
        <v>38</v>
      </c>
      <c r="BG1099" s="7" t="s">
        <v>1242</v>
      </c>
      <c r="BH1099" s="1" t="s">
        <v>1947</v>
      </c>
      <c r="BI1099" s="2" t="s">
        <v>5686</v>
      </c>
      <c r="BJ1099" s="1" t="s">
        <v>1959</v>
      </c>
      <c r="BK1099" s="3" t="s">
        <v>8723</v>
      </c>
      <c r="BL1099" s="1" t="s">
        <v>1875</v>
      </c>
      <c r="BM1099" s="2" t="s">
        <v>5687</v>
      </c>
      <c r="BN1099" s="1" t="s">
        <v>1877</v>
      </c>
      <c r="BO1099" s="2" t="s">
        <v>5688</v>
      </c>
    </row>
    <row r="1100" spans="1:67" ht="180" x14ac:dyDescent="0.45">
      <c r="A1100" s="5">
        <v>1099</v>
      </c>
      <c r="B1100" s="8" t="s">
        <v>838</v>
      </c>
      <c r="C1100" s="6" t="s">
        <v>6853</v>
      </c>
      <c r="D1100" s="7" t="s">
        <v>9752</v>
      </c>
      <c r="E1100" s="1" t="s">
        <v>5689</v>
      </c>
      <c r="F1100" s="1" t="s">
        <v>5690</v>
      </c>
      <c r="G1100" s="1" t="s">
        <v>1457</v>
      </c>
      <c r="J1100" s="1" t="s">
        <v>9753</v>
      </c>
      <c r="K1100" s="1" t="s">
        <v>5691</v>
      </c>
      <c r="L1100" s="2" t="s">
        <v>9499</v>
      </c>
      <c r="M1100" s="1" t="s">
        <v>12143</v>
      </c>
      <c r="P1100" s="7" t="s">
        <v>1241</v>
      </c>
      <c r="Q1100" s="13" t="str">
        <f>INDEX($L:$L, MATCH("resemble", $B:$B, 0))</f>
        <v>&lt;span class="w"&gt;&lt;b&gt;【731.resemble：〜に似ている】&lt;/b&gt;&lt;/span&gt;
&lt;span class="ml"&gt;古フランス語に由来する語で、以下の2つの要素から成る。
&lt;span class="spacer"&gt;&lt;/span&gt;re（強意）
sembler（〜に似ている）
&lt;span class="spacer"&gt;&lt;/span&gt;このまま日本語にすると「〜に似ている」という意味になる。resembleのsemble部分＝古フランス語semblerは、印欧祖語*sem-（一つ, 共に）にさかのぼる。この印欧祖語からは、same（同じ）やsimilar（似た）
&lt;div class="sample_image resemble"&gt;&lt;/div&gt;&lt;/span&gt;</v>
      </c>
      <c r="R1100" s="13" t="str">
        <f>INDEX($L:$L, MATCH("assemble", $B:$B, 0))</f>
        <v>&lt;span class="w"&gt;&lt;b&gt;【1333.assemble：〜を集める, 〜を組み立てる, 集まる】&lt;/b&gt;&lt;/span&gt;
&lt;span class="ml"&gt;ラテン語に由来する語で、以下の2つの要素から成る。
&lt;span class="spacer"&gt;&lt;/span&gt;ad（〜へ）
similis（似ている）
&lt;span class="spacer"&gt;&lt;/span&gt;sem部分の語源であるラテン語similisは、sameやsimilarと同じ印欧祖語*sem-（1つ, 同じ）にさかのぼる。
&lt;span class="spacer"&gt;&lt;/span&gt;これにad（〜へ）が付いたassembleの核は「バラバラのものをある方向へ向かわせてひとつにする」。そこから「集める, 集まる」や、物を「組み立てる」という意味になる。
&lt;div class="sample_image assemble"&gt;&lt;/div&gt;
&lt;span class="spacer"&gt;&lt;/span&gt;resembleはre（強意）とsembleから、完全に同じに見えるから「似ている」となる。&lt;/span&gt;</v>
      </c>
      <c r="S1100" s="13" t="str">
        <f>INDEX($L:$L, MATCH("similar", $B:$B, 0))</f>
        <v>&lt;span class="w"&gt;&lt;b&gt;【86.similar：似ている, 類似した, 同様の】&lt;/b&gt;&lt;/span&gt;
&lt;span class="ml"&gt;ラテン語に由来する語で、以下の2つの要素から成る。
&lt;span class="spacer"&gt;&lt;/span&gt;semol（一緒に）
ilis（形容詞化）
&lt;span class="spacer"&gt;&lt;/span&gt;「一緒に」＝共通の特徴を持っているというところから「似ている, 類似した, 同様の」という意味になる。
&lt;span class="spacer"&gt;&lt;/span&gt;similarのsim部分は、sameと同じ語源にさかのぼる。&lt;/span&gt;</v>
      </c>
      <c r="AV1100" s="1" t="s">
        <v>38</v>
      </c>
      <c r="BG1100" s="7" t="s">
        <v>1242</v>
      </c>
      <c r="BH1100" s="1" t="s">
        <v>1947</v>
      </c>
      <c r="BI1100" s="1" t="s">
        <v>5692</v>
      </c>
      <c r="BJ1100" s="1" t="s">
        <v>2036</v>
      </c>
      <c r="BK1100" s="2" t="s">
        <v>5693</v>
      </c>
      <c r="BL1100" s="1" t="s">
        <v>1967</v>
      </c>
      <c r="BM1100" s="2" t="s">
        <v>5694</v>
      </c>
      <c r="BN1100" s="1" t="s">
        <v>1877</v>
      </c>
      <c r="BO1100" s="2" t="s">
        <v>5695</v>
      </c>
    </row>
    <row r="1101" spans="1:67" ht="90" x14ac:dyDescent="0.45">
      <c r="A1101" s="5">
        <v>1100</v>
      </c>
      <c r="B1101" s="8" t="s">
        <v>839</v>
      </c>
      <c r="C1101" s="6" t="s">
        <v>6852</v>
      </c>
      <c r="D1101" s="7" t="s">
        <v>9752</v>
      </c>
      <c r="E1101" s="1" t="s">
        <v>839</v>
      </c>
      <c r="F1101" s="1"/>
      <c r="G1101" s="1"/>
      <c r="J1101" s="1" t="s">
        <v>9753</v>
      </c>
      <c r="L1101" s="2" t="s">
        <v>9500</v>
      </c>
      <c r="M1101" s="1" t="s">
        <v>12186</v>
      </c>
      <c r="P1101" s="7" t="s">
        <v>1241</v>
      </c>
      <c r="Q1101" s="13" t="str">
        <f>INDEX($L:$L, MATCH("universal", $B:$B, 0))</f>
        <v>&lt;span class="w"&gt;&lt;b&gt;【282.universal：普遍的な, 宇宙の】&lt;/b&gt;&lt;/span&gt;
&lt;span class="ml"&gt;ラテン語に由来する語で、以下の3つの要素から成る。
&lt;span class="spacer"&gt;&lt;/span&gt;unus（1つ）
vertere（回す, 向きを変える）
alis（形容詞化）
&lt;span class="spacer"&gt;&lt;/span&gt;このまま日本語にすると「ひとつに回す」となる。回転することで中心に巻き込まれていって全体がひとつになるイメージから、世界全体や宇宙全体に関わる＝「普遍的な, 宇宙の」という意味になる。
普遍的とは広く全体に当てはまるということ。&lt;/span&gt;</v>
      </c>
      <c r="R1101" s="13" t="str">
        <f>INDEX($L:$L, MATCH("advertise", $B:$B, 0))</f>
        <v>&lt;span class="w"&gt;&lt;b&gt;【414.advertise：〜を宣伝する】&lt;/b&gt;&lt;/span&gt;
&lt;span class="ml"&gt;ラテン語に由来する語で、以下の2つの要素から成る。
&lt;span class="spacer"&gt;&lt;/span&gt;ad（〜へ）
vertere（回す, 向ける）
&lt;span class="spacer"&gt;&lt;/span&gt;この語の核は「注意をある方向へ向けさせる」ということ。人の注意を特定の対象に向けさせることから、商品などに目を向けさせる＝「何かを宣伝する」という意味になる。
&lt;div class="sample_image advertise"&gt;&lt;/div&gt;&lt;/span&gt;</v>
      </c>
      <c r="S1101" s="13" t="str">
        <f>INDEX($L:$L, MATCH("diversity", $B:$B, 0))</f>
        <v>&lt;span class="w"&gt;&lt;b&gt;【456.diversity：多様性, 相違点】&lt;/b&gt;&lt;/span&gt;
&lt;span class="ml"&gt;ラテン語に由来する語で、以下の3つの要素から成る。
&lt;span class="spacer"&gt;&lt;/span&gt;dis（離れて）
vertere（回す, 向ける）
tas（名詞化）
&lt;span class="spacer"&gt;&lt;/span&gt;このまま日本語にすると「離れた（異なる）方向に向けること」となる。これは、それぞれが異なる方向を向いているイメージ。そこから、物事がさまざまに分かれている状態を表し、「多様性, 相違点」という意味になる。&lt;/span&gt;</v>
      </c>
      <c r="T1101" s="13" t="str">
        <f>INDEX($L:$L, MATCH("reverse", $B:$B, 0))</f>
        <v>&lt;span class="w"&gt;&lt;b&gt;【726.reverse：〜を逆転させる, 〜を反対にする】&lt;/b&gt;&lt;/span&gt;
&lt;span class="ml"&gt;ラテン語に由来する語で、以下の2つの要素から成る。
&lt;span class="spacer"&gt;&lt;/span&gt;re（再び, 後ろへ）
vertere（回す, 向ける）
&lt;span class="spacer"&gt;&lt;/span&gt;このまま日本語にすると「後ろへ向ける」や「再び回す」となる。このような向きを変える、ひっくり返す動きから、何かを「逆転させる, 反対にする」という意味になる。&lt;/span&gt;</v>
      </c>
      <c r="U1101" s="13" t="str">
        <f>INDEX($L:$L, MATCH("divorce", $B:$B, 0))</f>
        <v>&lt;span class="w"&gt;&lt;b&gt;【764.divorce：離婚, 分離】&lt;/b&gt;&lt;/span&gt;
&lt;span class="ml"&gt;ラテン語に由来する語で、以下の2つの要素から成る。
&lt;span class="spacer"&gt;&lt;/span&gt;dis（離れて）
vertere（向ける）
&lt;span class="spacer"&gt;&lt;/span&gt;このまま日本語にすると「離れた方向に向ける」となる。もともとは何かの「分離」を意味した。そして、人生という道を共にする夫婦が離れた方を向いて行くことから「離婚」という意味になった。
&lt;div class="sample_image divorce"&gt;&lt;/div&gt;&lt;/span&gt;</v>
      </c>
      <c r="V1101" s="13" t="str">
        <f>INDEX($L:$L, MATCH("controversy", $B:$B, 0))</f>
        <v>&lt;span class="w"&gt;&lt;b&gt;【1152.controversy：論争】&lt;/b&gt;&lt;/span&gt;
&lt;span class="ml"&gt;ラテン語に由来する語で、以下の3つの要素から成る。
&lt;span class="spacer"&gt;&lt;/span&gt;contra（反対に）
versus（〜の方に向けられた)
ia（名詞化）
&lt;span class="spacer"&gt;&lt;/span&gt;この語の核は「相手と同じ方向ではなく反対に向いていること、向き合っていること」。つまり考えや立場が対立して争っていることを表し、そこから 「論争」という意味になる。
&lt;div class="sample_image controversy"&gt;&lt;/div&gt;&lt;/span&gt;</v>
      </c>
      <c r="W1101" s="13" t="str">
        <f>INDEX($L:$L, MATCH("anniversary", $B:$B, 0))</f>
        <v>&lt;span class="w"&gt;&lt;b&gt;【1245.anniversary：〜周年の記念日】&lt;/b&gt;&lt;/span&gt;
&lt;span class="ml"&gt;ラテン語に由来する語で、以下の4つの要素から成る。
&lt;span class="spacer"&gt;&lt;/span&gt;annus（年）
vertere（回す）の過去分詞versus（回された）
arius（形容詞化）
um（名詞化）
&lt;span class="spacer"&gt;&lt;/span&gt;この語の核は「毎年回ってくる日」。
そこから「周年の記念日」という意味になる。&lt;/span&gt;</v>
      </c>
      <c r="X1101" s="13" t="str">
        <f>INDEX($L:$L, MATCH("version", $B:$B, 0))</f>
        <v>&lt;span class="w"&gt;&lt;b&gt;【364.version：〜版】&lt;/b&gt;&lt;/span&gt;
&lt;span class="ml"&gt;ラテン語に由来する語で、以下の2つの要素から成る。
&lt;span class="spacer"&gt;&lt;/span&gt;vertere（回す, 向ける）
io（名詞化）
&lt;span class="spacer"&gt;&lt;/span&gt;このまま日本語にすると「回すこと, 向けること」となる。あるものの向きを別の方へ変えるイメージから、既にあるものを元に別の形へ変えること＝「〜版」という意味になる。&lt;/span&gt;</v>
      </c>
      <c r="Y1101" s="13" t="str">
        <f>INDEX($L:$L, MATCH("vertical", $B:$B, 0))</f>
        <v>&lt;span class="w"&gt;&lt;b&gt;【1188.vertical：垂直の】&lt;/b&gt;&lt;/span&gt;
&lt;span class="ml"&gt;ラテン語に由来する語で、以下の2つの要素から成る。
&lt;span class="spacer"&gt;&lt;/span&gt;vertere（回す）から派生したvertex（回転, 渦, 頂点）
alis（形容詞化）
&lt;span class="spacer"&gt;&lt;/span&gt;この語の核は「回転」。物体の回転や天体の回転、水の渦、髪の渦（つむじ）など、あらゆる回転には中心を通る上下に伸びる軸がある。たとえば天体の回転も、観察者の真上に中心があり、そこを軸として空全体が回転しているように見える。
&lt;span class="spacer"&gt;&lt;/span&gt;そこから、天頂から地平線に対してまっすぐ下ろした線、つまり真上にある頂点から真下へと直角に交わる線へと繋がって「垂直な」という意味になった。
&lt;div class="sample_image vertical"&gt;&lt;/div&gt;&lt;/span&gt;</v>
      </c>
      <c r="Z1101" s="13" t="str">
        <f>INDEX($L:$L, MATCH("convert", $B:$B, 0))</f>
        <v>&lt;span class="w"&gt;&lt;b&gt;【820.convert：～を変える, 改宗させる】&lt;/b&gt;&lt;/span&gt;
&lt;span class="ml"&gt;ラテン語に由来する語で、以下の2つの要素から成る。
&lt;span class="spacer"&gt;&lt;/span&gt;com（共に）
vertere（向ける）
&lt;span class="spacer"&gt;&lt;/span&gt;このまま日本語にすると「共に向ける」となる。これは、みんなを同じ方に向けるイメージ。そこから宗教において、同じ対象を信仰するように「改宗させる」という意味になる。また宗教に限らず、形式や用途などを人為的に「変える」という意味になる。
&lt;div class="sample_image convert"&gt;&lt;/div&gt;&lt;/span&gt;</v>
      </c>
      <c r="AU1101" s="15"/>
      <c r="AV1101" s="1" t="s">
        <v>38</v>
      </c>
      <c r="BG1101" s="7" t="s">
        <v>1242</v>
      </c>
      <c r="BH1101" s="1" t="s">
        <v>1947</v>
      </c>
      <c r="BI1101" s="2" t="s">
        <v>5696</v>
      </c>
      <c r="BJ1101" s="1" t="s">
        <v>1875</v>
      </c>
      <c r="BK1101" s="2" t="s">
        <v>5697</v>
      </c>
    </row>
    <row r="1102" spans="1:67" ht="126" x14ac:dyDescent="0.45">
      <c r="A1102" s="5">
        <v>1101</v>
      </c>
      <c r="B1102" s="8" t="s">
        <v>840</v>
      </c>
      <c r="C1102" s="6" t="s">
        <v>1816</v>
      </c>
      <c r="D1102" s="7" t="s">
        <v>9752</v>
      </c>
      <c r="E1102" s="1" t="s">
        <v>31</v>
      </c>
      <c r="F1102" s="1" t="s">
        <v>5056</v>
      </c>
      <c r="G1102" s="1"/>
      <c r="J1102" s="1" t="s">
        <v>9753</v>
      </c>
      <c r="K1102" s="1" t="s">
        <v>9501</v>
      </c>
      <c r="L1102" s="2" t="s">
        <v>9502</v>
      </c>
      <c r="M1102" s="1" t="s">
        <v>12169</v>
      </c>
      <c r="P1102" s="7" t="s">
        <v>1241</v>
      </c>
      <c r="Q1102" s="13" t="str">
        <f>INDEX($L:$L, MATCH("succeed", $B:$B, 0))</f>
        <v>&lt;span class="w"&gt;&lt;b&gt;【240.succeed：成功する（in）, 継承する（to）】&lt;/b&gt;&lt;/span&gt;
&lt;span class="ml"&gt;ラテン語に由来する語で、以下の2つの要素から成る。
&lt;span class="spacer"&gt;&lt;/span&gt;sub（後に）
cedere（行く, 進む）
&lt;span class="spacer"&gt;&lt;/span&gt;このまま日本語にすると「後に行く」となる。ここから次の2つの意味に発展する。
&lt;span class="spacer"&gt;&lt;/span&gt;①前任者の後を行くというイメージから「何かを継承する」という意味になる。この場合はsucceed &lt;strong&gt;to&lt;/strong&gt; Aで「Aに成功する」となる。
&lt;span class="spacer"&gt;&lt;/span&gt;②行為の後に結果が続くというイメージから「成功する」という意味になる。この場合はsucceed &lt;strong&gt;in&lt;/strong&gt; Aで「Aを継承する」となる。
&lt;div class="sample_image succeed"&gt;&lt;/div&gt;
&lt;span class="spacer"&gt;&lt;/span&gt;&lt;span class="obsolete"&gt;succeedは、もともとは何かに続いて結果が出るという意味で、良い結果（成功）を意味したわけではない。
&lt;span class="spacer"&gt;&lt;/span&gt;16世紀頃にsucceed well（ことがうまくいく）という表現があり、ここからwellが省略されてsucceed（成功する）となった。
&lt;span class="spacer"&gt;&lt;/span&gt;これと同じことがlikeでも起こり、最初はlike ~ wellで「好む」という意味だったが、likeの1語のみになった。
&lt;span class="spacer"&gt;&lt;/span&gt;「～の方が好き / ～が一番好き」という場合、wellの比較級 / 最上級を使ってlike ~ better / the bestとなるが、これはlike〜wellの名残である。&lt;/span&gt;&lt;/span&gt;</v>
      </c>
      <c r="R1102" s="13" t="str">
        <f>INDEX($L:$L, MATCH("exceed", $B:$B, 0))</f>
        <v>&lt;span class="w"&gt;&lt;b&gt;【936.exceed：〜を超える, 〜を勝る】&lt;/b&gt;&lt;/span&gt;
&lt;span class="ml"&gt;ラテン語に由来する語で、以下の2つの要素から成る。
&lt;span class="spacer"&gt;&lt;/span&gt;ex（外に）
cedere（行く）
&lt;span class="spacer"&gt;&lt;/span&gt;このまま日本語にすると「外に行く」となる。ある範囲や基準の外に出て行くことから、何かを「超える, 勝る」という意味になる。
&lt;div class="sample_image exceed"&gt;&lt;/div&gt;&lt;/span&gt;</v>
      </c>
      <c r="S1102" s="13" t="str">
        <f>INDEX($L:$L, MATCH("excess", $B:$B, 0))</f>
        <v>&lt;span class="w"&gt;&lt;b&gt;【1163.excess：過剰, 超過】&lt;/b&gt;&lt;/span&gt;
&lt;span class="ml"&gt;ラテン語に由来する語で、以下の3つの要素から成る。
&lt;span class="spacer"&gt;&lt;/span&gt;ex（外に）
cedere（行く）
us（名詞化）
&lt;span class="spacer"&gt;&lt;/span&gt;このまま日本語にすると「外に行くこと」となる。もともとは、物理的に何かの範囲や領域、境界から外へ出ることを表した。そこから意味が抽象化し、基準や度合を超えること、つまり「超過, 過剰」という意味になった。&lt;/span&gt;</v>
      </c>
      <c r="T1102" s="13" t="str">
        <f>INDEX($L:$L, MATCH("access", $B:$B, 0))</f>
        <v>&lt;span class="w"&gt;&lt;b&gt;【169.access：利用, 入手, 接近】&lt;/b&gt;&lt;/span&gt;
&lt;span class="ml"&gt;ラテン語に由来する語で、以下の2つの要素から成る。
&lt;span class="spacer"&gt;&lt;/span&gt;ad（～へ）
cedere（行く）
&lt;span class="spacer"&gt;&lt;/span&gt;このまま日本語にすると「〜へ行く」となる。ここから「接近」という意味になる。さらに接近という物理的な移動から、近づいて何かを使うという「入手, 利用」という意味になる。
&lt;span class="spacer"&gt;&lt;/span&gt;The hotel has easy access to the station.
そのホテルは駅へのアクセスが良いという物理的な接近の話。
&lt;span class="spacer"&gt;&lt;/span&gt;Students have access to the library.
生徒は図書館を利用できるという利用可能性の話。&lt;/span&gt;</v>
      </c>
      <c r="U1102" s="13" t="str">
        <f>INDEX($L:$L, MATCH("recession", $B:$B, 0))</f>
        <v>&lt;span class="w"&gt;&lt;b&gt;【1171.recession：不況, 後退】&lt;/b&gt;&lt;/span&gt;
&lt;span class="ml"&gt;ラテン語に由来する語で、以下の3つの要素から成る。
&lt;span class="spacer"&gt;&lt;/span&gt;re（後ろへ）
cedere（行く, 進む）
io（名詞化）
&lt;span class="spacer"&gt;&lt;/span&gt;このまま日本語にすると「後ろへ行くこと」つまり「後退」という意味になる。世界恐慌時にdepression（大不況）よりも程度が軽く、一時的な経済の後退を表す言葉として使われたことから「不況」という意味になった。
&lt;div class="sample_image recession"&gt;&lt;/div&gt;&lt;/span&gt;</v>
      </c>
      <c r="V1102" s="13" t="str">
        <f>INDEX($L:$L, MATCH("necessary", $B:$B, 0))</f>
        <v>&lt;span class="w"&gt;&lt;b&gt;【199.necessary：必要な】&lt;/b&gt;&lt;/span&gt;
&lt;span class="ml"&gt;ラテン語に由来する語で、以下の3つの要素から成る。
&lt;span class="spacer"&gt;&lt;/span&gt;ne（=not：否定）
cedere（退く）
arius（形容詞化）
&lt;span class="spacer"&gt;&lt;/span&gt;このまま日本語にすると「退けない」となる。つまり何かを避けられない、それなしでは通れないということから不可欠＝「必要な」という意味になる。&lt;/span&gt;</v>
      </c>
      <c r="W1102" s="13" t="str">
        <f>INDEX($L:$L, MATCH("cease", $B:$B, 0))</f>
        <v>&lt;span class="w"&gt;&lt;b&gt;【1135.cease：〜をやめる】&lt;/b&gt;&lt;/span&gt;
&lt;span class="ml"&gt;ラテン語cedere（行く, 退く）から派生した反復形cessare（やめる）に由来する。
&lt;span class="spacer"&gt;&lt;/span&gt;もともとはその場から立ち去る、身を引くという物理的な動作を表した。そこから、今まで行っていた活動や状態から身を引く＝「やめる」という意味になった。&lt;/span&gt;</v>
      </c>
      <c r="X1102" s="13" t="str">
        <f>INDEX($L:$L, MATCH("precede", $B:$B, 0))</f>
        <v>&lt;span class="w"&gt;&lt;b&gt;【1302.precede：〜に先行する】&lt;/b&gt;&lt;/span&gt;
&lt;span class="ml"&gt;ラテン語に由来する語で、以下の2つの要素から成る。
&lt;span class="spacer"&gt;&lt;/span&gt;prae（前に）
cedere（行く）
&lt;span class="spacer"&gt;&lt;/span&gt;このまま日本語にすると「前に行く」となり、時間的・空間的に何かに「先行する」という意味になる。&lt;/span&gt;
&lt;div class="animation precede"&gt;&lt;/div&gt;</v>
      </c>
      <c r="Y1102" s="13" t="str">
        <f>INDEX($L:$L, MATCH("unprecedented", $B:$B, 0))</f>
        <v>&lt;span class="w"&gt;&lt;b&gt;【1380.unprecedented：前例のない】&lt;/b&gt;&lt;/span&gt;
&lt;span class="ml"&gt;近代英語にさかのぼり、以下の3つの要素から成る。
&lt;span class="spacer"&gt;&lt;/span&gt;un（否定）
precedent（前例を与える）
ed（過去分詞化）
&lt;span class="spacer"&gt;&lt;/span&gt;precedent部分は、ラテン語prae（前に）＋cedere（行く）に由来するprecede（先行する）と関連する。
&lt;span class="spacer"&gt;&lt;/span&gt;否定のunが付くことで、先行するものがない、つまり「前例がない」という意味になる。&lt;/span&gt;</v>
      </c>
      <c r="Z1102" s="13" t="str">
        <f>INDEX($L:$L, MATCH("ancestor", $B:$B, 0))</f>
        <v>&lt;span class="w"&gt;&lt;b&gt;【274.ancestor：祖先】&lt;/b&gt;&lt;/span&gt;
&lt;span class="ml"&gt;ラテン語に由来する語で、以下の3つの要素から成る。
&lt;span class="spacer"&gt;&lt;/span&gt;ante（前に）
cedere（行く, 進む）
or（〜する人）
&lt;span class="spacer"&gt;&lt;/span&gt;このまま日本語にすると「前に行く人」となる。自分たちよりも時間的に前を行く人から先代の人＝「祖先」という意味になる。
&lt;div class="sample_image ancestor"&gt;&lt;/div&gt;&lt;/span&gt;</v>
      </c>
      <c r="AU1102" s="15"/>
      <c r="AV1102" s="1" t="s">
        <v>38</v>
      </c>
      <c r="BG1102" s="7" t="s">
        <v>1242</v>
      </c>
      <c r="BH1102" s="1" t="s">
        <v>1947</v>
      </c>
      <c r="BI1102" s="2" t="s">
        <v>5698</v>
      </c>
      <c r="BJ1102" s="1" t="s">
        <v>1504</v>
      </c>
      <c r="BK1102" s="2" t="s">
        <v>5699</v>
      </c>
      <c r="BL1102" s="1" t="s">
        <v>2044</v>
      </c>
      <c r="BM1102" s="2" t="s">
        <v>5700</v>
      </c>
    </row>
    <row r="1103" spans="1:67" ht="216" x14ac:dyDescent="0.45">
      <c r="A1103" s="5">
        <v>1102</v>
      </c>
      <c r="B1103" s="6" t="s">
        <v>5701</v>
      </c>
      <c r="C1103" s="6" t="s">
        <v>1816</v>
      </c>
      <c r="D1103" s="7" t="s">
        <v>9752</v>
      </c>
      <c r="E1103" s="1" t="s">
        <v>841</v>
      </c>
      <c r="F1103" s="1"/>
      <c r="G1103" s="1"/>
      <c r="J1103" s="1" t="s">
        <v>9753</v>
      </c>
      <c r="K1103" s="2" t="s">
        <v>9503</v>
      </c>
      <c r="L1103" s="3" t="s">
        <v>9504</v>
      </c>
      <c r="P1103" s="7" t="s">
        <v>1241</v>
      </c>
      <c r="Q1103" s="13" t="str">
        <f>INDEX($L:$L, MATCH("origin", $B:$B, 0))</f>
        <v>&lt;span class="w"&gt;&lt;b&gt;【346.origin：起源, 源】&lt;/b&gt;&lt;/span&gt;
&lt;span class="ml"&gt;ラテン語oriri（起き上がる, 昇る, 始まる）に由来する。
&lt;span class="spacer"&gt;&lt;/span&gt;何かの始まりから「起源, 源」という意味になる。日本語でも使われる形容詞オリジナル（元の, original）と関連させて覚える。&lt;/span&gt;</v>
      </c>
      <c r="R1103" s="13" t="str">
        <f>INDEX($L:$L, MATCH("aboriginal", $B:$B, 0))</f>
        <v>&lt;span class="w"&gt;&lt;b&gt;【1190.aboriginal：（大文字Aで）アボリジニの, 先住の, 原生の】&lt;/b&gt;&lt;/span&gt;
&lt;span class="ml"&gt;ラテン語に由来する語で、以下の2つの要素から成る。
&lt;span class="spacer"&gt;&lt;/span&gt;ab（〜から）
origo（始まり, 源泉：originの語源）
&lt;span class="spacer"&gt;&lt;/span&gt;このまま日本語にすると「オリジン（始まり）から」となる。最初からその土地にいる人・動物・植物を指して「先住の, 原生の」という意味になった。
&lt;span class="spacer"&gt;&lt;/span&gt;また近代において、イギリス人がオーストラリアに入って住み着いた後、最初からオーストラリアに住んでいた人々を指して「アボリジニの（Aboriginal）」という意味になった。&lt;/span&gt;</v>
      </c>
      <c r="AU1103" s="15"/>
      <c r="AV1103" s="1" t="s">
        <v>38</v>
      </c>
      <c r="BG1103" s="7" t="s">
        <v>1242</v>
      </c>
      <c r="BH1103" s="1" t="s">
        <v>1947</v>
      </c>
      <c r="BI1103" s="2" t="s">
        <v>5702</v>
      </c>
      <c r="BJ1103" s="1" t="s">
        <v>1504</v>
      </c>
      <c r="BK1103" s="2" t="s">
        <v>5703</v>
      </c>
      <c r="BL1103" s="1" t="s">
        <v>2017</v>
      </c>
      <c r="BM1103" s="1" t="s">
        <v>5704</v>
      </c>
      <c r="BN1103" s="1" t="s">
        <v>1883</v>
      </c>
      <c r="BO1103" s="2" t="s">
        <v>5705</v>
      </c>
    </row>
    <row r="1104" spans="1:67" ht="126" x14ac:dyDescent="0.45">
      <c r="A1104" s="5">
        <v>1103</v>
      </c>
      <c r="B1104" s="6" t="s">
        <v>5706</v>
      </c>
      <c r="C1104" s="6" t="s">
        <v>1816</v>
      </c>
      <c r="D1104" s="7" t="s">
        <v>9752</v>
      </c>
      <c r="E1104" s="1" t="s">
        <v>842</v>
      </c>
      <c r="F1104" s="1"/>
      <c r="G1104" s="1"/>
      <c r="J1104" s="1" t="s">
        <v>9753</v>
      </c>
      <c r="K1104" s="1" t="s">
        <v>5707</v>
      </c>
      <c r="L1104" s="2" t="s">
        <v>9505</v>
      </c>
      <c r="P1104" s="7" t="s">
        <v>1241</v>
      </c>
      <c r="AU1104" s="15"/>
      <c r="AV1104" s="1" t="s">
        <v>38</v>
      </c>
      <c r="BG1104" s="7" t="s">
        <v>1242</v>
      </c>
      <c r="BH1104" s="1" t="s">
        <v>1883</v>
      </c>
      <c r="BI1104" s="2" t="s">
        <v>5708</v>
      </c>
      <c r="BJ1104" s="1" t="s">
        <v>4071</v>
      </c>
      <c r="BK1104" s="2" t="s">
        <v>5709</v>
      </c>
    </row>
    <row r="1105" spans="1:69" ht="108" x14ac:dyDescent="0.45">
      <c r="A1105" s="5">
        <v>1104</v>
      </c>
      <c r="B1105" s="6" t="s">
        <v>843</v>
      </c>
      <c r="C1105" s="6" t="s">
        <v>1816</v>
      </c>
      <c r="D1105" s="7" t="s">
        <v>9752</v>
      </c>
      <c r="E1105" s="6" t="s">
        <v>843</v>
      </c>
      <c r="F1105" s="1"/>
      <c r="G1105" s="1"/>
      <c r="J1105" s="1" t="s">
        <v>9753</v>
      </c>
      <c r="L1105" s="2" t="s">
        <v>9506</v>
      </c>
      <c r="P1105" s="7" t="s">
        <v>1241</v>
      </c>
      <c r="AU1105" s="15"/>
      <c r="AV1105" s="1" t="s">
        <v>38</v>
      </c>
      <c r="BG1105" s="7" t="s">
        <v>1242</v>
      </c>
      <c r="BH1105" s="1" t="s">
        <v>1967</v>
      </c>
      <c r="BI1105" s="2" t="s">
        <v>5710</v>
      </c>
      <c r="BJ1105" s="1" t="s">
        <v>1959</v>
      </c>
      <c r="BK1105" s="2" t="s">
        <v>5711</v>
      </c>
      <c r="BL1105" s="1" t="s">
        <v>1877</v>
      </c>
      <c r="BM1105" s="2" t="s">
        <v>5712</v>
      </c>
    </row>
    <row r="1106" spans="1:69" ht="108" x14ac:dyDescent="0.45">
      <c r="A1106" s="5">
        <v>1105</v>
      </c>
      <c r="B1106" s="6" t="s">
        <v>844</v>
      </c>
      <c r="C1106" s="6" t="s">
        <v>1816</v>
      </c>
      <c r="D1106" s="7" t="s">
        <v>9752</v>
      </c>
      <c r="E1106" s="6" t="s">
        <v>844</v>
      </c>
      <c r="F1106" s="1"/>
      <c r="G1106" s="1"/>
      <c r="J1106" s="1" t="s">
        <v>9753</v>
      </c>
      <c r="L1106" s="2" t="s">
        <v>9507</v>
      </c>
      <c r="P1106" s="7" t="s">
        <v>1241</v>
      </c>
      <c r="Q1106" s="13" t="str">
        <f>INDEX($L:$L, MATCH("bond", $B:$B, 0))</f>
        <v>&lt;span class="w"&gt;&lt;b&gt;【656.bond：絆, 接着剤, 束縛, 債券】&lt;/b&gt;&lt;/span&gt;
&lt;span class="ml"&gt;古英語bend（何かを結びつけるもの, 絆）にさかのぼる。
&lt;span class="spacer"&gt;&lt;/span&gt;何かと何かを結びつけるものから「絆, 接着剤, 束縛, 債券」などの意味になった。「結びつけるもの」というイメージをもとに、文脈で意味を判断すればよい。&lt;/span&gt;</v>
      </c>
      <c r="AV1106" s="1" t="s">
        <v>38</v>
      </c>
      <c r="BG1106" s="7" t="s">
        <v>1242</v>
      </c>
      <c r="BH1106" s="1" t="s">
        <v>1872</v>
      </c>
      <c r="BI1106" s="1" t="s">
        <v>5713</v>
      </c>
      <c r="BJ1106" s="1" t="s">
        <v>1875</v>
      </c>
      <c r="BK1106" s="2" t="s">
        <v>5714</v>
      </c>
      <c r="BL1106" s="1" t="s">
        <v>1877</v>
      </c>
      <c r="BM1106" s="2" t="s">
        <v>5715</v>
      </c>
    </row>
    <row r="1107" spans="1:69" ht="198" x14ac:dyDescent="0.45">
      <c r="A1107" s="5">
        <v>1106</v>
      </c>
      <c r="B1107" s="6" t="s">
        <v>845</v>
      </c>
      <c r="C1107" s="6" t="s">
        <v>1816</v>
      </c>
      <c r="D1107" s="7" t="s">
        <v>9752</v>
      </c>
      <c r="E1107" s="1" t="s">
        <v>1251</v>
      </c>
      <c r="F1107" s="1" t="s">
        <v>151</v>
      </c>
      <c r="G1107" s="1"/>
      <c r="J1107" s="1" t="s">
        <v>9753</v>
      </c>
      <c r="K1107" s="1" t="s">
        <v>5716</v>
      </c>
      <c r="L1107" s="3" t="s">
        <v>9508</v>
      </c>
      <c r="P1107" s="7" t="s">
        <v>1241</v>
      </c>
      <c r="AU1107" s="15"/>
      <c r="AV1107" s="1" t="s">
        <v>38</v>
      </c>
      <c r="BG1107" s="7" t="s">
        <v>1242</v>
      </c>
      <c r="BH1107" s="1" t="s">
        <v>1947</v>
      </c>
      <c r="BI1107" s="2" t="s">
        <v>5717</v>
      </c>
      <c r="BJ1107" s="1" t="s">
        <v>2026</v>
      </c>
      <c r="BK1107" s="1" t="s">
        <v>5718</v>
      </c>
      <c r="BL1107" s="1" t="s">
        <v>1959</v>
      </c>
      <c r="BM1107" s="2" t="s">
        <v>5719</v>
      </c>
      <c r="BN1107" s="1" t="s">
        <v>1875</v>
      </c>
      <c r="BO1107" s="2" t="s">
        <v>5720</v>
      </c>
      <c r="BP1107" s="1" t="s">
        <v>1877</v>
      </c>
      <c r="BQ1107" s="2" t="s">
        <v>5721</v>
      </c>
    </row>
    <row r="1108" spans="1:69" ht="126" x14ac:dyDescent="0.45">
      <c r="A1108" s="5">
        <v>1107</v>
      </c>
      <c r="B1108" s="8" t="s">
        <v>846</v>
      </c>
      <c r="C1108" s="6" t="s">
        <v>1816</v>
      </c>
      <c r="D1108" s="7" t="s">
        <v>9752</v>
      </c>
      <c r="E1108" s="1" t="s">
        <v>1251</v>
      </c>
      <c r="F1108" s="1" t="s">
        <v>27</v>
      </c>
      <c r="G1108" s="1" t="s">
        <v>60</v>
      </c>
      <c r="J1108" s="1" t="s">
        <v>9753</v>
      </c>
      <c r="L1108" s="2" t="s">
        <v>9509</v>
      </c>
      <c r="M1108" s="1" t="s">
        <v>12122</v>
      </c>
      <c r="P1108" s="7" t="s">
        <v>1241</v>
      </c>
      <c r="Q1108" s="13" t="str">
        <f>INDEX($L:$L, MATCH("comfort", $B:$B, 0))</f>
        <v>&lt;span class="w"&gt;&lt;b&gt;【468.comfort：快適さ, 慰め】&lt;/b&gt;&lt;/span&gt;
&lt;span class="ml"&gt;ラテン語に由来する語で、以下の2つの要素から成る。
&lt;span class="spacer"&gt;&lt;/span&gt;com（強意）
fortis（強い）
&lt;span class="spacer"&gt;&lt;/span&gt;このまま日本語にすると「大いに強くする」となる。これは、苦痛の中にいる相手を力づけて、精神的に強くいられるようにするイメージ。そこから、人を安心させる「慰め」や、不安や苦痛のない「快適さ」という意味になる。
&lt;div class="sample_image comfort"&gt;&lt;/div&gt;&lt;/span&gt;</v>
      </c>
      <c r="R1108" s="13" t="str">
        <f>INDEX($L:$L, MATCH("force", $B:$B, 0))</f>
        <v>&lt;span class="w"&gt;&lt;b&gt;【22.force：強いる】&lt;/b&gt;&lt;/span&gt;
&lt;span class="ml"&gt;ラテン語fortis（力強い）に由来する。
&lt;span class="spacer"&gt;&lt;/span&gt;「力強い」から名詞の「力」、さらに力を使って何かをする＝「強いる・強制する」という動詞になる。&lt;/span&gt;</v>
      </c>
      <c r="S1108" s="13" t="str">
        <f>INDEX($L:$L, MATCH("enforce", $B:$B, 0))</f>
        <v>&lt;span class="w"&gt;&lt;b&gt;【1225.enforce：〜を実施（施行）する, 〜を強制する】&lt;/b&gt;&lt;/span&gt;
&lt;span class="ml"&gt;中英語にさかのぼり、以下の2つの要素から成る。
&lt;span class="spacer"&gt;&lt;/span&gt;en（〜にする, 中に）
force（力）
&lt;span class="spacer"&gt;&lt;/span&gt;このまま日本語にすると「中に力を入れる」となる。対象に力を入れ、力を持った状態にすることから、法や規則、義務などに力を持たせてそれを人々に守らせる＝何かを「実施する, 施行する, 強制する」という意味になった。&lt;/span&gt;</v>
      </c>
      <c r="AU1108" s="15"/>
      <c r="AV1108" s="1" t="s">
        <v>38</v>
      </c>
      <c r="BG1108" s="7" t="s">
        <v>1242</v>
      </c>
      <c r="BH1108" s="1" t="s">
        <v>1875</v>
      </c>
      <c r="BI1108" s="2" t="s">
        <v>5722</v>
      </c>
      <c r="BJ1108" s="1" t="s">
        <v>1877</v>
      </c>
      <c r="BK1108" s="2" t="s">
        <v>5723</v>
      </c>
    </row>
    <row r="1109" spans="1:69" ht="144" x14ac:dyDescent="0.45">
      <c r="A1109" s="5">
        <v>1108</v>
      </c>
      <c r="B1109" s="6" t="s">
        <v>5724</v>
      </c>
      <c r="C1109" s="6" t="s">
        <v>1816</v>
      </c>
      <c r="D1109" s="7" t="s">
        <v>9752</v>
      </c>
      <c r="E1109" s="1" t="s">
        <v>1346</v>
      </c>
      <c r="F1109" s="1" t="s">
        <v>5725</v>
      </c>
      <c r="G1109" s="1"/>
      <c r="J1109" s="1" t="s">
        <v>9753</v>
      </c>
      <c r="K1109" s="1" t="s">
        <v>5726</v>
      </c>
      <c r="L1109" s="2" t="s">
        <v>9510</v>
      </c>
      <c r="P1109" s="7" t="s">
        <v>1241</v>
      </c>
      <c r="AU1109" s="15"/>
      <c r="AV1109" s="1" t="s">
        <v>38</v>
      </c>
      <c r="BG1109" s="7" t="s">
        <v>1242</v>
      </c>
      <c r="BH1109" s="1" t="s">
        <v>1947</v>
      </c>
      <c r="BI1109" s="2" t="s">
        <v>5727</v>
      </c>
      <c r="BJ1109" s="1" t="s">
        <v>1877</v>
      </c>
      <c r="BK1109" s="2" t="s">
        <v>5728</v>
      </c>
    </row>
    <row r="1110" spans="1:69" ht="108" x14ac:dyDescent="0.45">
      <c r="A1110" s="5">
        <v>1109</v>
      </c>
      <c r="B1110" s="6" t="s">
        <v>847</v>
      </c>
      <c r="C1110" s="6" t="s">
        <v>1816</v>
      </c>
      <c r="D1110" s="7" t="s">
        <v>9752</v>
      </c>
      <c r="E1110" s="6" t="s">
        <v>847</v>
      </c>
      <c r="F1110" s="1"/>
      <c r="G1110" s="1"/>
      <c r="J1110" s="1" t="s">
        <v>9753</v>
      </c>
      <c r="L1110" s="2" t="s">
        <v>9511</v>
      </c>
      <c r="P1110" s="7" t="s">
        <v>1241</v>
      </c>
      <c r="AU1110" s="15"/>
      <c r="AV1110" s="1" t="s">
        <v>38</v>
      </c>
      <c r="BG1110" s="7" t="s">
        <v>1242</v>
      </c>
      <c r="BH1110" s="1" t="s">
        <v>1877</v>
      </c>
      <c r="BI1110" s="2" t="s">
        <v>5729</v>
      </c>
    </row>
    <row r="1111" spans="1:69" ht="144" x14ac:dyDescent="0.45">
      <c r="A1111" s="5">
        <v>1110</v>
      </c>
      <c r="B1111" s="8" t="s">
        <v>848</v>
      </c>
      <c r="C1111" s="6" t="s">
        <v>1816</v>
      </c>
      <c r="D1111" s="7" t="s">
        <v>9752</v>
      </c>
      <c r="E1111" s="1" t="s">
        <v>1459</v>
      </c>
      <c r="F1111" s="1" t="s">
        <v>9019</v>
      </c>
      <c r="G1111" s="1" t="s">
        <v>1818</v>
      </c>
      <c r="J1111" s="1" t="s">
        <v>9753</v>
      </c>
      <c r="K1111" s="1" t="s">
        <v>9512</v>
      </c>
      <c r="L1111" s="2" t="s">
        <v>9513</v>
      </c>
      <c r="M1111" s="1" t="s">
        <v>12200</v>
      </c>
      <c r="P1111" s="7" t="s">
        <v>1241</v>
      </c>
      <c r="Q1111" s="13" t="str">
        <f>INDEX($L:$L, MATCH("vocabulary", $B:$B, 0))</f>
        <v>&lt;span class="w"&gt;&lt;b&gt;【378.vocabulary：語彙, 単語の集合】&lt;/b&gt;&lt;/span&gt;
&lt;span class="ml"&gt;ラテン語に由来する語で、以下の3つの要素から成る。
&lt;span class="spacer"&gt;&lt;/span&gt;vocare（呼ぶ）
bulum（～するためのもの）
arium（～の集合）
&lt;span class="spacer"&gt;&lt;/span&gt;このまま日本語にすると「呼ぶためのものの集合」となる。呼ぶためのものとは、名前や単語のこと。その単語の集合なので「語彙」という意味になる。&lt;/span&gt;</v>
      </c>
      <c r="R1111" s="13" t="str">
        <f>INDEX($L:$L, MATCH("vocal", $B:$B, 0))</f>
        <v>&lt;span class="w"&gt;&lt;b&gt;【1392.vocal：声の, 発声の, はっきりものを言う】&lt;/b&gt;&lt;/span&gt;
&lt;span class="ml"&gt;ラテン語に由来する語で、以下の2つの要素から成る。
&lt;span class="spacer"&gt;&lt;/span&gt;vox（声）
alis（形容詞化）
&lt;span class="spacer"&gt;&lt;/span&gt;このまま日本語にすれば「声の, 発声の」という意味になる。また声を出すことから発展して、遠慮なく声を出す＝「はっきりものを言う」という意味もある。&lt;/span&gt;</v>
      </c>
      <c r="AU1111" s="15"/>
      <c r="AV1111" s="1" t="s">
        <v>38</v>
      </c>
      <c r="BG1111" s="7" t="s">
        <v>1242</v>
      </c>
      <c r="BH1111" s="1" t="s">
        <v>1947</v>
      </c>
      <c r="BI1111" s="2" t="s">
        <v>5730</v>
      </c>
      <c r="BJ1111" s="1" t="s">
        <v>1959</v>
      </c>
      <c r="BK1111" s="1" t="s">
        <v>5731</v>
      </c>
      <c r="BL1111" s="1" t="s">
        <v>1875</v>
      </c>
      <c r="BM1111" s="2" t="s">
        <v>5732</v>
      </c>
      <c r="BN1111" s="1" t="s">
        <v>1877</v>
      </c>
      <c r="BO1111" s="2" t="s">
        <v>5733</v>
      </c>
    </row>
    <row r="1112" spans="1:69" ht="126" x14ac:dyDescent="0.45">
      <c r="A1112" s="5">
        <v>1111</v>
      </c>
      <c r="B1112" s="8" t="s">
        <v>849</v>
      </c>
      <c r="C1112" s="6" t="s">
        <v>1816</v>
      </c>
      <c r="D1112" s="7" t="s">
        <v>9752</v>
      </c>
      <c r="E1112" s="1" t="s">
        <v>46</v>
      </c>
      <c r="F1112" s="1" t="s">
        <v>4954</v>
      </c>
      <c r="G1112" s="1"/>
      <c r="J1112" s="1" t="s">
        <v>9753</v>
      </c>
      <c r="L1112" s="2" t="s">
        <v>9514</v>
      </c>
      <c r="M1112" s="1" t="s">
        <v>12199</v>
      </c>
      <c r="P1112" s="7" t="s">
        <v>1241</v>
      </c>
      <c r="Q1112"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R1112" s="13" t="str">
        <f>INDEX($L:$L, MATCH("institution", $B:$B, 0))</f>
        <v>&lt;span class="w"&gt;&lt;b&gt;【355.institution：機関, 制度】&lt;/b&gt;&lt;/span&gt;
&lt;span class="ml"&gt;ラテン語に由来する語で、以下の3つの要素から成る。
&lt;span class="spacer"&gt;&lt;/span&gt;in（中に）
statuere（立てる, 設置する）
io（名詞化）
&lt;span class="spacer"&gt;&lt;/span&gt;このまま日本語にすると「中に立てること, 中に設置すること」となる。何かを中に立てて定着させるイメージから、社会の中に作られた仕組み＝「制度」という意味になる。またそういった仕組みを持つ組織＝「機関」という意味にもなる。
&lt;div class="sample_image institution"&gt;&lt;/div&gt;&lt;/span&gt;</v>
      </c>
      <c r="AU1112" s="15"/>
      <c r="AV1112" s="1" t="s">
        <v>38</v>
      </c>
      <c r="BG1112" s="7" t="s">
        <v>1242</v>
      </c>
      <c r="BH1112" s="1" t="s">
        <v>1947</v>
      </c>
      <c r="BI1112" s="2" t="s">
        <v>5734</v>
      </c>
      <c r="BJ1112" s="1" t="s">
        <v>1875</v>
      </c>
      <c r="BK1112" s="2" t="s">
        <v>5735</v>
      </c>
    </row>
    <row r="1113" spans="1:69" ht="144" x14ac:dyDescent="0.45">
      <c r="A1113" s="5">
        <v>1112</v>
      </c>
      <c r="B1113" s="6" t="s">
        <v>850</v>
      </c>
      <c r="C1113" s="6" t="s">
        <v>1816</v>
      </c>
      <c r="D1113" s="7" t="s">
        <v>9752</v>
      </c>
      <c r="E1113" s="1" t="s">
        <v>5000</v>
      </c>
      <c r="F1113" s="1" t="s">
        <v>5736</v>
      </c>
      <c r="G1113" s="1"/>
      <c r="J1113" s="1" t="s">
        <v>9753</v>
      </c>
      <c r="L1113" s="2" t="s">
        <v>9515</v>
      </c>
      <c r="P1113" s="7" t="s">
        <v>1241</v>
      </c>
      <c r="Q1113" s="13" t="str">
        <f>INDEX($L:$L, MATCH("intake", $B:$B, 0))</f>
        <v>&lt;span class="w"&gt;&lt;b&gt;【1368.intake：摂取量, 取り入れること】&lt;/b&gt;&lt;/span&gt;
&lt;span class="ml"&gt;近代英語にさかのぼり、以下の2つの要素から成る。
&lt;span class="spacer"&gt;&lt;/span&gt;in（中に）
take（取る）
&lt;span class="spacer"&gt;&lt;/span&gt;このまま日本語にすると「中に取ること」となる。そこから水や空気、食物などを「取り入れること」や、水や食物の「摂取量」という意味になった。&lt;/span&gt;</v>
      </c>
      <c r="AU1113" s="15"/>
      <c r="AV1113" s="1" t="s">
        <v>38</v>
      </c>
      <c r="BG1113" s="7" t="s">
        <v>1242</v>
      </c>
      <c r="BH1113" s="1" t="s">
        <v>1875</v>
      </c>
      <c r="BI1113" s="2" t="s">
        <v>9516</v>
      </c>
    </row>
    <row r="1114" spans="1:69" ht="54" x14ac:dyDescent="0.45">
      <c r="A1114" s="5">
        <v>1113</v>
      </c>
      <c r="B1114" s="6" t="s">
        <v>851</v>
      </c>
      <c r="C1114" s="6" t="s">
        <v>1816</v>
      </c>
      <c r="D1114" s="7" t="s">
        <v>9752</v>
      </c>
      <c r="E1114" s="6" t="s">
        <v>851</v>
      </c>
      <c r="F1114" s="1"/>
      <c r="G1114" s="1"/>
      <c r="J1114" s="1" t="s">
        <v>9753</v>
      </c>
      <c r="L1114" s="2" t="s">
        <v>9517</v>
      </c>
      <c r="P1114" s="7" t="s">
        <v>1241</v>
      </c>
      <c r="Q1114" s="13" t="str">
        <f>INDEX($L:$L, MATCH("grab", $B:$B, 0))</f>
        <v>&lt;span class="w"&gt;&lt;b&gt;【915.grab：〜をつかむ, 〜を横取りする】&lt;/b&gt;&lt;/span&gt;
&lt;span class="ml"&gt;印欧祖語*ghrebh-（つかむ）に由来する。
&lt;span class="spacer"&gt;&lt;/span&gt;この語の核は「対象を素早くガシッと手に取る」。そこから何かを「つかむ」や「横取りする」という意味になる。&lt;/span&gt;</v>
      </c>
      <c r="R1114" s="13" t="str">
        <f>INDEX($L:$L, MATCH("grasp", $B:$B, 0))</f>
        <v>&lt;span class="w"&gt;&lt;b&gt;【1002.grasp：〜を把握する, 〜を理解する, 〜をしっかり握る】&lt;/b&gt;&lt;/span&gt;
&lt;span class="ml"&gt;印欧祖語*ghrebh-（つかむ）に由来する。
&lt;span class="spacer"&gt;&lt;/span&gt;gripやgrabのgrと同じで、この語の核は「つかむ」。物理的に「しっかり握る」という意味から、比喩的に意味や考えなどをつかむ＝「把握する, 理解する」という意味にもなる。&lt;/span&gt;</v>
      </c>
      <c r="AV1114" s="1" t="s">
        <v>38</v>
      </c>
      <c r="BG1114" s="7" t="s">
        <v>1242</v>
      </c>
      <c r="BH1114" s="1" t="s">
        <v>1872</v>
      </c>
      <c r="BI1114" s="1" t="s">
        <v>5737</v>
      </c>
    </row>
    <row r="1115" spans="1:69" ht="162" x14ac:dyDescent="0.45">
      <c r="A1115" s="5">
        <v>1114</v>
      </c>
      <c r="B1115" s="6" t="s">
        <v>852</v>
      </c>
      <c r="C1115" s="6" t="s">
        <v>1816</v>
      </c>
      <c r="D1115" s="7" t="s">
        <v>9752</v>
      </c>
      <c r="E1115" s="1" t="s">
        <v>1505</v>
      </c>
      <c r="F1115" s="1" t="s">
        <v>1842</v>
      </c>
      <c r="G1115" s="1"/>
      <c r="J1115" s="1" t="s">
        <v>9753</v>
      </c>
      <c r="K1115" s="1" t="s">
        <v>3210</v>
      </c>
      <c r="L1115" s="3" t="s">
        <v>9518</v>
      </c>
      <c r="M1115" s="1" t="s">
        <v>12214</v>
      </c>
      <c r="P1115" s="7" t="s">
        <v>1241</v>
      </c>
      <c r="Q1115" s="13" t="str">
        <f>INDEX($L:$L, MATCH("mission", $B:$B, 0))</f>
        <v>&lt;span class="w"&gt;&lt;b&gt;【744.mission：使命, （外交）使節団, 布教】&lt;/b&gt;&lt;/span&gt;
&lt;span class="ml"&gt;ラテン語に由来する語で、以下の2つの要素から成る。
&lt;span class="spacer"&gt;&lt;/span&gt;mittere（送る）
io（名詞化）
&lt;span class="spacer"&gt;&lt;/span&gt;このまま日本語にすると「送ること」となり、この語の核は「派遣」。宗教活動での派遣なら「布教」、商業や政治での派遣なら「使節団」という意味になる。また派遣には目的や任務があるため、そこから一般的に「使命」という意味になる。&lt;/span&gt;</v>
      </c>
      <c r="R1115" s="13" t="str">
        <f>INDEX($L:$L, MATCH("premise", $B:$B, 0))</f>
        <v>&lt;span class="w"&gt;&lt;b&gt;【1041.premise：前提, 敷地, （premises）建物を含めた構内】&lt;/b&gt;&lt;/span&gt;
&lt;span class="ml"&gt;ラテン語に由来する語で、以下の2つの要素から成る。
&lt;span class="spacer"&gt;&lt;/span&gt;prae（あらかじめ）
mittere（送る）
&lt;span class="spacer"&gt;&lt;/span&gt;このまま日本語にすると「あらかじめ送る」となる。もともとは論理学において、あらかじめ置かれる命題を表し、そこから一般的に、議論の土台となる「前提」という意味になった。
&lt;span class="spacer"&gt;&lt;/span&gt;さらに法的文書（土地の譲渡証書など）において、文書の冒頭に（前に）対象となる土地や建物の詳細を記述し、以降の文章でそれらの土地や建物を前述の財産the premisesと呼んだ。そこから「敷地」や建物を含めた「構内」を意味するようになった。
&lt;div class="sample_image premise"&gt;&lt;/div&gt;&lt;/span&gt;</v>
      </c>
      <c r="S1115" s="13" t="str">
        <f>INDEX($L:$L, MATCH("compromise", $B:$B, 0))</f>
        <v>&lt;span class="w"&gt;&lt;b&gt;【1136.compromise：妥協する, 〜を危うくする】&lt;/b&gt;&lt;/span&gt;
&lt;span class="ml"&gt;ラテン語に由来する語で、以下の2つの要素から成る。
&lt;span class="spacer"&gt;&lt;/span&gt;com（共に）
pro（前へ）
mittere（送る）
&lt;span class="spacer"&gt;&lt;/span&gt;この語の核は「共に約束する（前もって言葉を送る）」。もともとはAとBが争っているときに、2人とも第三者の仲裁者Cの決定に従おうと約束することを表した。AとBはお互いが納得いくところで争いに決着をつけることから「妥協する」という意味になった。
&lt;span class="spacer"&gt;&lt;/span&gt;また、第三者の決定に従うということは、結果がその仲裁者次第となってしまう。そうすると自身に不利な結果になる可能性があり、リスクを背負うことになるので「危うくする」という意味にもなった。&lt;/span&gt;</v>
      </c>
      <c r="T1115" s="13" t="str">
        <f>INDEX($L:$L, MATCH("mess", $B:$B, 0))</f>
        <v>&lt;span class="w"&gt;&lt;b&gt;【1170.mess：散らかった状態, 混乱状態】&lt;/b&gt;&lt;/span&gt;
&lt;span class="ml"&gt;ラテン語mittere（送る, 放つ, 置く）の過去分詞missus（置かれたもの）に由来する。これはmissionやmessageと同じ語源。
&lt;span class="spacer"&gt;&lt;/span&gt;ラテン語ではもともと、どこかに置かれたものという意味。そこから、食卓に置かれた1人分の食事、同じ食卓で集まって食事をする人々、その人たちが残した食べ物をひとつに集めたもの（ごちゃ混ぜの残飯）へと意味が発展した。
&lt;span class="spacer"&gt;&lt;/span&gt;この残飯のぐちゃぐちゃの状態が、部屋などが「散らかった状態」という意味や、人間関係のトラブルや事態の収拾がつかない「混乱状態」という意味になった。
&lt;div class="sample_image mess"&gt;&lt;/div&gt;&lt;/span&gt;</v>
      </c>
      <c r="AU1115" s="15"/>
      <c r="AV1115" s="1" t="s">
        <v>38</v>
      </c>
      <c r="BG1115" s="7" t="s">
        <v>1242</v>
      </c>
      <c r="BH1115" s="1" t="s">
        <v>1947</v>
      </c>
      <c r="BI1115" s="2" t="s">
        <v>5738</v>
      </c>
      <c r="BJ1115" s="1" t="s">
        <v>1875</v>
      </c>
      <c r="BK1115" s="2" t="s">
        <v>5739</v>
      </c>
      <c r="BL1115" s="1" t="s">
        <v>1877</v>
      </c>
      <c r="BM1115" s="2" t="s">
        <v>5740</v>
      </c>
    </row>
    <row r="1116" spans="1:69" ht="126" x14ac:dyDescent="0.45">
      <c r="A1116" s="5">
        <v>1115</v>
      </c>
      <c r="B1116" s="6" t="s">
        <v>853</v>
      </c>
      <c r="C1116" s="6" t="s">
        <v>1816</v>
      </c>
      <c r="D1116" s="7" t="s">
        <v>9752</v>
      </c>
      <c r="E1116" s="1" t="s">
        <v>853</v>
      </c>
      <c r="F1116" s="1"/>
      <c r="G1116" s="1"/>
      <c r="J1116" s="1" t="s">
        <v>9753</v>
      </c>
      <c r="L1116" s="2" t="s">
        <v>9519</v>
      </c>
      <c r="P1116" s="7" t="s">
        <v>1241</v>
      </c>
      <c r="AV1116" s="1" t="s">
        <v>38</v>
      </c>
      <c r="BG1116" s="7" t="s">
        <v>1242</v>
      </c>
      <c r="BH1116" s="1" t="s">
        <v>1947</v>
      </c>
      <c r="BI1116" s="1" t="s">
        <v>9520</v>
      </c>
      <c r="BJ1116" s="1" t="s">
        <v>2026</v>
      </c>
      <c r="BK1116" s="1" t="s">
        <v>5741</v>
      </c>
      <c r="BL1116" s="1" t="s">
        <v>1959</v>
      </c>
      <c r="BM1116" s="2" t="s">
        <v>5742</v>
      </c>
      <c r="BN1116" s="1" t="s">
        <v>1875</v>
      </c>
      <c r="BO1116" s="2" t="s">
        <v>5743</v>
      </c>
      <c r="BP1116" s="1" t="s">
        <v>1877</v>
      </c>
      <c r="BQ1116" s="2" t="s">
        <v>5744</v>
      </c>
    </row>
    <row r="1117" spans="1:69" ht="162" x14ac:dyDescent="0.45">
      <c r="A1117" s="5">
        <v>1116</v>
      </c>
      <c r="B1117" s="6" t="s">
        <v>854</v>
      </c>
      <c r="C1117" s="6" t="s">
        <v>1816</v>
      </c>
      <c r="D1117" s="7" t="s">
        <v>9752</v>
      </c>
      <c r="E1117" s="1" t="s">
        <v>46</v>
      </c>
      <c r="F1117" s="1" t="s">
        <v>5745</v>
      </c>
      <c r="G1117" s="1"/>
      <c r="J1117" s="1" t="s">
        <v>9753</v>
      </c>
      <c r="K1117" s="1" t="s">
        <v>5746</v>
      </c>
      <c r="L1117" s="3" t="s">
        <v>9521</v>
      </c>
      <c r="P1117" s="7" t="s">
        <v>1241</v>
      </c>
      <c r="AU1117" s="15"/>
      <c r="AV1117" s="1" t="s">
        <v>38</v>
      </c>
      <c r="BG1117" s="7" t="s">
        <v>1242</v>
      </c>
      <c r="BH1117" s="1" t="s">
        <v>1947</v>
      </c>
      <c r="BI1117" s="2" t="s">
        <v>5747</v>
      </c>
      <c r="BJ1117" s="1" t="s">
        <v>1959</v>
      </c>
      <c r="BK1117" s="1" t="s">
        <v>5748</v>
      </c>
      <c r="BL1117" s="1" t="s">
        <v>1875</v>
      </c>
      <c r="BM1117" s="2" t="s">
        <v>5749</v>
      </c>
    </row>
    <row r="1118" spans="1:69" ht="54" x14ac:dyDescent="0.45">
      <c r="A1118" s="5">
        <v>1117</v>
      </c>
      <c r="B1118" s="6" t="s">
        <v>855</v>
      </c>
      <c r="C1118" s="6" t="s">
        <v>1816</v>
      </c>
      <c r="D1118" s="7" t="s">
        <v>9752</v>
      </c>
      <c r="E1118" s="1" t="s">
        <v>855</v>
      </c>
      <c r="F1118" s="1"/>
      <c r="G1118" s="1"/>
      <c r="J1118" s="1" t="s">
        <v>9753</v>
      </c>
      <c r="K1118" s="1" t="s">
        <v>5750</v>
      </c>
      <c r="L1118" s="2" t="s">
        <v>9522</v>
      </c>
      <c r="P1118" s="7" t="s">
        <v>1241</v>
      </c>
      <c r="AV1118" s="1" t="s">
        <v>38</v>
      </c>
      <c r="BG1118" s="7" t="s">
        <v>1242</v>
      </c>
      <c r="BH1118" s="1" t="s">
        <v>1872</v>
      </c>
      <c r="BI1118" s="1" t="s">
        <v>5751</v>
      </c>
      <c r="BJ1118" s="1" t="s">
        <v>1875</v>
      </c>
      <c r="BK1118" s="1" t="s">
        <v>5752</v>
      </c>
    </row>
    <row r="1119" spans="1:69" ht="72" x14ac:dyDescent="0.45">
      <c r="A1119" s="5">
        <v>1118</v>
      </c>
      <c r="B1119" s="6" t="s">
        <v>856</v>
      </c>
      <c r="C1119" s="6" t="s">
        <v>1816</v>
      </c>
      <c r="D1119" s="7" t="s">
        <v>9752</v>
      </c>
      <c r="E1119" s="1" t="s">
        <v>856</v>
      </c>
      <c r="F1119" s="1"/>
      <c r="G1119" s="1"/>
      <c r="J1119" s="1" t="s">
        <v>9753</v>
      </c>
      <c r="L1119" s="2" t="s">
        <v>9523</v>
      </c>
      <c r="P1119" s="7" t="s">
        <v>1241</v>
      </c>
      <c r="AV1119" s="1" t="s">
        <v>38</v>
      </c>
      <c r="BG1119" s="7" t="s">
        <v>1242</v>
      </c>
      <c r="BH1119" s="1" t="s">
        <v>1872</v>
      </c>
      <c r="BI1119" s="1" t="s">
        <v>5753</v>
      </c>
      <c r="BJ1119" s="1" t="s">
        <v>1875</v>
      </c>
      <c r="BK1119" s="1" t="s">
        <v>5754</v>
      </c>
      <c r="BL1119" s="1" t="s">
        <v>1877</v>
      </c>
      <c r="BM1119" s="2" t="s">
        <v>5755</v>
      </c>
    </row>
    <row r="1120" spans="1:69" ht="144" x14ac:dyDescent="0.45">
      <c r="A1120" s="5">
        <v>1119</v>
      </c>
      <c r="B1120" s="6" t="s">
        <v>857</v>
      </c>
      <c r="C1120" s="6" t="s">
        <v>1816</v>
      </c>
      <c r="D1120" s="7" t="s">
        <v>9752</v>
      </c>
      <c r="E1120" s="1" t="s">
        <v>857</v>
      </c>
      <c r="F1120" s="1"/>
      <c r="G1120" s="1"/>
      <c r="J1120" s="1" t="s">
        <v>9753</v>
      </c>
      <c r="K1120" s="1" t="s">
        <v>5756</v>
      </c>
      <c r="L1120" s="3" t="s">
        <v>9524</v>
      </c>
      <c r="M1120" s="1" t="s">
        <v>12121</v>
      </c>
      <c r="P1120" s="7" t="s">
        <v>1241</v>
      </c>
      <c r="Q1120" s="13" t="str">
        <f>INDEX($L:$L, MATCH("design", $B:$B, 0))</f>
        <v>&lt;span class="w"&gt;&lt;b&gt;【21.design：～を設計する, ～を計画する】&lt;/b&gt;&lt;/span&gt;
&lt;span class="ml"&gt;ラテン語に由来する語で、以下の2つの要素から成る。
&lt;span class="spacer"&gt;&lt;/span&gt;de（外へ）
signare（印をつける：signの語源）
&lt;span class="spacer"&gt;&lt;/span&gt;このまま日本語にすると「外へ印を付ける」となる。設計図や計画表に印をつけるイメージから「設計する, 計画する」という意味になる。&lt;/span&gt;</v>
      </c>
      <c r="R1120" s="13" t="str">
        <f>INDEX($L:$L, MATCH("assign", $B:$B, 0))</f>
        <v>&lt;span class="w"&gt;&lt;b&gt;【739.assign：〜を割り当てる】&lt;/b&gt;&lt;/span&gt;
&lt;span class="ml"&gt;ラテン語に由来する語で、以下の2つの要素から成る。
&lt;span class="spacer"&gt;&lt;/span&gt;ad（〜へ）
signum（印）から派生したsignare（印をつける）
&lt;span class="spacer"&gt;&lt;/span&gt;このまま日本語にすると「〜へ印をつける」となる。印（サイン）をつけて、財産を割り当てたり、誰かに任務を割り当てたりすることから、何かに対してあるものを「割り当てる」という意味になる。
&lt;div class="sample_image assign"&gt;&lt;/div&gt;&lt;/span&gt;</v>
      </c>
      <c r="S1120" s="13" t="str">
        <f>INDEX($L:$L, MATCH("signature", $B:$B, 0))</f>
        <v>&lt;span class="w"&gt;&lt;b&gt;【1365.signature：署名, 特徴】&lt;/b&gt;&lt;/span&gt;
&lt;span class="ml"&gt;ラテン語に由来する語で、以下の2つの要素から成る。
&lt;span class="spacer"&gt;&lt;/span&gt;signare（印を付ける, 署名する）
ura（名詞化）
&lt;span class="spacer"&gt;&lt;/span&gt;もともとは、所有者が誰かや、あるものが本物であることを示すために、何かに印をつける行為そのものを表した。しかし次第に印をつけることから、その結果として残された印自体へと焦点が移り、文書が本物であることを証明する手書きの「署名」という意味になった。
&lt;span class="spacer"&gt;&lt;/span&gt;また署名はその人にしか書けない固有の印であることからから意味が発展して、特定の人や物を象徴するような、際立った「特徴」という意味にもなった。&lt;/span&gt;</v>
      </c>
      <c r="T1120" s="13" t="str">
        <f>INDEX($L:$L, MATCH("significant", $B:$B, 0))</f>
        <v>&lt;span class="w"&gt;&lt;b&gt;【185.significant：重要な, 重大な, 意義深い】&lt;/b&gt;&lt;/span&gt;
&lt;span class="ml"&gt;ラテン語に由来する語で、以下の2つの要素から成る。
&lt;span class="spacer"&gt;&lt;/span&gt;signum（印：signの語源）
facere（作る, する）
&lt;span class="spacer"&gt;&lt;/span&gt;このまま日本語にすると「印をする」となる。付けられた印が何かを意味することから「意義深い」という意味になる。また印の有無が他と区別することから「重要な, 重大な」という意味になる。
&lt;div class="sample_image significant"&gt;&lt;/div&gt;&lt;/span&gt;</v>
      </c>
      <c r="U1120" s="13" t="str">
        <f>INDEX($L:$L, MATCH("designate", $B:$B, 0))</f>
        <v>&lt;span class="w"&gt;&lt;b&gt;【1411.designate：〜を指定する, 〜を任命する】&lt;/b&gt;&lt;/span&gt;
&lt;span class="ml"&gt;ラテン語に由来する語で、以下の2つの要素から成る。
&lt;span class="spacer"&gt;&lt;/span&gt;de（外へ）
signare（印をつける）
&lt;span class="spacer"&gt;&lt;/span&gt;このまま日本語にすると「印をつけて外へ」となる。数ある中から対象に印をつけて選ぶイメージから「指定する, 任命する」という意味になる。
&lt;div class="sample_image designate"&gt;&lt;/div&gt;&lt;/span&gt;</v>
      </c>
      <c r="AU1120" s="15"/>
      <c r="AV1120" s="1" t="s">
        <v>38</v>
      </c>
      <c r="BG1120" s="7" t="s">
        <v>1242</v>
      </c>
      <c r="BH1120" s="1" t="s">
        <v>1947</v>
      </c>
      <c r="BI1120" s="2" t="s">
        <v>5757</v>
      </c>
      <c r="BJ1120" s="1" t="s">
        <v>2026</v>
      </c>
      <c r="BK1120" s="1" t="s">
        <v>5758</v>
      </c>
      <c r="BL1120" s="1" t="s">
        <v>1959</v>
      </c>
      <c r="BM1120" s="1" t="s">
        <v>5759</v>
      </c>
      <c r="BN1120" s="1" t="s">
        <v>1875</v>
      </c>
      <c r="BO1120" s="2" t="s">
        <v>5760</v>
      </c>
      <c r="BP1120" s="1" t="s">
        <v>1877</v>
      </c>
      <c r="BQ1120" s="2" t="s">
        <v>5761</v>
      </c>
    </row>
    <row r="1121" spans="1:69" ht="198" x14ac:dyDescent="0.45">
      <c r="A1121" s="5">
        <v>1120</v>
      </c>
      <c r="B1121" s="8" t="s">
        <v>858</v>
      </c>
      <c r="C1121" s="6" t="s">
        <v>1816</v>
      </c>
      <c r="D1121" s="7" t="s">
        <v>9752</v>
      </c>
      <c r="E1121" s="1" t="s">
        <v>858</v>
      </c>
      <c r="F1121" s="1"/>
      <c r="G1121" s="1"/>
      <c r="J1121" s="1" t="s">
        <v>9753</v>
      </c>
      <c r="K1121" s="1" t="s">
        <v>5762</v>
      </c>
      <c r="L1121" s="2" t="s">
        <v>9525</v>
      </c>
      <c r="P1121" s="7" t="s">
        <v>1241</v>
      </c>
      <c r="Q1121" s="13" t="str">
        <f>INDEX($L:$L, MATCH("immigration", $B:$B, 0))</f>
        <v>&lt;span class="w"&gt;&lt;b&gt;【561.immigration：（他国からの）移民, 移住, 入国管理】&lt;/b&gt;&lt;/span&gt;
&lt;span class="ml"&gt;ラテン語に由来する語で、以下の2つの要素から成る。
&lt;span class="spacer"&gt;&lt;/span&gt;in（中に）
migrare（移動する, 移住する）
&lt;span class="spacer"&gt;&lt;/span&gt;このまま日本語にすると「（ある場所の）中に移住する」となる。ここから「移住」や、移住してくる「移民全体」、またそれを管理する「入国管理局」という意味になった。
&lt;span class="spacer"&gt;&lt;/span&gt;［immigrate］
in（中に）＋migrare（移動する）
他国から移住する（受け入れる側の視点）
&lt;span class="spacer"&gt;&lt;/span&gt;［emigrate］
ex（外へ）＋migrare（移動する）
自国から別の国へ移住する（出ていく側の視点）
&lt;div class="sample_image immigration"&gt;&lt;/div&gt;&lt;/span&gt;</v>
      </c>
      <c r="AU1121" s="15"/>
      <c r="AV1121" s="1" t="s">
        <v>38</v>
      </c>
      <c r="BG1121" s="7" t="s">
        <v>1242</v>
      </c>
      <c r="BH1121" s="1" t="s">
        <v>1947</v>
      </c>
      <c r="BI1121" s="2" t="s">
        <v>5763</v>
      </c>
      <c r="BJ1121" s="1" t="s">
        <v>1877</v>
      </c>
      <c r="BK1121" s="2" t="s">
        <v>5764</v>
      </c>
    </row>
    <row r="1122" spans="1:69" ht="162" x14ac:dyDescent="0.45">
      <c r="A1122" s="5">
        <v>1121</v>
      </c>
      <c r="B1122" s="8" t="s">
        <v>859</v>
      </c>
      <c r="C1122" s="6" t="s">
        <v>1816</v>
      </c>
      <c r="D1122" s="7" t="s">
        <v>9752</v>
      </c>
      <c r="E1122" s="1" t="s">
        <v>1413</v>
      </c>
      <c r="F1122" s="1" t="s">
        <v>3805</v>
      </c>
      <c r="G1122" s="1" t="s">
        <v>5765</v>
      </c>
      <c r="J1122" s="1" t="s">
        <v>9753</v>
      </c>
      <c r="L1122" s="3" t="s">
        <v>9526</v>
      </c>
      <c r="P1122" s="7" t="s">
        <v>1241</v>
      </c>
      <c r="Q1122" s="13" t="str">
        <f>INDEX($L:$L, MATCH("suggest", $B:$B, 0))</f>
        <v>&lt;span class="w"&gt;&lt;b&gt;【9.suggest：～を提案する, ～を示唆する】&lt;/b&gt;&lt;/span&gt; 
&lt;span class="ml"&gt;ラテン語に由来する語で、以下の2つの要素から成る。
&lt;span class="spacer"&gt;&lt;/span&gt;sub（下に, 下から）
gerere（運ぶ）
&lt;span class="spacer"&gt;&lt;/span&gt;このまま日本語にすると「下に運ぶ, 下から運ぶ」となる。これは火に薪をくべる（＝下に運ぶ）様子や、演劇で舞台の下からセリフを思い出させる（＝下から運ぶ）様子から、相手に何かを差し出すという意味になる。そしてアイデアを差し出す＝「提案する」となる。
&lt;span class="spacer"&gt;&lt;/span&gt;また相手に何かを差し出し、それによって別の何かを連想させたり気づかせたりする場合は「示唆する」となる。
&lt;div class="sample_image suggest"&gt;&lt;/div&gt;&lt;/span&gt;</v>
      </c>
      <c r="R1122" s="13" t="str">
        <f>INDEX($L:$L, MATCH("register", $B:$B, 0))</f>
        <v>&lt;span class="w"&gt;&lt;b&gt;【829.register：〜を記録する, 〜を登録する】&lt;/b&gt;&lt;/span&gt;
&lt;span class="ml"&gt;ラテン語に由来する語で、以下の2つの要素から成る。
&lt;span class="spacer"&gt;&lt;/span&gt;re（後ろへ）
gerere（運ぶ）
&lt;span class="spacer"&gt;&lt;/span&gt;このまま日本語にすると「後ろへ運ぶ（持ち帰る）」となる。もともとは、情報を持ち帰って帳簿や記録簿に書き込むことを表した。そこから、何かを「記録する, 登録する」という意味になった。&lt;/span&gt;</v>
      </c>
      <c r="AU1122" s="15"/>
      <c r="AV1122" s="1" t="s">
        <v>38</v>
      </c>
      <c r="BG1122" s="7" t="s">
        <v>1242</v>
      </c>
      <c r="BH1122" s="1" t="s">
        <v>1947</v>
      </c>
      <c r="BI1122" s="2" t="s">
        <v>5766</v>
      </c>
      <c r="BJ1122" s="1" t="s">
        <v>1877</v>
      </c>
      <c r="BK1122" s="2" t="s">
        <v>5767</v>
      </c>
    </row>
    <row r="1123" spans="1:69" ht="216" x14ac:dyDescent="0.45">
      <c r="A1123" s="5">
        <v>1122</v>
      </c>
      <c r="B1123" s="6" t="s">
        <v>860</v>
      </c>
      <c r="C1123" s="6" t="s">
        <v>1816</v>
      </c>
      <c r="D1123" s="7" t="s">
        <v>9752</v>
      </c>
      <c r="E1123" s="1" t="s">
        <v>1346</v>
      </c>
      <c r="F1123" s="1" t="s">
        <v>5768</v>
      </c>
      <c r="G1123" s="1"/>
      <c r="J1123" s="1" t="s">
        <v>9753</v>
      </c>
      <c r="L1123" s="3" t="s">
        <v>10372</v>
      </c>
      <c r="P1123" s="7" t="s">
        <v>1241</v>
      </c>
      <c r="Q1123" s="13" t="str">
        <f>INDEX($L:$L, MATCH("cause", $B:$B, 0))</f>
        <v>&lt;span class="w"&gt;&lt;b&gt;【46.cause：原因, 理由, 大義】&lt;/b&gt;&lt;/span&gt;
&lt;span class="ml"&gt;ラテン語causa（原因, 理由）に由来する。
&lt;span class="spacer"&gt;&lt;/span&gt;結果を生み出す「原因」や何かが起こる「理由」、行動を正当化する「理由, 大義」という意味になる。
&lt;span class="spacer"&gt;&lt;/span&gt;動詞causeは「〜の原因となる, 何かを引き起こす」となる。&lt;/span&gt;</v>
      </c>
      <c r="AU1123" s="15"/>
      <c r="AV1123" s="1" t="s">
        <v>38</v>
      </c>
      <c r="BG1123" s="7" t="s">
        <v>1242</v>
      </c>
      <c r="BH1123" s="1" t="s">
        <v>1947</v>
      </c>
      <c r="BI1123" s="2" t="s">
        <v>5769</v>
      </c>
      <c r="BJ1123" s="1" t="s">
        <v>1959</v>
      </c>
      <c r="BK1123" s="2" t="s">
        <v>5770</v>
      </c>
      <c r="BL1123" s="1" t="s">
        <v>1875</v>
      </c>
      <c r="BM1123" s="2" t="s">
        <v>5771</v>
      </c>
    </row>
    <row r="1124" spans="1:69" ht="198" x14ac:dyDescent="0.45">
      <c r="A1124" s="5">
        <v>1123</v>
      </c>
      <c r="B1124" s="8" t="s">
        <v>861</v>
      </c>
      <c r="C1124" s="6" t="s">
        <v>1816</v>
      </c>
      <c r="D1124" s="7" t="s">
        <v>9752</v>
      </c>
      <c r="E1124" s="1" t="s">
        <v>861</v>
      </c>
      <c r="F1124" s="1"/>
      <c r="G1124" s="1"/>
      <c r="J1124" s="1" t="s">
        <v>9753</v>
      </c>
      <c r="K1124" s="1" t="s">
        <v>9527</v>
      </c>
      <c r="L1124" s="3" t="s">
        <v>9528</v>
      </c>
      <c r="P1124" s="7" t="s">
        <v>1241</v>
      </c>
      <c r="AU1124" s="15"/>
      <c r="AV1124" s="1" t="s">
        <v>38</v>
      </c>
      <c r="BG1124" s="7" t="s">
        <v>1242</v>
      </c>
      <c r="BH1124" s="1" t="s">
        <v>1947</v>
      </c>
      <c r="BI1124" s="2" t="s">
        <v>5772</v>
      </c>
      <c r="BJ1124" s="1" t="s">
        <v>2026</v>
      </c>
      <c r="BK1124" s="1" t="s">
        <v>5773</v>
      </c>
      <c r="BL1124" s="1" t="s">
        <v>1959</v>
      </c>
      <c r="BM1124" s="1" t="s">
        <v>5774</v>
      </c>
      <c r="BN1124" s="1" t="s">
        <v>1875</v>
      </c>
      <c r="BO1124" s="2" t="s">
        <v>5775</v>
      </c>
    </row>
    <row r="1125" spans="1:69" ht="108" x14ac:dyDescent="0.45">
      <c r="A1125" s="5">
        <v>1124</v>
      </c>
      <c r="B1125" s="8" t="s">
        <v>862</v>
      </c>
      <c r="C1125" s="6" t="s">
        <v>1816</v>
      </c>
      <c r="D1125" s="7" t="s">
        <v>9752</v>
      </c>
      <c r="E1125" s="1" t="s">
        <v>862</v>
      </c>
      <c r="F1125" s="1"/>
      <c r="G1125" s="1"/>
      <c r="J1125" s="1" t="s">
        <v>9753</v>
      </c>
      <c r="K1125" s="2" t="s">
        <v>5776</v>
      </c>
      <c r="L1125" s="2" t="s">
        <v>9529</v>
      </c>
      <c r="P1125" s="7" t="s">
        <v>1241</v>
      </c>
      <c r="AV1125" s="1" t="s">
        <v>38</v>
      </c>
      <c r="BG1125" s="7" t="s">
        <v>1242</v>
      </c>
      <c r="BH1125" s="1" t="s">
        <v>1947</v>
      </c>
      <c r="BI1125" s="1" t="s">
        <v>5777</v>
      </c>
      <c r="BJ1125" s="1" t="s">
        <v>1959</v>
      </c>
      <c r="BK1125" s="2" t="s">
        <v>5778</v>
      </c>
      <c r="BL1125" s="1" t="s">
        <v>1875</v>
      </c>
      <c r="BM1125" s="2" t="s">
        <v>5779</v>
      </c>
    </row>
    <row r="1126" spans="1:69" ht="90" x14ac:dyDescent="0.45">
      <c r="A1126" s="5">
        <v>1125</v>
      </c>
      <c r="B1126" s="6" t="s">
        <v>863</v>
      </c>
      <c r="C1126" s="6" t="s">
        <v>1816</v>
      </c>
      <c r="D1126" s="7" t="s">
        <v>9752</v>
      </c>
      <c r="E1126" s="1" t="s">
        <v>863</v>
      </c>
      <c r="F1126" s="1"/>
      <c r="G1126" s="1"/>
      <c r="J1126" s="1" t="s">
        <v>9753</v>
      </c>
      <c r="K1126" s="1" t="s">
        <v>5780</v>
      </c>
      <c r="L1126" s="2" t="s">
        <v>9530</v>
      </c>
      <c r="P1126" s="7" t="s">
        <v>1241</v>
      </c>
      <c r="AV1126" s="1" t="s">
        <v>38</v>
      </c>
      <c r="BG1126" s="7" t="s">
        <v>1242</v>
      </c>
      <c r="BH1126" s="1" t="s">
        <v>1872</v>
      </c>
      <c r="BI1126" s="1" t="s">
        <v>5781</v>
      </c>
      <c r="BJ1126" s="1" t="s">
        <v>1875</v>
      </c>
      <c r="BK1126" s="1" t="s">
        <v>5782</v>
      </c>
      <c r="BL1126" s="1" t="s">
        <v>3496</v>
      </c>
      <c r="BM1126" s="2" t="s">
        <v>5783</v>
      </c>
    </row>
    <row r="1127" spans="1:69" ht="198" x14ac:dyDescent="0.45">
      <c r="A1127" s="5">
        <v>1126</v>
      </c>
      <c r="B1127" s="6" t="s">
        <v>864</v>
      </c>
      <c r="C1127" s="6" t="s">
        <v>1816</v>
      </c>
      <c r="D1127" s="7" t="s">
        <v>9752</v>
      </c>
      <c r="E1127" s="1" t="s">
        <v>864</v>
      </c>
      <c r="F1127" s="1"/>
      <c r="G1127" s="1"/>
      <c r="J1127" s="1" t="s">
        <v>9753</v>
      </c>
      <c r="K1127" s="2" t="s">
        <v>9531</v>
      </c>
      <c r="L1127" s="2" t="s">
        <v>9532</v>
      </c>
      <c r="P1127" s="7" t="s">
        <v>1241</v>
      </c>
      <c r="AV1127" s="1" t="s">
        <v>38</v>
      </c>
      <c r="BG1127" s="7" t="s">
        <v>1242</v>
      </c>
      <c r="BH1127" s="1" t="s">
        <v>1872</v>
      </c>
      <c r="BI1127" s="1" t="s">
        <v>5784</v>
      </c>
      <c r="BJ1127" s="1" t="s">
        <v>1875</v>
      </c>
      <c r="BK1127" s="2" t="s">
        <v>5785</v>
      </c>
    </row>
    <row r="1128" spans="1:69" ht="126" x14ac:dyDescent="0.45">
      <c r="A1128" s="5">
        <v>1127</v>
      </c>
      <c r="B1128" s="6" t="s">
        <v>865</v>
      </c>
      <c r="C1128" s="6" t="s">
        <v>1816</v>
      </c>
      <c r="D1128" s="7" t="s">
        <v>9752</v>
      </c>
      <c r="E1128" s="1" t="s">
        <v>5786</v>
      </c>
      <c r="F1128" s="1" t="s">
        <v>5787</v>
      </c>
      <c r="G1128" s="1"/>
      <c r="J1128" s="1" t="s">
        <v>9753</v>
      </c>
      <c r="L1128" s="2" t="s">
        <v>9533</v>
      </c>
      <c r="P1128" s="7" t="s">
        <v>1241</v>
      </c>
      <c r="AU1128" s="15"/>
      <c r="AV1128" s="1" t="s">
        <v>38</v>
      </c>
      <c r="BG1128" s="7" t="s">
        <v>1242</v>
      </c>
      <c r="BH1128" s="1" t="s">
        <v>1872</v>
      </c>
      <c r="BI1128" s="2" t="s">
        <v>5788</v>
      </c>
    </row>
    <row r="1129" spans="1:69" ht="126" x14ac:dyDescent="0.45">
      <c r="A1129" s="5">
        <v>1128</v>
      </c>
      <c r="B1129" s="6" t="s">
        <v>866</v>
      </c>
      <c r="C1129" s="6" t="s">
        <v>1816</v>
      </c>
      <c r="D1129" s="7" t="s">
        <v>9752</v>
      </c>
      <c r="E1129" s="1" t="s">
        <v>866</v>
      </c>
      <c r="F1129" s="1"/>
      <c r="G1129" s="1"/>
      <c r="J1129" s="1" t="s">
        <v>9753</v>
      </c>
      <c r="L1129" s="3" t="s">
        <v>9551</v>
      </c>
      <c r="P1129" s="7" t="s">
        <v>1241</v>
      </c>
      <c r="AU1129" s="15"/>
      <c r="AV1129" s="1" t="s">
        <v>38</v>
      </c>
      <c r="BG1129" s="7" t="s">
        <v>1242</v>
      </c>
      <c r="BH1129" s="1" t="s">
        <v>1947</v>
      </c>
      <c r="BI1129" s="2" t="s">
        <v>5789</v>
      </c>
      <c r="BJ1129" s="1" t="s">
        <v>1959</v>
      </c>
      <c r="BK1129" s="1" t="s">
        <v>5790</v>
      </c>
      <c r="BL1129" s="1" t="s">
        <v>2114</v>
      </c>
      <c r="BM1129" s="1" t="s">
        <v>5791</v>
      </c>
      <c r="BN1129" s="1" t="s">
        <v>1875</v>
      </c>
      <c r="BO1129" s="2" t="s">
        <v>5792</v>
      </c>
      <c r="BP1129" s="1" t="s">
        <v>1877</v>
      </c>
      <c r="BQ1129" s="2" t="s">
        <v>5793</v>
      </c>
    </row>
    <row r="1130" spans="1:69" ht="180" x14ac:dyDescent="0.45">
      <c r="A1130" s="5">
        <v>1129</v>
      </c>
      <c r="B1130" s="8" t="s">
        <v>867</v>
      </c>
      <c r="C1130" s="6" t="s">
        <v>1816</v>
      </c>
      <c r="D1130" s="7" t="s">
        <v>9752</v>
      </c>
      <c r="E1130" s="1" t="s">
        <v>1467</v>
      </c>
      <c r="F1130" s="1" t="s">
        <v>5794</v>
      </c>
      <c r="G1130" s="1"/>
      <c r="J1130" s="1" t="s">
        <v>9753</v>
      </c>
      <c r="L1130" s="3" t="s">
        <v>9534</v>
      </c>
      <c r="M1130" s="1" t="s">
        <v>12172</v>
      </c>
      <c r="P1130" s="7" t="s">
        <v>1241</v>
      </c>
      <c r="Q1130" s="13" t="str">
        <f>INDEX($L:$L, MATCH("pose", $B:$B, 0))</f>
        <v>&lt;span class="w"&gt;&lt;b&gt;【804.pose：（危険）を引き起こす, （問題など）を提起する, ポーズをとる, 装う】&lt;/b&gt;&lt;/span&gt;
&lt;span class="ml"&gt;ラテン語に由来する語で、以下の2つの要素から成る。
&lt;span class="spacer"&gt;&lt;/span&gt;pausere（止まる, 休む, 休ませる）
ponere（置く）
&lt;span class="spacer"&gt;&lt;/span&gt;この語の核は「何かを置く」。問題や危険を置くことから「問題を提起する, 危険を引き起こす」という意味になる。またある態度や性格に身を置くことから、態度や性格を「装う」、またモデルなどが「ポーズをとる」という意味になる。
&lt;span class="spacer"&gt;&lt;/span&gt;poseの目的語にくるものを「置く」ことから文に合った訳を考えればよい。
&lt;div class="sample_image pose"&gt;&lt;/div&gt;&lt;/span&gt;</v>
      </c>
      <c r="R1130" s="13" t="str">
        <f>INDEX($L:$L, MATCH("expose", $B:$B, 0))</f>
        <v>&lt;span class="w"&gt;&lt;b&gt;【433.expose：～をさらす, 〜を暴露する】&lt;/b&gt;&lt;/span&gt;
&lt;span class="ml"&gt;ラテン語に由来する語で、以下の2つの要素から成る。
&lt;span class="spacer"&gt;&lt;/span&gt;ex（外に）
ponere（置く）
&lt;span class="spacer"&gt;&lt;/span&gt;このまま日本語にすると「外に置く」となる。これは、内側にあるものを外側に置くイメージ。そこから何かを「さらす, 暴露する」という意味になる。
&lt;div class="sample_image expose"&gt;&lt;/div&gt;&lt;/span&gt;</v>
      </c>
      <c r="S1130" s="13" t="str">
        <f>INDEX($L:$L, MATCH("impose", $B:$B, 0))</f>
        <v>&lt;span class="w"&gt;&lt;b&gt;【826.impose：〜を課す, 〜を押し付ける】&lt;/b&gt;&lt;/span&gt;
&lt;span class="ml"&gt;古フランス語に由来する語で、以下の2つの要素から成る。
&lt;span class="spacer"&gt;&lt;/span&gt;in（中に）
poser（置く）
&lt;span class="spacer"&gt;&lt;/span&gt;このまま日本語にすると「中に置く」となる。相手の領域の中に押し込んで置くイメージから、対象に何かを「押し付ける, 課す」という意味になる。
&lt;div class="sample_image impose"&gt;&lt;/div&gt;&lt;/span&gt;</v>
      </c>
      <c r="T1130" s="13" t="str">
        <f>INDEX($L:$L, MATCH("propose", $B:$B, 0))</f>
        <v>&lt;span class="w"&gt;&lt;b&gt;【436.propose：〜を提案する】&lt;/b&gt;&lt;/span&gt;
&lt;span class="ml"&gt;ラテン語に由来する語で、以下の2つの要素から成る。
&lt;span class="spacer"&gt;&lt;/span&gt;pro（前へ）
ponere（置く）
&lt;span class="spacer"&gt;&lt;/span&gt;このまま日本語にすると「前に置く」となる。意見や考えを相手の前に置くイメージから「提案する」という意味になる。&lt;/span&gt;</v>
      </c>
      <c r="U1130" s="13" t="str">
        <f>INDEX($L:$L, MATCH("oppose", $B:$B, 0))</f>
        <v>&lt;span class="w"&gt;&lt;b&gt;【513.oppose：〜に反対する, 〜を対抗させる】&lt;/b&gt;&lt;/span&gt;
&lt;span class="ml"&gt;ラテン語に由来する語で、以下の2つの要素から成る。
&lt;span class="spacer"&gt;&lt;/span&gt;ob（〜に対して）
ponere（置く）
&lt;span class="spacer"&gt;&lt;/span&gt;このまま日本語にすると「～に対して置く」となる。相手に対して自分を置く、つまり相手と自分が向かい合うように置くイメージから「反対する, 対抗させる」という意味になる。
&lt;div class="sample_image oppose"&gt;&lt;/div&gt;&lt;/span&gt;</v>
      </c>
      <c r="V1130" s="13" t="str">
        <f>INDEX($L:$L, MATCH("dispose", $B:$B, 0))</f>
        <v>&lt;span class="w"&gt;&lt;b&gt;【1435.dispose：（of ~）〜を処分する, （dispose ~ to do）〜する気にさせる】&lt;/b&gt;&lt;/span&gt;
&lt;span class="ml"&gt;ラテン語に由来する語で、以下の2つの要素から成る。
&lt;span class="spacer"&gt;&lt;/span&gt;dis（離れて）
ponere（置く）
&lt;span class="spacer"&gt;&lt;/span&gt;このまま日本語にすると「離して置く」となるが、この語の核は「ごちゃごちゃしたものをそれぞれ離して整理し、あるべき位置へ置く」イメージ。
&lt;span class="spacer"&gt;&lt;/span&gt;不要なもの・問題などを整理して、それがあるべき場所へ置くことから「処分する」という意味になる。
&lt;span class="spacer"&gt;&lt;/span&gt;また相手の気持ちを整理して進むべき方向へ置くことから「何かをする気にさせる」となる。
&lt;span class="spacer"&gt;&lt;/span&gt;dispose 人 to do
人 be disposed to do
&lt;div class="sample_image dispose"&gt;&lt;/div&gt;&lt;/span&gt;</v>
      </c>
      <c r="W1130" s="13" t="str">
        <f>INDEX($L:$L, MATCH("compose", $B:$B, 0))</f>
        <v>&lt;span class="w"&gt;&lt;b&gt;【833.compose：～を構成する, ～を創作する】&lt;/b&gt;&lt;/span&gt;
&lt;span class="ml"&gt;ラテン語に由来する語で、以下の2つの要素から成る。
&lt;span class="spacer"&gt;&lt;/span&gt;com（共に）
ponere（置く）
&lt;span class="spacer"&gt;&lt;/span&gt;このまま日本語にすると「共に置く」となる。2つ以上のものを一緒に置いて全体を形作ることから、構成要素となって全体を作り上げる＝「構成する, 創作する」という意味になる。
&lt;div class="sample_image compose"&gt;&lt;/div&gt;&lt;/span&gt;</v>
      </c>
      <c r="X1130" s="13" t="str">
        <f>INDEX($L:$L, MATCH("suppose", $B:$B, 0))</f>
        <v>&lt;span class="w"&gt;&lt;b&gt;【121.suppose：～と仮定する, と思う】&lt;/b&gt;&lt;/span&gt;
&lt;span class="ml"&gt;ラテン語に由来する語で、以下の2つの要素から成る。
&lt;span class="spacer"&gt;&lt;/span&gt;sub（下に）
ponere（置く）
&lt;span class="spacer"&gt;&lt;/span&gt;このまま日本語にすると「下に置く」となる。思考において、何かを既にあるものとして土台に置くイメージから、何かを前提として置く＝「仮定する」という意味になる。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&lt;div class="sample_image suppose"&gt;&lt;/div&gt;
&lt;span class="spacer"&gt;&lt;/span&gt;supposeを「前提に置く」というイメージで覚えておけば、be supposed to do A（Aすることになっている）は、要は「Aするということが前提として置かれている」だけだと理解できる。&lt;/span&gt;</v>
      </c>
      <c r="Y1130" s="13" t="str">
        <f>INDEX($L:$L, MATCH("positive", $B:$B, 0))</f>
        <v>&lt;span class="w"&gt;&lt;b&gt;【179.positive：肯定的な, 確信して, （検査で）陽性の】&lt;/b&gt;&lt;/span&gt;
&lt;span class="ml"&gt;ラテン語に由来する語で、以下の2つの要素から成る。
&lt;span class="spacer"&gt;&lt;/span&gt;ponere（置く）の過去分詞positus（置かれる）
ivus（形容詞化）
&lt;span class="spacer"&gt;&lt;/span&gt;もともとは法律用語。法や権威あるものによって置かれる、つまり法や権威によって定められて否定のしようがないという意味で使われた。ここから「肯定的な, 確信して, 陽性の」という意味になる。&lt;/span&gt;</v>
      </c>
      <c r="Z1130" s="13" t="str">
        <f>INDEX($L:$L, MATCH("deposit", $B:$B, 0))</f>
        <v>&lt;span class="w"&gt;&lt;b&gt;【1315.deposit：〜を置く, 〜を預ける】&lt;/b&gt;&lt;/span&gt;
&lt;span class="ml"&gt;ラテン語に由来する語で、以下の2つの要素から成る。
&lt;span class="spacer"&gt;&lt;/span&gt;de（離れて, 下に）
ponere（置く）
&lt;span class="spacer"&gt;&lt;/span&gt;このまま日本語にすると「離れて置く, 下に置く」となる。物理的に何かを「置く」という意味もあるが、金銭や貴重品を離れた場所に「預ける」という意味にもなる。
&lt;span class="spacer"&gt;&lt;/span&gt;depositのposit部分は、positionと同じなので、そこから「置く」というイメージ持っておくとよい。
&lt;div class="sample_image deposit"&gt;&lt;/div&gt;&lt;/span&gt;</v>
      </c>
      <c r="AA1130" s="13" t="str">
        <f>INDEX($L:$L, MATCH("postpone", $B:$B, 0))</f>
        <v>&lt;span class="w"&gt;&lt;b&gt;【1134.postpone：〜を延期する】&lt;/b&gt;&lt;/span&gt;
&lt;span class="ml"&gt;ラテン語に由来する語で、以下の2つの要素から成る。
&lt;span class="spacer"&gt;&lt;/span&gt;post（後に）
ponere（置く）
&lt;span class="spacer"&gt;&lt;/span&gt;このまま日本語にすると「後に置く」となる。予定や物事を時間的に後に置くことから「延期する」という意味になる。&lt;/span&gt;
&lt;div class="animation postpone"&gt;&lt;/div&gt;</v>
      </c>
      <c r="AB1130" s="13" t="str">
        <f>INDEX($L:$L, MATCH("component", $B:$B, 0))</f>
        <v>&lt;span class="w"&gt;&lt;b&gt;【677.component：構成要素, 部品】&lt;/b&gt;&lt;/span&gt;
&lt;span class="ml"&gt;ラテン語に由来する語で、以下の2つの要素から成る。
&lt;span class="spacer"&gt;&lt;/span&gt;com（共に）
ponere（置く）
&lt;span class="spacer"&gt;&lt;/span&gt;このまま日本語にすると「共に置く」となる。いくつかの部分を一緒に置くことで全体が構成されることから、全体の「構成要素, 部品」という意味になる。
&lt;div class="sample_image component"&gt;&lt;/div&gt;&lt;/span&gt;</v>
      </c>
      <c r="AC1130" s="13" t="str">
        <f>INDEX($L:$L, MATCH("opponent", $B:$B, 0))</f>
        <v>&lt;span class="w"&gt;&lt;b&gt;【762.opponent：（試合や論争などの）相手, 反対者】&lt;/b&gt;&lt;/span&gt;
&lt;span class="ml"&gt;ラテン語に由来する語で、以下の3つの要素から成る。
&lt;span class="spacer"&gt;&lt;/span&gt;ob（前に, 対して）
ponere（置く）
ens（現在分詞を作る：〜しているもの）
&lt;span class="spacer"&gt;&lt;/span&gt;この語の核は「何かに対立する位置に置いてあるもの」。ここから「対戦相手, 反対者」という意味になる。
&lt;div class="sample_image opponent"&gt;&lt;/div&gt;&lt;/span&gt;</v>
      </c>
      <c r="AD1130" s="13" t="str">
        <f>INDEX($L:$L, MATCH("posture", $B:$B, 0))</f>
        <v>&lt;span class="w"&gt;&lt;b&gt;【1451.posture：姿勢, 心構え】&lt;/b&gt;&lt;/span&gt;
&lt;span class="ml"&gt;ラテン語に由来する語で、以下の2つの要素から成る。
&lt;span class="spacer"&gt;&lt;/span&gt;ponere（置く）の過去分詞positus
ura（名詞化）
&lt;span class="spacer"&gt;&lt;/span&gt;このまま日本語にすると「置かれた状態」となる。これは何かの位置や配置を表したが、特に身体の各パーツの位置を指すようになり、そこから身体のポジション＝「姿勢」という意味になった。
&lt;span class="spacer"&gt;&lt;/span&gt;さらにそこから比喩的に、状況に対する心理的な姿勢＝「心構え」という意味にもなった。&lt;/span&gt;</v>
      </c>
      <c r="AE1130" s="13" t="str">
        <f>INDEX($L:$L, MATCH("puzzle", $B:$B, 0))</f>
        <v>&lt;span class="w"&gt;&lt;b&gt;【624.puzzle：〜を当惑させる, 〜を困惑させる】&lt;/b&gt;&lt;/span&gt;
&lt;span class="ml"&gt;近代英語pose（難しい問題や質問で当惑させる）にさかのぼる。
&lt;span class="spacer"&gt;&lt;/span&gt;この語はパズルのように「頭に引っかかって前に進めない状態にする」というイメージ。ここから「当惑させる, 困惑させる」という意味になる。
&lt;span class="spacer"&gt;&lt;/span&gt;もともとはposeという形だったが、反復・継続を表すpuzzleという形になった。これにより困惑や当惑が反復・継続している状態、つまり頭の中がぐるぐる回るような状態を表した。&lt;/span&gt;</v>
      </c>
      <c r="AU1130" s="15"/>
      <c r="AV1130" s="1" t="s">
        <v>38</v>
      </c>
      <c r="BG1130" s="7" t="s">
        <v>1242</v>
      </c>
      <c r="BH1130" s="1" t="s">
        <v>1947</v>
      </c>
      <c r="BI1130" s="2" t="s">
        <v>5795</v>
      </c>
      <c r="BJ1130" s="1" t="s">
        <v>1959</v>
      </c>
      <c r="BK1130" s="1" t="s">
        <v>5796</v>
      </c>
      <c r="BL1130" s="1" t="s">
        <v>1875</v>
      </c>
      <c r="BM1130" s="2" t="s">
        <v>5797</v>
      </c>
    </row>
    <row r="1131" spans="1:69" ht="216" x14ac:dyDescent="0.45">
      <c r="A1131" s="5">
        <v>1130</v>
      </c>
      <c r="B1131" s="6" t="s">
        <v>868</v>
      </c>
      <c r="C1131" s="6" t="s">
        <v>1816</v>
      </c>
      <c r="D1131" s="7" t="s">
        <v>9752</v>
      </c>
      <c r="E1131" s="1" t="s">
        <v>1413</v>
      </c>
      <c r="F1131" s="1" t="s">
        <v>5798</v>
      </c>
      <c r="G1131" s="1"/>
      <c r="J1131" s="1" t="s">
        <v>9753</v>
      </c>
      <c r="L1131" s="3" t="s">
        <v>9535</v>
      </c>
      <c r="P1131" s="7" t="s">
        <v>1241</v>
      </c>
      <c r="AU1131" s="15"/>
      <c r="AV1131" s="1" t="s">
        <v>38</v>
      </c>
      <c r="BG1131" s="7" t="s">
        <v>1242</v>
      </c>
      <c r="BH1131" s="1" t="s">
        <v>1947</v>
      </c>
      <c r="BI1131" s="2" t="s">
        <v>5799</v>
      </c>
      <c r="BJ1131" s="1" t="s">
        <v>1877</v>
      </c>
      <c r="BK1131" s="2" t="s">
        <v>5800</v>
      </c>
    </row>
    <row r="1132" spans="1:69" ht="180" x14ac:dyDescent="0.45">
      <c r="A1132" s="5">
        <v>1131</v>
      </c>
      <c r="B1132" s="6" t="s">
        <v>869</v>
      </c>
      <c r="C1132" s="6" t="s">
        <v>1816</v>
      </c>
      <c r="D1132" s="7" t="s">
        <v>9752</v>
      </c>
      <c r="E1132" s="1" t="s">
        <v>1505</v>
      </c>
      <c r="F1132" s="1" t="s">
        <v>5801</v>
      </c>
      <c r="G1132" s="1"/>
      <c r="J1132" s="1" t="s">
        <v>9753</v>
      </c>
      <c r="L1132" s="3" t="s">
        <v>9536</v>
      </c>
      <c r="P1132" s="7" t="s">
        <v>1241</v>
      </c>
      <c r="AV1132" s="1" t="s">
        <v>38</v>
      </c>
      <c r="BG1132" s="7" t="s">
        <v>1242</v>
      </c>
      <c r="BH1132" s="1" t="s">
        <v>1947</v>
      </c>
      <c r="BI1132" s="1" t="s">
        <v>5802</v>
      </c>
      <c r="BJ1132" s="1" t="s">
        <v>1996</v>
      </c>
      <c r="BK1132" s="2" t="s">
        <v>5803</v>
      </c>
      <c r="BL1132" s="1" t="s">
        <v>1877</v>
      </c>
      <c r="BM1132" s="2" t="s">
        <v>5804</v>
      </c>
    </row>
    <row r="1133" spans="1:69" ht="270" x14ac:dyDescent="0.45">
      <c r="A1133" s="5">
        <v>1132</v>
      </c>
      <c r="B1133" s="6" t="s">
        <v>870</v>
      </c>
      <c r="C1133" s="6" t="s">
        <v>1816</v>
      </c>
      <c r="D1133" s="7" t="s">
        <v>9752</v>
      </c>
      <c r="E1133" s="1" t="s">
        <v>1467</v>
      </c>
      <c r="F1133" s="1" t="s">
        <v>5805</v>
      </c>
      <c r="G1133" s="1"/>
      <c r="J1133" s="1" t="s">
        <v>9753</v>
      </c>
      <c r="L1133" s="3" t="s">
        <v>9537</v>
      </c>
      <c r="M1133" s="1" t="s">
        <v>12219</v>
      </c>
      <c r="P1133" s="7" t="s">
        <v>1241</v>
      </c>
      <c r="Q1133" s="13" t="str">
        <f>INDEX($L:$L, MATCH("mutual", $B:$B, 0))</f>
        <v>&lt;span class="w"&gt;&lt;b&gt;【983.mutual：相互の, 共通の】&lt;/b&gt;&lt;/span&gt;
&lt;span class="ml"&gt;印欧祖語*mei-（変える, 交換）に由来する。
&lt;span class="spacer"&gt;&lt;/span&gt;この語の核は「あるものと別のものを交換する」。交換という双方向のやりとりから「相互の, 共通の」という意味になった。
&lt;span class="spacer"&gt;&lt;/span&gt;双方向の情報交換を意味するcommunicate（意思疎通する）のmu部分も同じ印欧祖語に遡る。&lt;/span&gt;</v>
      </c>
      <c r="R1133" s="13" t="str">
        <f>INDEX($L:$L, MATCH("mutation", $B:$B, 0))</f>
        <v>&lt;span class="w"&gt;&lt;b&gt;【1448.mutation：突然変異（体）】&lt;/b&gt;&lt;/span&gt;
&lt;span class="ml"&gt;ラテン語に由来する語で、以下の2つの要素から成る。
&lt;span class="spacer"&gt;&lt;/span&gt;mutare（変える）
io（名詞化）
&lt;span class="spacer"&gt;&lt;/span&gt;このまま日本語にすると「変えること」となる。特に遺伝学において、遺伝子の「突然変異（体）」という意味になった。
&lt;span class="spacer"&gt;&lt;/span&gt;ラテン語mutare（変える）は、印欧祖語*mei-（変化する, 移動する）にさかのぼる。この印欧祖語からはcommute（通勤・通学する）やcommunicate（意思疎通する）も生まれており、それぞれ場所と意思の「移動」が核となっている。
&lt;span class="spacer"&gt;&lt;/span&gt;mutation（突然変異）は変化だが、変化＝ある状態から別の状態への移動と考えれば、commute, communicateと核は同じである。&lt;/span&gt;</v>
      </c>
      <c r="AU1133" s="15"/>
      <c r="AV1133" s="1" t="s">
        <v>38</v>
      </c>
      <c r="BG1133" s="7" t="s">
        <v>1242</v>
      </c>
      <c r="BH1133" s="1" t="s">
        <v>1947</v>
      </c>
      <c r="BI1133" s="2" t="s">
        <v>5806</v>
      </c>
      <c r="BJ1133" s="1" t="s">
        <v>1875</v>
      </c>
      <c r="BK1133" s="2" t="s">
        <v>5807</v>
      </c>
      <c r="BL1133" s="1" t="s">
        <v>1877</v>
      </c>
      <c r="BM1133" s="2" t="s">
        <v>9538</v>
      </c>
    </row>
    <row r="1134" spans="1:69" ht="72" x14ac:dyDescent="0.45">
      <c r="A1134" s="5" t="s">
        <v>5808</v>
      </c>
      <c r="B1134" s="6" t="s">
        <v>871</v>
      </c>
      <c r="C1134" s="6" t="s">
        <v>1816</v>
      </c>
      <c r="D1134" s="7" t="s">
        <v>9752</v>
      </c>
      <c r="E1134" s="1" t="s">
        <v>871</v>
      </c>
      <c r="F1134" s="1"/>
      <c r="G1134" s="1"/>
      <c r="J1134" s="1" t="s">
        <v>9753</v>
      </c>
      <c r="K1134" s="1" t="s">
        <v>5809</v>
      </c>
      <c r="L1134" s="2" t="s">
        <v>9539</v>
      </c>
      <c r="P1134" s="7" t="s">
        <v>1241</v>
      </c>
      <c r="AU1134" s="15"/>
      <c r="AV1134" s="1" t="s">
        <v>38</v>
      </c>
      <c r="BG1134" s="7" t="s">
        <v>1242</v>
      </c>
      <c r="BH1134" s="1" t="s">
        <v>1947</v>
      </c>
      <c r="BI1134" s="2" t="s">
        <v>5810</v>
      </c>
      <c r="BJ1134" s="1" t="s">
        <v>1877</v>
      </c>
      <c r="BK1134" s="2" t="s">
        <v>5811</v>
      </c>
    </row>
    <row r="1135" spans="1:69" ht="126" x14ac:dyDescent="0.45">
      <c r="A1135" s="5">
        <v>1134</v>
      </c>
      <c r="B1135" s="8" t="s">
        <v>872</v>
      </c>
      <c r="C1135" s="6" t="s">
        <v>1816</v>
      </c>
      <c r="D1135" s="7" t="s">
        <v>9752</v>
      </c>
      <c r="E1135" s="1" t="s">
        <v>5812</v>
      </c>
      <c r="F1135" s="1" t="s">
        <v>5813</v>
      </c>
      <c r="G1135" s="1"/>
      <c r="J1135" s="1" t="s">
        <v>9753</v>
      </c>
      <c r="K1135" s="2" t="s">
        <v>9540</v>
      </c>
      <c r="L1135" s="3" t="s">
        <v>9541</v>
      </c>
      <c r="M1135" s="1" t="s">
        <v>12172</v>
      </c>
      <c r="P1135" s="7" t="s">
        <v>1241</v>
      </c>
      <c r="Q1135" s="13" t="str">
        <f>INDEX($L:$L, MATCH("pose", $B:$B, 0))</f>
        <v>&lt;span class="w"&gt;&lt;b&gt;【804.pose：（危険）を引き起こす, （問題など）を提起する, ポーズをとる, 装う】&lt;/b&gt;&lt;/span&gt;
&lt;span class="ml"&gt;ラテン語に由来する語で、以下の2つの要素から成る。
&lt;span class="spacer"&gt;&lt;/span&gt;pausere（止まる, 休む, 休ませる）
ponere（置く）
&lt;span class="spacer"&gt;&lt;/span&gt;この語の核は「何かを置く」。問題や危険を置くことから「問題を提起する, 危険を引き起こす」という意味になる。またある態度や性格に身を置くことから、態度や性格を「装う」、またモデルなどが「ポーズをとる」という意味になる。
&lt;span class="spacer"&gt;&lt;/span&gt;poseの目的語にくるものを「置く」ことから文に合った訳を考えればよい。
&lt;div class="sample_image pose"&gt;&lt;/div&gt;&lt;/span&gt;</v>
      </c>
      <c r="R1135" s="13" t="str">
        <f>INDEX($L:$L, MATCH("expose", $B:$B, 0))</f>
        <v>&lt;span class="w"&gt;&lt;b&gt;【433.expose：～をさらす, 〜を暴露する】&lt;/b&gt;&lt;/span&gt;
&lt;span class="ml"&gt;ラテン語に由来する語で、以下の2つの要素から成る。
&lt;span class="spacer"&gt;&lt;/span&gt;ex（外に）
ponere（置く）
&lt;span class="spacer"&gt;&lt;/span&gt;このまま日本語にすると「外に置く」となる。これは、内側にあるものを外側に置くイメージ。そこから何かを「さらす, 暴露する」という意味になる。
&lt;div class="sample_image expose"&gt;&lt;/div&gt;&lt;/span&gt;</v>
      </c>
      <c r="S1135" s="13" t="str">
        <f>INDEX($L:$L, MATCH("impose", $B:$B, 0))</f>
        <v>&lt;span class="w"&gt;&lt;b&gt;【826.impose：〜を課す, 〜を押し付ける】&lt;/b&gt;&lt;/span&gt;
&lt;span class="ml"&gt;古フランス語に由来する語で、以下の2つの要素から成る。
&lt;span class="spacer"&gt;&lt;/span&gt;in（中に）
poser（置く）
&lt;span class="spacer"&gt;&lt;/span&gt;このまま日本語にすると「中に置く」となる。相手の領域の中に押し込んで置くイメージから、対象に何かを「押し付ける, 課す」という意味になる。
&lt;div class="sample_image impose"&gt;&lt;/div&gt;&lt;/span&gt;</v>
      </c>
      <c r="T1135" s="13" t="str">
        <f>INDEX($L:$L, MATCH("propose", $B:$B, 0))</f>
        <v>&lt;span class="w"&gt;&lt;b&gt;【436.propose：〜を提案する】&lt;/b&gt;&lt;/span&gt;
&lt;span class="ml"&gt;ラテン語に由来する語で、以下の2つの要素から成る。
&lt;span class="spacer"&gt;&lt;/span&gt;pro（前へ）
ponere（置く）
&lt;span class="spacer"&gt;&lt;/span&gt;このまま日本語にすると「前に置く」となる。意見や考えを相手の前に置くイメージから「提案する」という意味になる。&lt;/span&gt;</v>
      </c>
      <c r="U1135" s="13" t="str">
        <f>INDEX($L:$L, MATCH("oppose", $B:$B, 0))</f>
        <v>&lt;span class="w"&gt;&lt;b&gt;【513.oppose：〜に反対する, 〜を対抗させる】&lt;/b&gt;&lt;/span&gt;
&lt;span class="ml"&gt;ラテン語に由来する語で、以下の2つの要素から成る。
&lt;span class="spacer"&gt;&lt;/span&gt;ob（〜に対して）
ponere（置く）
&lt;span class="spacer"&gt;&lt;/span&gt;このまま日本語にすると「～に対して置く」となる。相手に対して自分を置く、つまり相手と自分が向かい合うように置くイメージから「反対する, 対抗させる」という意味になる。
&lt;div class="sample_image oppose"&gt;&lt;/div&gt;&lt;/span&gt;</v>
      </c>
      <c r="V1135" s="13" t="str">
        <f>INDEX($L:$L, MATCH("dispose", $B:$B, 0))</f>
        <v>&lt;span class="w"&gt;&lt;b&gt;【1435.dispose：（of ~）〜を処分する, （dispose ~ to do）〜する気にさせる】&lt;/b&gt;&lt;/span&gt;
&lt;span class="ml"&gt;ラテン語に由来する語で、以下の2つの要素から成る。
&lt;span class="spacer"&gt;&lt;/span&gt;dis（離れて）
ponere（置く）
&lt;span class="spacer"&gt;&lt;/span&gt;このまま日本語にすると「離して置く」となるが、この語の核は「ごちゃごちゃしたものをそれぞれ離して整理し、あるべき位置へ置く」イメージ。
&lt;span class="spacer"&gt;&lt;/span&gt;不要なもの・問題などを整理して、それがあるべき場所へ置くことから「処分する」という意味になる。
&lt;span class="spacer"&gt;&lt;/span&gt;また相手の気持ちを整理して進むべき方向へ置くことから「何かをする気にさせる」となる。
&lt;span class="spacer"&gt;&lt;/span&gt;dispose 人 to do
人 be disposed to do
&lt;div class="sample_image dispose"&gt;&lt;/div&gt;&lt;/span&gt;</v>
      </c>
      <c r="W1135" s="13" t="str">
        <f>INDEX($L:$L, MATCH("compose", $B:$B, 0))</f>
        <v>&lt;span class="w"&gt;&lt;b&gt;【833.compose：～を構成する, ～を創作する】&lt;/b&gt;&lt;/span&gt;
&lt;span class="ml"&gt;ラテン語に由来する語で、以下の2つの要素から成る。
&lt;span class="spacer"&gt;&lt;/span&gt;com（共に）
ponere（置く）
&lt;span class="spacer"&gt;&lt;/span&gt;このまま日本語にすると「共に置く」となる。2つ以上のものを一緒に置いて全体を形作ることから、構成要素となって全体を作り上げる＝「構成する, 創作する」という意味になる。
&lt;div class="sample_image compose"&gt;&lt;/div&gt;&lt;/span&gt;</v>
      </c>
      <c r="X1135" s="13" t="str">
        <f>INDEX($L:$L, MATCH("suppose", $B:$B, 0))</f>
        <v>&lt;span class="w"&gt;&lt;b&gt;【121.suppose：～と仮定する, と思う】&lt;/b&gt;&lt;/span&gt;
&lt;span class="ml"&gt;ラテン語に由来する語で、以下の2つの要素から成る。
&lt;span class="spacer"&gt;&lt;/span&gt;sub（下に）
ponere（置く）
&lt;span class="spacer"&gt;&lt;/span&gt;このまま日本語にすると「下に置く」となる。思考において、何かを既にあるものとして土台に置くイメージから、何かを前提として置く＝「仮定する」という意味になる。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&lt;div class="sample_image suppose"&gt;&lt;/div&gt;
&lt;span class="spacer"&gt;&lt;/span&gt;supposeを「前提に置く」というイメージで覚えておけば、be supposed to do A（Aすることになっている）は、要は「Aするということが前提として置かれている」だけだと理解できる。&lt;/span&gt;</v>
      </c>
      <c r="Y1135" s="13" t="str">
        <f>INDEX($L:$L, MATCH("positive", $B:$B, 0))</f>
        <v>&lt;span class="w"&gt;&lt;b&gt;【179.positive：肯定的な, 確信して, （検査で）陽性の】&lt;/b&gt;&lt;/span&gt;
&lt;span class="ml"&gt;ラテン語に由来する語で、以下の2つの要素から成る。
&lt;span class="spacer"&gt;&lt;/span&gt;ponere（置く）の過去分詞positus（置かれる）
ivus（形容詞化）
&lt;span class="spacer"&gt;&lt;/span&gt;もともとは法律用語。法や権威あるものによって置かれる、つまり法や権威によって定められて否定のしようがないという意味で使われた。ここから「肯定的な, 確信して, 陽性の」という意味になる。&lt;/span&gt;</v>
      </c>
      <c r="Z1135" s="13" t="str">
        <f>INDEX($L:$L, MATCH("deposit", $B:$B, 0))</f>
        <v>&lt;span class="w"&gt;&lt;b&gt;【1315.deposit：〜を置く, 〜を預ける】&lt;/b&gt;&lt;/span&gt;
&lt;span class="ml"&gt;ラテン語に由来する語で、以下の2つの要素から成る。
&lt;span class="spacer"&gt;&lt;/span&gt;de（離れて, 下に）
ponere（置く）
&lt;span class="spacer"&gt;&lt;/span&gt;このまま日本語にすると「離れて置く, 下に置く」となる。物理的に何かを「置く」という意味もあるが、金銭や貴重品を離れた場所に「預ける」という意味にもなる。
&lt;span class="spacer"&gt;&lt;/span&gt;depositのposit部分は、positionと同じなので、そこから「置く」というイメージ持っておくとよい。
&lt;div class="sample_image deposit"&gt;&lt;/div&gt;&lt;/span&gt;</v>
      </c>
      <c r="AA1135" s="13" t="str">
        <f>INDEX($L:$L, MATCH("compound", $B:$B, 0))</f>
        <v>&lt;span class="w"&gt;&lt;b&gt;【1129.compound：〜を悪化させる, 〜を合成する, 〜を混合する】&lt;/b&gt;&lt;/span&gt;
&lt;span class="ml"&gt;ラテン語に由来する語で、以下の2つの要素から成る。
&lt;span class="spacer"&gt;&lt;/span&gt;com（共に）
ponere（置く）
&lt;span class="spacer"&gt;&lt;/span&gt;このまま日本語にすると「共に置く」となる。複数のものを一緒にすることから、何かを「合成する, 混合する, 調合する」といった意味になる。さらに、問題や困難などがどんどん一緒に置かれて積もっていくことから、状況や問題などを「悪化させる」という意味にもなる。
&lt;div class="sample_image compound"&gt;&lt;/div&gt;&lt;/span&gt;</v>
      </c>
      <c r="AB1135" s="13" t="str">
        <f>INDEX($L:$L, MATCH("component", $B:$B, 0))</f>
        <v>&lt;span class="w"&gt;&lt;b&gt;【677.component：構成要素, 部品】&lt;/b&gt;&lt;/span&gt;
&lt;span class="ml"&gt;ラテン語に由来する語で、以下の2つの要素から成る。
&lt;span class="spacer"&gt;&lt;/span&gt;com（共に）
ponere（置く）
&lt;span class="spacer"&gt;&lt;/span&gt;このまま日本語にすると「共に置く」となる。いくつかの部分を一緒に置くことで全体が構成されることから、全体の「構成要素, 部品」という意味になる。
&lt;div class="sample_image component"&gt;&lt;/div&gt;&lt;/span&gt;</v>
      </c>
      <c r="AC1135" s="13" t="str">
        <f>INDEX($L:$L, MATCH("opponent", $B:$B, 0))</f>
        <v>&lt;span class="w"&gt;&lt;b&gt;【762.opponent：（試合や論争などの）相手, 反対者】&lt;/b&gt;&lt;/span&gt;
&lt;span class="ml"&gt;ラテン語に由来する語で、以下の3つの要素から成る。
&lt;span class="spacer"&gt;&lt;/span&gt;ob（前に, 対して）
ponere（置く）
ens（現在分詞を作る：〜しているもの）
&lt;span class="spacer"&gt;&lt;/span&gt;この語の核は「何かに対立する位置に置いてあるもの」。ここから「対戦相手, 反対者」という意味になる。
&lt;div class="sample_image opponent"&gt;&lt;/div&gt;&lt;/span&gt;</v>
      </c>
      <c r="AD1135" s="13" t="str">
        <f>INDEX($L:$L, MATCH("posture", $B:$B, 0))</f>
        <v>&lt;span class="w"&gt;&lt;b&gt;【1451.posture：姿勢, 心構え】&lt;/b&gt;&lt;/span&gt;
&lt;span class="ml"&gt;ラテン語に由来する語で、以下の2つの要素から成る。
&lt;span class="spacer"&gt;&lt;/span&gt;ponere（置く）の過去分詞positus
ura（名詞化）
&lt;span class="spacer"&gt;&lt;/span&gt;このまま日本語にすると「置かれた状態」となる。これは何かの位置や配置を表したが、特に身体の各パーツの位置を指すようになり、そこから身体のポジション＝「姿勢」という意味になった。
&lt;span class="spacer"&gt;&lt;/span&gt;さらにそこから比喩的に、状況に対する心理的な姿勢＝「心構え」という意味にもなった。&lt;/span&gt;</v>
      </c>
      <c r="AE1135" s="13" t="str">
        <f>INDEX($L:$L, MATCH("puzzle", $B:$B, 0))</f>
        <v>&lt;span class="w"&gt;&lt;b&gt;【624.puzzle：〜を当惑させる, 〜を困惑させる】&lt;/b&gt;&lt;/span&gt;
&lt;span class="ml"&gt;近代英語pose（難しい問題や質問で当惑させる）にさかのぼる。
&lt;span class="spacer"&gt;&lt;/span&gt;この語はパズルのように「頭に引っかかって前に進めない状態にする」というイメージ。ここから「当惑させる, 困惑させる」という意味になる。
&lt;span class="spacer"&gt;&lt;/span&gt;もともとはposeという形だったが、反復・継続を表すpuzzleという形になった。これにより困惑や当惑が反復・継続している状態、つまり頭の中がぐるぐる回るような状態を表した。&lt;/span&gt;</v>
      </c>
      <c r="AU1135" s="15"/>
      <c r="AV1135" s="1" t="s">
        <v>38</v>
      </c>
      <c r="BG1135" s="7" t="s">
        <v>1242</v>
      </c>
      <c r="BH1135" s="1" t="s">
        <v>1947</v>
      </c>
      <c r="BI1135" s="2" t="s">
        <v>5814</v>
      </c>
      <c r="BJ1135" s="1" t="s">
        <v>1877</v>
      </c>
      <c r="BK1135" s="2" t="s">
        <v>5815</v>
      </c>
    </row>
    <row r="1136" spans="1:69" ht="108" x14ac:dyDescent="0.45">
      <c r="A1136" s="5">
        <v>1135</v>
      </c>
      <c r="B1136" s="8" t="s">
        <v>873</v>
      </c>
      <c r="C1136" s="6" t="s">
        <v>1816</v>
      </c>
      <c r="D1136" s="7" t="s">
        <v>9752</v>
      </c>
      <c r="E1136" s="1" t="s">
        <v>873</v>
      </c>
      <c r="F1136" s="1"/>
      <c r="G1136" s="1"/>
      <c r="J1136" s="1" t="s">
        <v>9753</v>
      </c>
      <c r="L1136" s="2" t="s">
        <v>9542</v>
      </c>
      <c r="M1136" s="1" t="s">
        <v>12169</v>
      </c>
      <c r="P1136" s="7" t="s">
        <v>1241</v>
      </c>
      <c r="Q1136" s="13" t="str">
        <f>INDEX($L:$L, MATCH("succeed", $B:$B, 0))</f>
        <v>&lt;span class="w"&gt;&lt;b&gt;【240.succeed：成功する（in）, 継承する（to）】&lt;/b&gt;&lt;/span&gt;
&lt;span class="ml"&gt;ラテン語に由来する語で、以下の2つの要素から成る。
&lt;span class="spacer"&gt;&lt;/span&gt;sub（後に）
cedere（行く, 進む）
&lt;span class="spacer"&gt;&lt;/span&gt;このまま日本語にすると「後に行く」となる。ここから次の2つの意味に発展する。
&lt;span class="spacer"&gt;&lt;/span&gt;①前任者の後を行くというイメージから「何かを継承する」という意味になる。この場合はsucceed &lt;strong&gt;to&lt;/strong&gt; Aで「Aに成功する」となる。
&lt;span class="spacer"&gt;&lt;/span&gt;②行為の後に結果が続くというイメージから「成功する」という意味になる。この場合はsucceed &lt;strong&gt;in&lt;/strong&gt; Aで「Aを継承する」となる。
&lt;div class="sample_image succeed"&gt;&lt;/div&gt;
&lt;span class="spacer"&gt;&lt;/span&gt;&lt;span class="obsolete"&gt;succeedは、もともとは何かに続いて結果が出るという意味で、良い結果（成功）を意味したわけではない。
&lt;span class="spacer"&gt;&lt;/span&gt;16世紀頃にsucceed well（ことがうまくいく）という表現があり、ここからwellが省略されてsucceed（成功する）となった。
&lt;span class="spacer"&gt;&lt;/span&gt;これと同じことがlikeでも起こり、最初はlike ~ wellで「好む」という意味だったが、likeの1語のみになった。
&lt;span class="spacer"&gt;&lt;/span&gt;「～の方が好き / ～が一番好き」という場合、wellの比較級 / 最上級を使ってlike ~ better / the bestとなるが、これはlike〜wellの名残である。&lt;/span&gt;&lt;/span&gt;</v>
      </c>
      <c r="R1136" s="13" t="str">
        <f>INDEX($L:$L, MATCH("proceed", $B:$B, 0))</f>
        <v>&lt;span class="w"&gt;&lt;b&gt;【1101.proceed：進む, 進行する】&lt;/b&gt;&lt;/span&gt;
&lt;span class="ml"&gt;ラテン語に由来する語で、以下の2つの要素から成る。
&lt;span class="spacer"&gt;&lt;/span&gt;pro（前へ）
cedere（行く, 進む）
&lt;span class="spacer"&gt;&lt;/span&gt;このまま日本語にすると「前へ進む」となり「進む, 進行する」という意味になる。名詞になるとprocess（過程, 経過）やprocedure（手続き）という進行途中や進行手順を表す。&lt;/span&gt;</v>
      </c>
      <c r="S1136" s="13" t="str">
        <f>INDEX($L:$L, MATCH("exceed", $B:$B, 0))</f>
        <v>&lt;span class="w"&gt;&lt;b&gt;【936.exceed：〜を超える, 〜を勝る】&lt;/b&gt;&lt;/span&gt;
&lt;span class="ml"&gt;ラテン語に由来する語で、以下の2つの要素から成る。
&lt;span class="spacer"&gt;&lt;/span&gt;ex（外に）
cedere（行く）
&lt;span class="spacer"&gt;&lt;/span&gt;このまま日本語にすると「外に行く」となる。ある範囲や基準の外に出て行くことから、何かを「超える, 勝る」という意味になる。
&lt;div class="sample_image exceed"&gt;&lt;/div&gt;&lt;/span&gt;</v>
      </c>
      <c r="T1136" s="13" t="str">
        <f>INDEX($L:$L, MATCH("excess", $B:$B, 0))</f>
        <v>&lt;span class="w"&gt;&lt;b&gt;【1163.excess：過剰, 超過】&lt;/b&gt;&lt;/span&gt;
&lt;span class="ml"&gt;ラテン語に由来する語で、以下の3つの要素から成る。
&lt;span class="spacer"&gt;&lt;/span&gt;ex（外に）
cedere（行く）
us（名詞化）
&lt;span class="spacer"&gt;&lt;/span&gt;このまま日本語にすると「外に行くこと」となる。もともとは、物理的に何かの範囲や領域、境界から外へ出ることを表した。そこから意味が抽象化し、基準や度合を超えること、つまり「超過, 過剰」という意味になった。&lt;/span&gt;</v>
      </c>
      <c r="U1136" s="13" t="str">
        <f>INDEX($L:$L, MATCH("access", $B:$B, 0))</f>
        <v>&lt;span class="w"&gt;&lt;b&gt;【169.access：利用, 入手, 接近】&lt;/b&gt;&lt;/span&gt;
&lt;span class="ml"&gt;ラテン語に由来する語で、以下の2つの要素から成る。
&lt;span class="spacer"&gt;&lt;/span&gt;ad（～へ）
cedere（行く）
&lt;span class="spacer"&gt;&lt;/span&gt;このまま日本語にすると「〜へ行く」となる。ここから「接近」という意味になる。さらに接近という物理的な移動から、近づいて何かを使うという「入手, 利用」という意味になる。
&lt;span class="spacer"&gt;&lt;/span&gt;The hotel has easy access to the station.
そのホテルは駅へのアクセスが良いという物理的な接近の話。
&lt;span class="spacer"&gt;&lt;/span&gt;Students have access to the library.
生徒は図書館を利用できるという利用可能性の話。&lt;/span&gt;</v>
      </c>
      <c r="V1136" s="13" t="str">
        <f>INDEX($L:$L, MATCH("recession", $B:$B, 0))</f>
        <v>&lt;span class="w"&gt;&lt;b&gt;【1171.recession：不況, 後退】&lt;/b&gt;&lt;/span&gt;
&lt;span class="ml"&gt;ラテン語に由来する語で、以下の3つの要素から成る。
&lt;span class="spacer"&gt;&lt;/span&gt;re（後ろへ）
cedere（行く, 進む）
io（名詞化）
&lt;span class="spacer"&gt;&lt;/span&gt;このまま日本語にすると「後ろへ行くこと」つまり「後退」という意味になる。世界恐慌時にdepression（大不況）よりも程度が軽く、一時的な経済の後退を表す言葉として使われたことから「不況」という意味になった。
&lt;div class="sample_image recession"&gt;&lt;/div&gt;&lt;/span&gt;</v>
      </c>
      <c r="W1136" s="13" t="str">
        <f>INDEX($L:$L, MATCH("necessary", $B:$B, 0))</f>
        <v>&lt;span class="w"&gt;&lt;b&gt;【199.necessary：必要な】&lt;/b&gt;&lt;/span&gt;
&lt;span class="ml"&gt;ラテン語に由来する語で、以下の3つの要素から成る。
&lt;span class="spacer"&gt;&lt;/span&gt;ne（=not：否定）
cedere（退く）
arius（形容詞化）
&lt;span class="spacer"&gt;&lt;/span&gt;このまま日本語にすると「退けない」となる。つまり何かを避けられない、それなしでは通れないということから不可欠＝「必要な」という意味になる。&lt;/span&gt;</v>
      </c>
      <c r="X1136" s="13" t="str">
        <f>INDEX($L:$L, MATCH("precede", $B:$B, 0))</f>
        <v>&lt;span class="w"&gt;&lt;b&gt;【1302.precede：〜に先行する】&lt;/b&gt;&lt;/span&gt;
&lt;span class="ml"&gt;ラテン語に由来する語で、以下の2つの要素から成る。
&lt;span class="spacer"&gt;&lt;/span&gt;prae（前に）
cedere（行く）
&lt;span class="spacer"&gt;&lt;/span&gt;このまま日本語にすると「前に行く」となり、時間的・空間的に何かに「先行する」という意味になる。&lt;/span&gt;
&lt;div class="animation precede"&gt;&lt;/div&gt;</v>
      </c>
      <c r="Y1136" s="13" t="str">
        <f>INDEX($L:$L, MATCH("unprecedented", $B:$B, 0))</f>
        <v>&lt;span class="w"&gt;&lt;b&gt;【1380.unprecedented：前例のない】&lt;/b&gt;&lt;/span&gt;
&lt;span class="ml"&gt;近代英語にさかのぼり、以下の3つの要素から成る。
&lt;span class="spacer"&gt;&lt;/span&gt;un（否定）
precedent（前例を与える）
ed（過去分詞化）
&lt;span class="spacer"&gt;&lt;/span&gt;precedent部分は、ラテン語prae（前に）＋cedere（行く）に由来するprecede（先行する）と関連する。
&lt;span class="spacer"&gt;&lt;/span&gt;否定のunが付くことで、先行するものがない、つまり「前例がない」という意味になる。&lt;/span&gt;</v>
      </c>
      <c r="Z1136" s="13" t="str">
        <f>INDEX($L:$L, MATCH("ancestor", $B:$B, 0))</f>
        <v>&lt;span class="w"&gt;&lt;b&gt;【274.ancestor：祖先】&lt;/b&gt;&lt;/span&gt;
&lt;span class="ml"&gt;ラテン語に由来する語で、以下の3つの要素から成る。
&lt;span class="spacer"&gt;&lt;/span&gt;ante（前に）
cedere（行く, 進む）
or（〜する人）
&lt;span class="spacer"&gt;&lt;/span&gt;このまま日本語にすると「前に行く人」となる。自分たちよりも時間的に前を行く人から先代の人＝「祖先」という意味になる。
&lt;div class="sample_image ancestor"&gt;&lt;/div&gt;&lt;/span&gt;</v>
      </c>
      <c r="AU1136" s="15"/>
      <c r="AV1136" s="1" t="s">
        <v>38</v>
      </c>
      <c r="BG1136" s="7" t="s">
        <v>1242</v>
      </c>
      <c r="BH1136" s="1" t="s">
        <v>1947</v>
      </c>
      <c r="BI1136" s="2" t="s">
        <v>5816</v>
      </c>
      <c r="BJ1136" s="1" t="s">
        <v>1959</v>
      </c>
      <c r="BK1136" s="1" t="s">
        <v>5817</v>
      </c>
      <c r="BL1136" s="1" t="s">
        <v>1875</v>
      </c>
      <c r="BM1136" s="2" t="s">
        <v>5818</v>
      </c>
    </row>
    <row r="1137" spans="1:69" ht="216" x14ac:dyDescent="0.45">
      <c r="A1137" s="5">
        <v>1136</v>
      </c>
      <c r="B1137" s="8" t="s">
        <v>874</v>
      </c>
      <c r="C1137" s="6" t="s">
        <v>1816</v>
      </c>
      <c r="D1137" s="7" t="s">
        <v>9752</v>
      </c>
      <c r="E1137" s="1" t="s">
        <v>1467</v>
      </c>
      <c r="F1137" s="1" t="s">
        <v>5819</v>
      </c>
      <c r="G1137" s="1"/>
      <c r="J1137" s="1" t="s">
        <v>9753</v>
      </c>
      <c r="K1137" s="2" t="s">
        <v>9543</v>
      </c>
      <c r="L1137" s="2" t="s">
        <v>9544</v>
      </c>
      <c r="M1137" s="1" t="s">
        <v>12214</v>
      </c>
      <c r="P1137" s="7" t="s">
        <v>1241</v>
      </c>
      <c r="Q1137" s="13" t="str">
        <f>INDEX($L:$L, MATCH("mission", $B:$B, 0))</f>
        <v>&lt;span class="w"&gt;&lt;b&gt;【744.mission：使命, （外交）使節団, 布教】&lt;/b&gt;&lt;/span&gt;
&lt;span class="ml"&gt;ラテン語に由来する語で、以下の2つの要素から成る。
&lt;span class="spacer"&gt;&lt;/span&gt;mittere（送る）
io（名詞化）
&lt;span class="spacer"&gt;&lt;/span&gt;このまま日本語にすると「送ること」となり、この語の核は「派遣」。宗教活動での派遣なら「布教」、商業や政治での派遣なら「使節団」という意味になる。また派遣には目的や任務があるため、そこから一般的に「使命」という意味になる。&lt;/span&gt;</v>
      </c>
      <c r="R1137" s="13" t="str">
        <f>INDEX($L:$L, MATCH("dismiss", $B:$B, 0))</f>
        <v>&lt;span class="w"&gt;&lt;b&gt;【1114.dismiss：（意見など）を退ける, 〜を解雇する】&lt;/b&gt;&lt;/span&gt;
&lt;span class="ml"&gt;ラテン語に由来する語で、以下の2つの要素から成る。
&lt;span class="spacer"&gt;&lt;/span&gt;dis（離れて）
mittere（送る, 放つ）
&lt;span class="spacer"&gt;&lt;/span&gt;この語の核は「離れたところへ送る」。いまある場所から離れたところへ送るイメージから、いまの職から「解雇する」、考えなどを「退ける」という意味になる。
&lt;div class="sample_image dismiss"&gt;&lt;/div&gt;&lt;/span&gt;</v>
      </c>
      <c r="S1137" s="13" t="str">
        <f>INDEX($L:$L, MATCH("premise", $B:$B, 0))</f>
        <v>&lt;span class="w"&gt;&lt;b&gt;【1041.premise：前提, 敷地, （premises）建物を含めた構内】&lt;/b&gt;&lt;/span&gt;
&lt;span class="ml"&gt;ラテン語に由来する語で、以下の2つの要素から成る。
&lt;span class="spacer"&gt;&lt;/span&gt;prae（あらかじめ）
mittere（送る）
&lt;span class="spacer"&gt;&lt;/span&gt;このまま日本語にすると「あらかじめ送る」となる。もともとは論理学において、あらかじめ置かれる命題を表し、そこから一般的に、議論の土台となる「前提」という意味になった。
&lt;span class="spacer"&gt;&lt;/span&gt;さらに法的文書（土地の譲渡証書など）において、文書の冒頭に（前に）対象となる土地や建物の詳細を記述し、以降の文章でそれらの土地や建物を前述の財産the premisesと呼んだ。そこから「敷地」や建物を含めた「構内」を意味するようになった。
&lt;div class="sample_image premise"&gt;&lt;/div&gt;&lt;/span&gt;</v>
      </c>
      <c r="T1137" s="13" t="str">
        <f>INDEX($L:$L, MATCH("mess", $B:$B, 0))</f>
        <v>&lt;span class="w"&gt;&lt;b&gt;【1170.mess：散らかった状態, 混乱状態】&lt;/b&gt;&lt;/span&gt;
&lt;span class="ml"&gt;ラテン語mittere（送る, 放つ, 置く）の過去分詞missus（置かれたもの）に由来する。これはmissionやmessageと同じ語源。
&lt;span class="spacer"&gt;&lt;/span&gt;ラテン語ではもともと、どこかに置かれたものという意味。そこから、食卓に置かれた1人分の食事、同じ食卓で集まって食事をする人々、その人たちが残した食べ物をひとつに集めたもの（ごちゃ混ぜの残飯）へと意味が発展した。
&lt;span class="spacer"&gt;&lt;/span&gt;この残飯のぐちゃぐちゃの状態が、部屋などが「散らかった状態」という意味や、人間関係のトラブルや事態の収拾がつかない「混乱状態」という意味になった。
&lt;div class="sample_image mess"&gt;&lt;/div&gt;&lt;/span&gt;</v>
      </c>
      <c r="AU1137" s="15"/>
      <c r="AV1137" s="1" t="s">
        <v>38</v>
      </c>
      <c r="BG1137" s="7" t="s">
        <v>1242</v>
      </c>
      <c r="BH1137" s="1" t="s">
        <v>1947</v>
      </c>
      <c r="BI1137" s="2" t="s">
        <v>5820</v>
      </c>
      <c r="BJ1137" s="1" t="s">
        <v>2036</v>
      </c>
      <c r="BK1137" s="2" t="s">
        <v>5821</v>
      </c>
      <c r="BL1137" s="1" t="s">
        <v>1959</v>
      </c>
      <c r="BM1137" s="2" t="s">
        <v>5822</v>
      </c>
      <c r="BN1137" s="1" t="s">
        <v>1875</v>
      </c>
      <c r="BO1137" s="2" t="s">
        <v>5823</v>
      </c>
      <c r="BP1137" s="1" t="s">
        <v>1877</v>
      </c>
      <c r="BQ1137" s="2" t="s">
        <v>5824</v>
      </c>
    </row>
    <row r="1138" spans="1:69" ht="126" x14ac:dyDescent="0.45">
      <c r="A1138" s="5">
        <v>1137</v>
      </c>
      <c r="B1138" s="8" t="s">
        <v>875</v>
      </c>
      <c r="C1138" s="6" t="s">
        <v>1816</v>
      </c>
      <c r="D1138" s="7" t="s">
        <v>9752</v>
      </c>
      <c r="E1138" s="1" t="s">
        <v>1454</v>
      </c>
      <c r="F1138" s="1" t="s">
        <v>1668</v>
      </c>
      <c r="G1138" s="1"/>
      <c r="J1138" s="1" t="s">
        <v>9753</v>
      </c>
      <c r="L1138" s="2" t="s">
        <v>9545</v>
      </c>
      <c r="M1138" s="1" t="s">
        <v>12194</v>
      </c>
      <c r="P1138" s="7" t="s">
        <v>1241</v>
      </c>
      <c r="Q1138" s="13" t="str">
        <f>INDEX($L:$L, MATCH("select", $B:$B, 0))</f>
        <v>&lt;span class="w"&gt;&lt;b&gt;【322.select：〜を選ぶ, えり抜く】&lt;/b&gt;&lt;/span&gt;
&lt;span class="ml"&gt;ラテン語に由来する語で、以下の2つの要素から成る。
&lt;span class="spacer"&gt;&lt;/span&gt;se（離れて）
legere（集める, 選ぶ）
&lt;span class="spacer"&gt;&lt;/span&gt;このまま日本語にすると「選んで離す」となる。全体の中から選び出して離す＝「選ぶ, えり抜く」という意味になる。&lt;/span&gt;</v>
      </c>
      <c r="R1138" s="13" t="str">
        <f>INDEX($L:$L, MATCH("neglect", $B:$B, 0))</f>
        <v>&lt;span class="w"&gt;&lt;b&gt;【733.neglect：〜を無視する, 〜をおろそかにする】&lt;/b&gt;&lt;/span&gt;
&lt;span class="ml"&gt;ラテン語に由来する語で、以下の2つの要素から成る。
&lt;span class="spacer"&gt;&lt;/span&gt;nec（ない）
legere（拾い上げる, 選ぶ）
&lt;span class="spacer"&gt;&lt;/span&gt;このまま日本語にすると「拾い上げない」となる。これは、拾い上げないでそのまま放置することから、何かを「おろそかにする」という意味になる。また拾わないということが、注意を払わない、軽視するといった心理的な態度を表すようになり、「無視する」という意味にもなった。&lt;/span&gt;</v>
      </c>
      <c r="S1138" s="13" t="str">
        <f>INDEX($L:$L, MATCH("collective", $B:$B, 0))</f>
        <v>&lt;span class="w"&gt;&lt;b&gt;【895.collective：集団の, 共同の】&lt;/b&gt;&lt;/span&gt;
&lt;span class="ml"&gt;ラテン語に由来する語で、以下の2つの要素から成る。
&lt;span class="spacer"&gt;&lt;/span&gt;com（共に）
legere（集める）
ivus（形容詞化）
&lt;span class="spacer"&gt;&lt;/span&gt;このまま日本語にすると「共に集まった」、つまり「集合の, 集団な」という意味になる。これはcollect（集める）の形容詞として覚えればよい。&lt;/span&gt;</v>
      </c>
      <c r="T1138" s="13" t="str">
        <f>INDEX($L:$L, MATCH("elite", $B:$B, 0))</f>
        <v>&lt;span class="w"&gt;&lt;b&gt;【746.elite：（the eliteで）エリート（集合名詞）】&lt;/b&gt;&lt;/span&gt;
&lt;span class="ml"&gt;ラテン語に由来する語で、以下の2つの要素から成る。
&lt;span class="spacer"&gt;&lt;/span&gt;ex（外に）
legere（選ぶ）
&lt;span class="spacer"&gt;&lt;/span&gt;この語の核は「外に選び出す」。ここから選び出された人たち、つまり「エリート」という意味になった。&lt;/span&gt;</v>
      </c>
      <c r="U1138" s="13" t="str">
        <f>INDEX($L:$L, MATCH("lecture", $B:$B, 0))</f>
        <v>&lt;span class="w"&gt;&lt;b&gt;【368.lecture：講義, 講演, 説教】&lt;/b&gt;&lt;/span&gt;
&lt;span class="ml"&gt;ラテン語に由来する語で、以下の2つの要素から成る。
&lt;span class="spacer"&gt;&lt;/span&gt;legere（集める, 選び取る, 言葉を選び取る, 読む）
ura（名詞化）
&lt;span class="spacer"&gt;&lt;/span&gt;もともとは、書物から特定の言葉を選び出して読み上げることを意味した。本が貴重だった時代は、教師がテキストを読み上げるのが授業の基本スタイルだったことから、「講義, 講演」という意味になる。
&lt;span class="spacer"&gt;&lt;/span&gt;また相手に何かを言い聞かせるということから「説教」という意味になる。&lt;/span&gt;</v>
      </c>
      <c r="V1138" s="13" t="str">
        <f>INDEX($L:$L, MATCH("intelligent", $B:$B, 0))</f>
        <v>&lt;span class="w"&gt;&lt;b&gt;【379.intelligent：聡明な, 知能が高い】&lt;/b&gt;&lt;/span&gt;
&lt;span class="ml"&gt;ラテン語に由来する語で、以下の2つの要素から成る。
&lt;span class="spacer"&gt;&lt;/span&gt;inter（～の間に）
legere（集める, 選ぶ）
&lt;span class="spacer"&gt;&lt;/span&gt;これは、さまざまな物事や情報「の間に」ある違いを見極めて「選ぶ」能力があるということを表す。ここから「知能の高い, 聡明な」という意味になる。
&lt;span class="spacer"&gt;&lt;/span&gt;AI（人工知能）は、Artificial（人工的な）Inteligence（知能）の略。inteligence（知能）の形容詞がintelligent（知能が高い）。&lt;/span&gt;</v>
      </c>
      <c r="W1138" s="13" t="str">
        <f>INDEX($L:$L, MATCH("colleague", $B:$B, 0))</f>
        <v>&lt;span class="w"&gt;&lt;b&gt;【246.colleague：同僚】&lt;/b&gt;&lt;/span&gt;
&lt;span class="ml"&gt;ラテン語に由来する語で、以下の2つの要素から成る。
&lt;span class="spacer"&gt;&lt;/span&gt;com（共に）
legare（任命して派遣する）
&lt;span class="spacer"&gt;&lt;/span&gt;これは「同じ職務に就くために共に派遣された者」から「同僚」という意味になる。&lt;/span&gt;</v>
      </c>
      <c r="X1138" s="13" t="str">
        <f>INDEX($L:$L, MATCH("dialect", $B:$B, 0))</f>
        <v>&lt;span class="w"&gt;&lt;b&gt;【463.dialect：方言】&lt;/b&gt;&lt;/span&gt;
&lt;span class="ml"&gt;ギリシャ語に由来する語で、以下の2つの要素から成る。
&lt;span class="spacer"&gt;&lt;/span&gt;dia（間で）
legein（話す）
&lt;span class="spacer"&gt;&lt;/span&gt;このまま日本語にすると「間で話す」となる。もともとは、人々の間で言葉を交わすこと、つまり会話を意味していた。
&lt;span class="spacer"&gt;&lt;/span&gt;古代ギリシャは、一つの国家ではなく、独立した多数の都市国家（ポリス）が基本単位であり、地域ごとに話し方が異なっていた。このような言葉遣いの違いを指してdialektosが使われるようになり、そこから「方言」という意味になった。&lt;/span&gt;</v>
      </c>
      <c r="AU1138" s="15"/>
      <c r="AV1138" s="1" t="s">
        <v>38</v>
      </c>
      <c r="BG1138" s="7" t="s">
        <v>1242</v>
      </c>
      <c r="BH1138" s="1" t="s">
        <v>1947</v>
      </c>
      <c r="BI1138" s="2" t="s">
        <v>5825</v>
      </c>
      <c r="BJ1138" s="1" t="s">
        <v>1875</v>
      </c>
      <c r="BK1138" s="2" t="s">
        <v>5826</v>
      </c>
    </row>
    <row r="1139" spans="1:69" ht="108" x14ac:dyDescent="0.45">
      <c r="A1139" s="5">
        <v>1138</v>
      </c>
      <c r="B1139" s="8" t="s">
        <v>876</v>
      </c>
      <c r="C1139" s="6" t="s">
        <v>1816</v>
      </c>
      <c r="D1139" s="7" t="s">
        <v>9752</v>
      </c>
      <c r="E1139" s="1" t="s">
        <v>1413</v>
      </c>
      <c r="F1139" s="1" t="s">
        <v>1408</v>
      </c>
      <c r="G1139" s="1"/>
      <c r="J1139" s="1" t="s">
        <v>9753</v>
      </c>
      <c r="K1139" s="2" t="s">
        <v>9546</v>
      </c>
      <c r="L1139" s="2" t="s">
        <v>9547</v>
      </c>
      <c r="M1139" s="1" t="s">
        <v>12178</v>
      </c>
      <c r="P1139" s="7" t="s">
        <v>1241</v>
      </c>
      <c r="Q1139" s="13" t="str">
        <f>INDEX($L:$L, MATCH("attract", $B:$B, 0))</f>
        <v>&lt;span class="w"&gt;&lt;b&gt;【222.attract：～を引きつける】&lt;/b&gt;&lt;/span&gt;
&lt;span class="ml"&gt;ラテン語に由来する語で、以下の2つの要素から成る。
&lt;span class="spacer"&gt;&lt;/span&gt;ad（～へ）
trahere（引く）
&lt;span class="spacer"&gt;&lt;/span&gt;このまま日本語にすると「〜へ引く」となる。対象を何かへ引き寄せることから、注意や視線などを「引きつける」という意味になる。&lt;/span&gt;</v>
      </c>
      <c r="R1139" s="13" t="str">
        <f>INDEX($L:$L, MATCH("distract", $B:$B, 0))</f>
        <v>&lt;span class="w"&gt;&lt;b&gt;【1020.distract：（注意など）をそらす】&lt;/b&gt;&lt;/span&gt;
&lt;span class="ml"&gt;ラテン語に由来する語で、以下の2つの要素から成る。
&lt;span class="spacer"&gt;&lt;/span&gt;dis（離れて）
trahere（引く）
&lt;span class="spacer"&gt;&lt;/span&gt;このまま日本語にすると「離れたところへ引く」となる。人の心や注意を異なる方へ引っぱることから、心や注意を「そらす」という意味になる。
&lt;div class="sample_image distract"&gt;&lt;/div&gt;&lt;/span&gt;</v>
      </c>
      <c r="S1139" s="13" t="str">
        <f>INDEX($L:$L, MATCH("abstract", $B:$B, 0))</f>
        <v>&lt;span class="w"&gt;&lt;b&gt;【586.abstract：抽象的な】&lt;/b&gt;&lt;/span&gt;
&lt;span class="ml"&gt;ラテン語に由来する語で、以下の2つの要素から成る。
&lt;span class="spacer"&gt;&lt;/span&gt;ab（離れて）
trahere（引く）
&lt;span class="spacer"&gt;&lt;/span&gt;このまま日本語にすると「引き離す」となる。もともとは、物理的にある物質から特定のものを引き離すことを表した。&lt;span class="obsolete"&gt;現在でも動詞abstructは「抽出する」を意味する。&lt;/span&gt;
&lt;span class="spacer"&gt;&lt;/span&gt;そして物理的な動作から思考プロセスへと意味が広がる。目に見える具体的な事物（リンゴ、バナナ、イチゴなど）から、共通する性質や本質（＝果物という概念）だけを「引き離して頭の中で考える」ことを指すようになり、「抽象的な」という意味になった。
&lt;div class="sample_image abstract"&gt;&lt;/div&gt;&lt;/span&gt;</v>
      </c>
      <c r="T1139" s="13" t="str">
        <f>INDEX($L:$L, MATCH("contract", $B:$B, 0))</f>
        <v>&lt;span class="w"&gt;&lt;b&gt;【577.contract：契約（書）】&lt;/b&gt;&lt;/span&gt;
&lt;span class="ml"&gt;ラテン語に由来する語で、以下の2つの要素から成る。
&lt;span class="spacer"&gt;&lt;/span&gt;con（共に）
trahere（引く）
&lt;span class="spacer"&gt;&lt;/span&gt;このまま日本語にすると「共に引く」となる。人と人が互いの条件や意見を引き寄せ合い、一つの合意点にまとめることから「契約（書）」という意味になる。
&lt;div class="sample_image contract"&gt;&lt;/div&gt;&lt;/span&gt;</v>
      </c>
      <c r="AU1139" s="15"/>
      <c r="AV1139" s="1" t="s">
        <v>38</v>
      </c>
      <c r="BG1139" s="7" t="s">
        <v>1242</v>
      </c>
      <c r="BH1139" s="1" t="s">
        <v>1947</v>
      </c>
      <c r="BI1139" s="2" t="s">
        <v>5827</v>
      </c>
      <c r="BJ1139" s="1" t="s">
        <v>1875</v>
      </c>
      <c r="BK1139" s="2" t="s">
        <v>5828</v>
      </c>
    </row>
    <row r="1140" spans="1:69" ht="126" x14ac:dyDescent="0.45">
      <c r="A1140" s="5">
        <v>1139</v>
      </c>
      <c r="B1140" s="8" t="s">
        <v>877</v>
      </c>
      <c r="C1140" s="6" t="s">
        <v>1816</v>
      </c>
      <c r="D1140" s="7" t="s">
        <v>9752</v>
      </c>
      <c r="E1140" s="1" t="s">
        <v>27</v>
      </c>
      <c r="F1140" s="1" t="s">
        <v>1937</v>
      </c>
      <c r="G1140" s="1"/>
      <c r="J1140" s="1" t="s">
        <v>9753</v>
      </c>
      <c r="K1140" s="1" t="s">
        <v>9548</v>
      </c>
      <c r="L1140" s="2" t="s">
        <v>9549</v>
      </c>
      <c r="P1140" s="7" t="s">
        <v>1241</v>
      </c>
      <c r="Q1140" s="13" t="str">
        <f>INDEX($L:$L, MATCH("heritage", $B:$B, 0))</f>
        <v>&lt;span class="w"&gt;&lt;b&gt;【743.heritage：遺産】&lt;/b&gt;&lt;/span&gt;
&lt;span class="ml"&gt;古フランス語に由来する語で、以下の2つの要素から成る。
&lt;span class="spacer"&gt;&lt;/span&gt;heriter（相続する）
age（名詞化）
&lt;span class="spacer"&gt;&lt;/span&gt;このまま日本語にすると「相続されるもの」つまり「遺産」という意味になる。&lt;/span&gt;</v>
      </c>
      <c r="AU1140" s="15"/>
      <c r="AV1140" s="1" t="s">
        <v>38</v>
      </c>
      <c r="BG1140" s="7" t="s">
        <v>1242</v>
      </c>
      <c r="BH1140" s="1" t="s">
        <v>1947</v>
      </c>
      <c r="BI1140" s="2" t="s">
        <v>5829</v>
      </c>
      <c r="BJ1140" s="1" t="s">
        <v>1959</v>
      </c>
      <c r="BK1140" s="1" t="s">
        <v>5830</v>
      </c>
      <c r="BL1140" s="1" t="s">
        <v>1875</v>
      </c>
      <c r="BM1140" s="2" t="s">
        <v>5831</v>
      </c>
    </row>
    <row r="1141" spans="1:69" ht="126" x14ac:dyDescent="0.45">
      <c r="A1141" s="5">
        <v>1140</v>
      </c>
      <c r="B1141" s="6" t="s">
        <v>878</v>
      </c>
      <c r="C1141" s="6" t="s">
        <v>1816</v>
      </c>
      <c r="D1141" s="7" t="s">
        <v>9752</v>
      </c>
      <c r="E1141" s="1" t="s">
        <v>878</v>
      </c>
      <c r="F1141" s="1"/>
      <c r="G1141" s="1"/>
      <c r="J1141" s="1" t="s">
        <v>9753</v>
      </c>
      <c r="L1141" s="2" t="s">
        <v>9550</v>
      </c>
      <c r="P1141" s="7" t="s">
        <v>1241</v>
      </c>
      <c r="AV1141" s="1" t="s">
        <v>38</v>
      </c>
      <c r="BG1141" s="7" t="s">
        <v>1242</v>
      </c>
      <c r="BH1141" s="1" t="s">
        <v>1872</v>
      </c>
      <c r="BI1141" s="1" t="s">
        <v>5832</v>
      </c>
      <c r="BJ1141" s="1" t="s">
        <v>1875</v>
      </c>
      <c r="BK1141" s="2" t="s">
        <v>5833</v>
      </c>
      <c r="BL1141" s="1" t="s">
        <v>1877</v>
      </c>
      <c r="BM1141" s="2" t="s">
        <v>5834</v>
      </c>
    </row>
    <row r="1142" spans="1:69" ht="126" x14ac:dyDescent="0.45">
      <c r="A1142" s="5">
        <v>1141</v>
      </c>
      <c r="B1142" s="6" t="s">
        <v>879</v>
      </c>
      <c r="C1142" s="6" t="s">
        <v>6850</v>
      </c>
      <c r="D1142" s="7" t="s">
        <v>9752</v>
      </c>
      <c r="E1142" s="1" t="s">
        <v>1825</v>
      </c>
      <c r="F1142" s="1" t="s">
        <v>5477</v>
      </c>
      <c r="G1142" s="1"/>
      <c r="J1142" s="1" t="s">
        <v>9753</v>
      </c>
      <c r="K1142" s="2" t="s">
        <v>9552</v>
      </c>
      <c r="L1142" s="2" t="s">
        <v>9553</v>
      </c>
      <c r="P1142" s="7" t="s">
        <v>1241</v>
      </c>
      <c r="Q1142" s="13" t="str">
        <f>INDEX($L:$L, MATCH("sympathy", $B:$B, 0))</f>
        <v>&lt;span class="w"&gt;&lt;b&gt;【1044.sympathy：同情, 共感】&lt;/b&gt;&lt;/span&gt;
&lt;span class="ml"&gt;ギリシャ語に由来する語で、以下の2つの要素から成る。
&lt;span class="spacer"&gt;&lt;/span&gt;syn（共に）
pathos（感情）
&lt;span class="spacer"&gt;&lt;/span&gt;この語の核は「他者の感情と共になる」。他者と同じような感情を抱くことから「共感, 同情」という意味になる。&lt;/span&gt;</v>
      </c>
      <c r="AU1142" s="15"/>
      <c r="AV1142" s="1" t="s">
        <v>38</v>
      </c>
      <c r="BG1142" s="7" t="s">
        <v>1242</v>
      </c>
      <c r="BH1142" s="1" t="s">
        <v>2458</v>
      </c>
      <c r="BI1142" s="2" t="s">
        <v>5835</v>
      </c>
      <c r="BJ1142" s="1" t="s">
        <v>3460</v>
      </c>
      <c r="BK1142" s="2" t="s">
        <v>9554</v>
      </c>
      <c r="BL1142" s="1" t="s">
        <v>3496</v>
      </c>
      <c r="BM1142" s="2" t="s">
        <v>9555</v>
      </c>
    </row>
    <row r="1143" spans="1:69" ht="90" x14ac:dyDescent="0.45">
      <c r="A1143" s="5">
        <v>1142</v>
      </c>
      <c r="B1143" s="6" t="s">
        <v>880</v>
      </c>
      <c r="C1143" s="6" t="s">
        <v>6850</v>
      </c>
      <c r="D1143" s="7" t="s">
        <v>9752</v>
      </c>
      <c r="E1143" s="1" t="s">
        <v>880</v>
      </c>
      <c r="F1143" s="1"/>
      <c r="G1143" s="1"/>
      <c r="J1143" s="1" t="s">
        <v>9753</v>
      </c>
      <c r="K1143" s="1" t="s">
        <v>9556</v>
      </c>
      <c r="L1143" s="2" t="s">
        <v>9557</v>
      </c>
      <c r="P1143" s="7" t="s">
        <v>1241</v>
      </c>
      <c r="AU1143" s="15"/>
      <c r="AV1143" s="1" t="s">
        <v>38</v>
      </c>
      <c r="BG1143" s="7" t="s">
        <v>1242</v>
      </c>
      <c r="BH1143" s="1" t="s">
        <v>1877</v>
      </c>
      <c r="BI1143" s="2" t="s">
        <v>5836</v>
      </c>
    </row>
    <row r="1144" spans="1:69" ht="144" x14ac:dyDescent="0.45">
      <c r="A1144" s="5">
        <v>1143</v>
      </c>
      <c r="B1144" s="6" t="s">
        <v>881</v>
      </c>
      <c r="C1144" s="6" t="s">
        <v>6850</v>
      </c>
      <c r="D1144" s="7" t="s">
        <v>9752</v>
      </c>
      <c r="E1144" s="1" t="s">
        <v>4985</v>
      </c>
      <c r="F1144" s="1" t="s">
        <v>5837</v>
      </c>
      <c r="G1144" s="1"/>
      <c r="J1144" s="1" t="s">
        <v>9753</v>
      </c>
      <c r="L1144" s="2" t="s">
        <v>9558</v>
      </c>
      <c r="P1144" s="7" t="s">
        <v>1241</v>
      </c>
      <c r="Q1144" s="13" t="str">
        <f>INDEX($L:$L, MATCH("comprise", $B:$B, 0))</f>
        <v>&lt;span class="w"&gt;&lt;b&gt;【1339.comprise：〜から成る】&lt;/b&gt;&lt;/span&gt;
&lt;span class="ml"&gt;ラテン語に由来する語で、以下の2つの要素から成る。
&lt;span class="spacer"&gt;&lt;/span&gt;com（共に, 完全に）
prehendere（つかむ, 捉える）
&lt;span class="spacer"&gt;&lt;/span&gt;このまま日本語にすると「共につかみとる」となる。複数のものをひとまとめにしてつかんで持つイメージから、ある全体が複数の要素を自分の中に含んで持っている状態を表すようになった。つまり全体が複数の要素「から成る」という意味になった。
&lt;span class="spacer"&gt;&lt;/span&gt;［全体 comprise 部分］
全体が部分から成る
&lt;div class="sample_image comprise"&gt;&lt;/div&gt;&lt;/span&gt;</v>
      </c>
      <c r="R1144" s="13" t="str">
        <f>INDEX($L:$L, MATCH("comprehend", $B:$B, 0))</f>
        <v>&lt;span class="w"&gt;&lt;b&gt;【1420.comprehend：〜を理解する】&lt;/b&gt;&lt;/span&gt;
&lt;span class="ml"&gt;ラテン語
com（完全に）＋pre（前に）＋hendere（つかむ）
&lt;span class="spacer"&gt;&lt;/span&gt;このまま日本語にすると「完全に手を前に伸ばしてつかむ」となる。物理的にしっかりつかみ取ることから比喩的に、対象の理屈や全体像を自分の頭でギュッと掴み取るイメージになり、&lt;strong&gt;物事全体を&lt;/strong&gt;心でしっかりつかんで「理解する」という意味になる。
&lt;div class="sample_image comprehend"&gt;&lt;/div&gt;
&lt;span class="spacer"&gt;&lt;/span&gt;形容詞comprehensiveは「包括的な, 総合的な」という、物事全体を広く包み込むような意味になる。これは、comprehendが単に理解するだけではなく、&lt;strong&gt;物事の全体像&lt;/strong&gt;をしっかり把握することを表すのと共通している。どちらにも「全体をまとめてつかむ」という核となるイメージがある。&lt;/span&gt;</v>
      </c>
      <c r="AU1144" s="15"/>
      <c r="AV1144" s="1" t="s">
        <v>38</v>
      </c>
      <c r="BG1144" s="7" t="s">
        <v>1242</v>
      </c>
      <c r="BH1144" s="1" t="s">
        <v>1959</v>
      </c>
      <c r="BI1144" s="2" t="s">
        <v>5838</v>
      </c>
      <c r="BJ1144" s="1" t="s">
        <v>1875</v>
      </c>
      <c r="BK1144" s="2" t="s">
        <v>5839</v>
      </c>
    </row>
    <row r="1145" spans="1:69" ht="126" x14ac:dyDescent="0.45">
      <c r="A1145" s="5">
        <v>1144</v>
      </c>
      <c r="B1145" s="6" t="s">
        <v>882</v>
      </c>
      <c r="C1145" s="6" t="s">
        <v>6850</v>
      </c>
      <c r="D1145" s="7" t="s">
        <v>9752</v>
      </c>
      <c r="E1145" s="1" t="s">
        <v>1660</v>
      </c>
      <c r="F1145" s="1" t="s">
        <v>5471</v>
      </c>
      <c r="G1145" s="1"/>
      <c r="J1145" s="1" t="s">
        <v>9753</v>
      </c>
      <c r="L1145" s="2" t="s">
        <v>9559</v>
      </c>
      <c r="P1145" s="7" t="s">
        <v>1241</v>
      </c>
      <c r="Q1145" s="13" t="str">
        <f>INDEX($L:$L, MATCH("input", $B:$B, 0))</f>
        <v>&lt;span class="w"&gt;&lt;b&gt;【1042.input：入力（情報）, 投入】&lt;/b&gt;&lt;/span&gt;
&lt;span class="ml"&gt;近代英語にさかのぼり、以下の2つの要素から成る。
&lt;span class="spacer"&gt;&lt;/span&gt;in（中に）
put（置く）
&lt;span class="spacer"&gt;&lt;/span&gt;このまま日本語にすると「中に置く」となる。そこから中に置くこと、つまり「投入, 入力」という意味になった。&lt;/span&gt;</v>
      </c>
      <c r="AU1145" s="15"/>
      <c r="AV1145" s="1" t="s">
        <v>38</v>
      </c>
      <c r="BG1145" s="7" t="s">
        <v>1242</v>
      </c>
      <c r="BH1145" s="1" t="s">
        <v>1877</v>
      </c>
      <c r="BI1145" s="2" t="s">
        <v>5840</v>
      </c>
    </row>
    <row r="1146" spans="1:69" ht="162" x14ac:dyDescent="0.45">
      <c r="A1146" s="5">
        <v>1145</v>
      </c>
      <c r="B1146" s="8" t="s">
        <v>883</v>
      </c>
      <c r="C1146" s="6" t="s">
        <v>6850</v>
      </c>
      <c r="D1146" s="7" t="s">
        <v>9752</v>
      </c>
      <c r="E1146" s="1" t="s">
        <v>46</v>
      </c>
      <c r="F1146" s="1" t="s">
        <v>1441</v>
      </c>
      <c r="G1146" s="1"/>
      <c r="J1146" s="1" t="s">
        <v>9753</v>
      </c>
      <c r="K1146" s="2" t="s">
        <v>9560</v>
      </c>
      <c r="L1146" s="3" t="s">
        <v>9561</v>
      </c>
      <c r="M1146" s="1" t="s">
        <v>12185</v>
      </c>
      <c r="P1146" s="7" t="s">
        <v>1241</v>
      </c>
      <c r="Q1146" s="13" t="str">
        <f>INDEX($L:$L, MATCH("progress", $B:$B, 0))</f>
        <v>&lt;span class="w"&gt;&lt;b&gt;【278.progress：進歩, 前進】&lt;/b&gt;&lt;/span&gt;
&lt;span class="ml"&gt;ラテン語に由来する語で、以下の2つの要素から成る。
&lt;span class="spacer"&gt;&lt;/span&gt;pro（前に）
gradus（一歩）から派生したgradi（進む, 歩く）
&lt;span class="spacer"&gt;&lt;/span&gt;この語の核は「前に一歩踏み出して進む」となる。ここから「前進, 進歩」という意味になる。
&lt;div class="sample_image progress"&gt;&lt;/div&gt;&lt;/span&gt;</v>
      </c>
      <c r="R1146" s="13" t="str">
        <f>INDEX($L:$L, MATCH("ingredient", $B:$B, 0))</f>
        <v>&lt;span class="w"&gt;&lt;b&gt;【575.ingredient：成分, 材料】&lt;/b&gt;&lt;/span&gt;
&lt;span class="ml"&gt;ラテン語に由来する語で、以下の2つの要素から成る。
&lt;span class="spacer"&gt;&lt;/span&gt;in（中に）
gradi（歩く, 進む）
&lt;span class="spacer"&gt;&lt;/span&gt;このまま日本語にすると「中に歩く」となる。これは「何かの中に入る」イメージ。そこから、混合物や調合などに入るもの、つまり「成分, 材料」という意味になる。
&lt;div class="sample_image ingredient"&gt;&lt;/div&gt;&lt;/span&gt;</v>
      </c>
      <c r="S1146" s="13" t="str">
        <f>INDEX($L:$L, MATCH("aggressive", $B:$B, 0))</f>
        <v>&lt;span class="w"&gt;&lt;b&gt;【592.aggressive：攻撃的な】&lt;/b&gt;&lt;/span&gt;
&lt;span class="ml"&gt;ラテン語に由来する語で、以下の2つの要素から成る。
&lt;span class="spacer"&gt;&lt;/span&gt;ad（〜へ）
gradus（一歩）から派生した動詞gradi（歩く, 進む）
&lt;span class="obsolete"&gt;ive（形容詞化）は英語段階で付いた&lt;/span&gt;
&lt;span class="spacer"&gt;&lt;/span&gt;このまま日本語にすると「〜へ歩き進む」となり、対象への接近や、さらに襲いかかる・攻撃することを表した。ここから「攻撃的な」という意味になった。&lt;/span&gt;</v>
      </c>
      <c r="T1146" s="13" t="str">
        <f>INDEX($L:$L, MATCH("gradual", $B:$B, 0))</f>
        <v>&lt;span class="w"&gt;&lt;b&gt;【1391.gradual：徐々の, 緩やかな】&lt;/b&gt;&lt;/span&gt;
&lt;span class="ml"&gt;ラテン語に由来する語で、以下の2つの要素から成る。
&lt;span class="spacer"&gt;&lt;/span&gt;gradus（一歩, 登る段, 物事の段階）
alis（形容詞化）
&lt;span class="spacer"&gt;&lt;/span&gt;この語の核は「一歩一歩すすむ」。
一歩ずつ、あるいは一段ずつ進むことから、物事が一気に飛躍するのではなく、段階的に変化する＝「徐々の, 緩やかな」という意味になった。
&lt;div class="sample_image gradual"&gt;&lt;/div&gt;&lt;/span&gt;</v>
      </c>
      <c r="U1146" s="13" t="str">
        <f>INDEX($L:$L, MATCH("undergraduate", $B:$B, 0))</f>
        <v>&lt;span class="w"&gt;&lt;b&gt;【1167.undergraduate：学部生】&lt;/b&gt;&lt;/span&gt;
&lt;span class="ml"&gt;近代英語にさかのぼり、以下の2つの要素から成る。
&lt;span class="spacer"&gt;&lt;/span&gt;under（下に）
graduate（卒業生, 学位取得者）
&lt;span class="spacer"&gt;&lt;/span&gt;大学卒業生＝最初の学位（学士号）を取得した人の下の段階を表すことから、「学部生（大学生）」という意味になる。&lt;/span&gt;</v>
      </c>
      <c r="AU1146" s="15"/>
      <c r="AV1146" s="1" t="s">
        <v>38</v>
      </c>
      <c r="BG1146" s="7" t="s">
        <v>1242</v>
      </c>
      <c r="BH1146" s="1" t="s">
        <v>1947</v>
      </c>
      <c r="BI1146" s="2" t="s">
        <v>5841</v>
      </c>
      <c r="BJ1146" s="1" t="s">
        <v>1875</v>
      </c>
      <c r="BK1146" s="2" t="s">
        <v>5842</v>
      </c>
      <c r="BL1146" s="1" t="s">
        <v>1877</v>
      </c>
      <c r="BM1146" s="2" t="s">
        <v>5843</v>
      </c>
    </row>
    <row r="1147" spans="1:69" ht="144" x14ac:dyDescent="0.45">
      <c r="A1147" s="5">
        <v>1146</v>
      </c>
      <c r="B1147" s="6" t="s">
        <v>884</v>
      </c>
      <c r="C1147" s="6" t="s">
        <v>6850</v>
      </c>
      <c r="D1147" s="7" t="s">
        <v>9752</v>
      </c>
      <c r="E1147" s="1" t="s">
        <v>5844</v>
      </c>
      <c r="F1147" s="1" t="s">
        <v>5845</v>
      </c>
      <c r="G1147" s="1"/>
      <c r="J1147" s="1" t="s">
        <v>9753</v>
      </c>
      <c r="K1147" s="2" t="s">
        <v>12088</v>
      </c>
      <c r="L1147" s="2" t="s">
        <v>9562</v>
      </c>
      <c r="P1147" s="7" t="s">
        <v>1241</v>
      </c>
      <c r="Q1147" s="13" t="str">
        <f>INDEX($L:$L, MATCH("annual", $B:$B, 0))</f>
        <v>&lt;span class="w"&gt;&lt;b&gt;【486.annual：年1回の, 1年の】&lt;/b&gt;&lt;/span&gt;
&lt;span class="ml"&gt;ラテン語に由来する語で、以下の2つの要素から成る。
&lt;span class="spacer"&gt;&lt;/span&gt;annus（年）
alis（形容詞化）
&lt;span class="spacer"&gt;&lt;/span&gt;このまま日本語にすると「年の」、つまり「1年の, 年1回の」という意味になる。
&lt;span class="spacer"&gt;&lt;/span&gt;［紀元前B.C.と紀元後A.D.］
Before Christ：キリスト誕生以前という英語
Anno Domini：主の年に＝キリスト誕生の年というラテン語
&lt;span class="spacer"&gt;&lt;/span&gt;A.D.のAnno（年）は、annualの語源でもある。
&lt;span class="spacer"&gt;&lt;/span&gt;anniversary（周年）のanniは、ラテン語annus（年）に由来する。&lt;/span&gt;</v>
      </c>
      <c r="R1147" s="13" t="str">
        <f>INDEX($L:$L, MATCH("anniversary", $B:$B, 0))</f>
        <v>&lt;span class="w"&gt;&lt;b&gt;【1245.anniversary：〜周年の記念日】&lt;/b&gt;&lt;/span&gt;
&lt;span class="ml"&gt;ラテン語に由来する語で、以下の4つの要素から成る。
&lt;span class="spacer"&gt;&lt;/span&gt;annus（年）
vertere（回す）の過去分詞versus（回された）
arius（形容詞化）
um（名詞化）
&lt;span class="spacer"&gt;&lt;/span&gt;この語の核は「毎年回ってくる日」。
そこから「周年の記念日」という意味になる。&lt;/span&gt;</v>
      </c>
      <c r="AU1147" s="15"/>
      <c r="AV1147" s="1" t="s">
        <v>38</v>
      </c>
      <c r="BG1147" s="7" t="s">
        <v>1242</v>
      </c>
      <c r="BH1147" s="1" t="s">
        <v>1947</v>
      </c>
      <c r="BI1147" s="2" t="s">
        <v>5846</v>
      </c>
      <c r="BJ1147" s="1" t="s">
        <v>1877</v>
      </c>
      <c r="BK1147" s="1" t="s">
        <v>5847</v>
      </c>
      <c r="BL1147" s="1" t="s">
        <v>1877</v>
      </c>
      <c r="BM1147" s="2" t="s">
        <v>5848</v>
      </c>
    </row>
    <row r="1148" spans="1:69" ht="108" x14ac:dyDescent="0.45">
      <c r="A1148" s="5">
        <v>1147</v>
      </c>
      <c r="B1148" s="6" t="s">
        <v>885</v>
      </c>
      <c r="C1148" s="6" t="s">
        <v>6850</v>
      </c>
      <c r="D1148" s="7" t="s">
        <v>9752</v>
      </c>
      <c r="E1148" s="1" t="s">
        <v>1932</v>
      </c>
      <c r="F1148" s="1" t="s">
        <v>5849</v>
      </c>
      <c r="G1148" s="1"/>
      <c r="J1148" s="1" t="s">
        <v>9753</v>
      </c>
      <c r="K1148" s="1" t="s">
        <v>9563</v>
      </c>
      <c r="L1148" s="2" t="s">
        <v>9564</v>
      </c>
      <c r="P1148" s="7" t="s">
        <v>1241</v>
      </c>
      <c r="AU1148" s="15"/>
      <c r="AV1148" s="1" t="s">
        <v>38</v>
      </c>
      <c r="BG1148" s="7" t="s">
        <v>1242</v>
      </c>
      <c r="BH1148" s="1" t="s">
        <v>1872</v>
      </c>
      <c r="BI1148" s="2" t="s">
        <v>5850</v>
      </c>
      <c r="BJ1148" s="1" t="s">
        <v>1875</v>
      </c>
      <c r="BK1148" s="2" t="s">
        <v>5851</v>
      </c>
    </row>
    <row r="1149" spans="1:69" ht="72" x14ac:dyDescent="0.45">
      <c r="A1149" s="5">
        <v>1148</v>
      </c>
      <c r="B1149" s="6" t="s">
        <v>886</v>
      </c>
      <c r="C1149" s="6" t="s">
        <v>6850</v>
      </c>
      <c r="D1149" s="7" t="s">
        <v>9752</v>
      </c>
      <c r="E1149" s="1" t="s">
        <v>886</v>
      </c>
      <c r="F1149" s="1"/>
      <c r="G1149" s="1"/>
      <c r="J1149" s="1" t="s">
        <v>9753</v>
      </c>
      <c r="L1149" s="2" t="s">
        <v>9565</v>
      </c>
      <c r="P1149" s="7" t="s">
        <v>1241</v>
      </c>
      <c r="AV1149" s="1" t="s">
        <v>38</v>
      </c>
      <c r="BG1149" s="7" t="s">
        <v>1242</v>
      </c>
      <c r="BH1149" s="1" t="s">
        <v>5852</v>
      </c>
      <c r="BI1149" s="1" t="s">
        <v>5853</v>
      </c>
      <c r="BJ1149" s="1" t="s">
        <v>1877</v>
      </c>
      <c r="BK1149" s="2" t="s">
        <v>5854</v>
      </c>
    </row>
    <row r="1150" spans="1:69" ht="108" x14ac:dyDescent="0.45">
      <c r="A1150" s="5">
        <v>1149</v>
      </c>
      <c r="B1150" s="6" t="s">
        <v>887</v>
      </c>
      <c r="C1150" s="6" t="s">
        <v>6850</v>
      </c>
      <c r="D1150" s="7" t="s">
        <v>9752</v>
      </c>
      <c r="E1150" s="1" t="s">
        <v>887</v>
      </c>
      <c r="F1150" s="1"/>
      <c r="G1150" s="1"/>
      <c r="J1150" s="1" t="s">
        <v>9753</v>
      </c>
      <c r="K1150" s="1" t="s">
        <v>9566</v>
      </c>
      <c r="L1150" s="2" t="s">
        <v>9567</v>
      </c>
      <c r="P1150" s="7" t="s">
        <v>1241</v>
      </c>
      <c r="Q1150" s="13"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R1150" s="13"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S1150" s="13" t="str">
        <f>INDEX($L:$L, MATCH("establish", $B:$B, 0))</f>
        <v>&lt;span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v>
      </c>
      <c r="T1150" s="13" t="str">
        <f>INDEX($L:$L, MATCH("static", $B:$B, 0))</f>
        <v>&lt;span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v>
      </c>
      <c r="U1150" s="13"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V1150" s="13"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W1150" s="13"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X1150" s="13"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Y1150" s="13"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Z1150" s="13"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AA1150" s="13" t="str">
        <f>INDEX($L:$L, MATCH("steady", $B:$B, 0))</f>
        <v>&lt;span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v>
      </c>
      <c r="AB1150"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C1150" s="13" t="str">
        <f>INDEX($L:$L, MATCH("restore", $B:$B, 0))</f>
        <v>&lt;span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v>
      </c>
      <c r="AD1150" s="13"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AE1150" s="13"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V1150" s="1" t="s">
        <v>38</v>
      </c>
      <c r="BG1150" s="7" t="s">
        <v>1242</v>
      </c>
      <c r="BH1150" s="1" t="s">
        <v>1976</v>
      </c>
      <c r="BI1150" s="1" t="s">
        <v>3795</v>
      </c>
      <c r="BJ1150" s="1" t="s">
        <v>1947</v>
      </c>
      <c r="BK1150" s="1" t="s">
        <v>5855</v>
      </c>
      <c r="BL1150" s="1" t="s">
        <v>1959</v>
      </c>
      <c r="BM1150" s="2" t="s">
        <v>5856</v>
      </c>
      <c r="BN1150" s="1" t="s">
        <v>1875</v>
      </c>
      <c r="BO1150" s="2" t="s">
        <v>5857</v>
      </c>
      <c r="BP1150" s="1" t="s">
        <v>1877</v>
      </c>
      <c r="BQ1150" s="2" t="s">
        <v>5858</v>
      </c>
    </row>
    <row r="1151" spans="1:69" ht="216" x14ac:dyDescent="0.45">
      <c r="A1151" s="5">
        <v>1150</v>
      </c>
      <c r="B1151" s="6" t="s">
        <v>888</v>
      </c>
      <c r="C1151" s="6" t="s">
        <v>6850</v>
      </c>
      <c r="D1151" s="7" t="s">
        <v>9752</v>
      </c>
      <c r="E1151" s="1" t="s">
        <v>1678</v>
      </c>
      <c r="F1151" s="1" t="s">
        <v>5859</v>
      </c>
      <c r="G1151" s="1"/>
      <c r="J1151" s="1" t="s">
        <v>9753</v>
      </c>
      <c r="K1151" s="2" t="s">
        <v>9568</v>
      </c>
      <c r="L1151" s="2" t="s">
        <v>9569</v>
      </c>
      <c r="P1151" s="7" t="s">
        <v>1241</v>
      </c>
      <c r="Q1151" s="13" t="str">
        <f>INDEX($L:$L, MATCH("mineral", $B:$B, 0))</f>
        <v>&lt;span class="w"&gt;&lt;b&gt;【967.mineral：鉱物, ミネラル】&lt;/b&gt;&lt;/span&gt;
&lt;span class="ml"&gt;ラテン語にminera（鉱山）に由来する。
&lt;span class="spacer"&gt;&lt;/span&gt;この語の核は「鉱山で採掘されたもの」。そこから「鉱物, ミネラル」という意味になった。&lt;/span&gt;</v>
      </c>
      <c r="R1151" s="13" t="str">
        <f>INDEX($L:$L, MATCH("undermine", $B:$B, 0))</f>
        <v>&lt;span class="w"&gt;&lt;b&gt;【1432.undermine：〜を徐々にむしばむ, 〜を侵食する, 弱める, 損なわせる】&lt;/b&gt;&lt;/span&gt;
&lt;span class="ml"&gt;中英語にさかのぼり、以下の2つの要素から成る。
&lt;span class="spacer"&gt;&lt;/span&gt;under（下に）
mine（掘る）
&lt;span class="spacer"&gt;&lt;/span&gt;このまま日本語にすると「下に掘る」となる。もともとは軍事的な戦術において、城壁や建物の下を掘り、そこから上にあるものを崩すことを表した。undermineで重要なのは「土台からその上にあるものを破壊する」というイメージ。
&lt;span class="spacer"&gt;&lt;/span&gt;そこから、物理的に土台を「侵食する」、体や健康を「徐々にむしばむ」、立場・計画・信頼などを「弱める, 損なわせる」といった意味になった。
&lt;div class="sample_image undermine"&gt;&lt;/div&gt;&lt;/span&gt;</v>
      </c>
      <c r="AV1151" s="1" t="s">
        <v>38</v>
      </c>
      <c r="BG1151" s="7" t="s">
        <v>1242</v>
      </c>
      <c r="BH1151" s="1" t="s">
        <v>1967</v>
      </c>
      <c r="BI1151" s="1" t="s">
        <v>5860</v>
      </c>
      <c r="BJ1151" s="1" t="s">
        <v>1959</v>
      </c>
      <c r="BK1151" s="2" t="s">
        <v>5861</v>
      </c>
      <c r="BL1151" s="1" t="s">
        <v>1875</v>
      </c>
      <c r="BM1151" s="2" t="s">
        <v>5862</v>
      </c>
      <c r="BN1151" s="1" t="s">
        <v>1877</v>
      </c>
      <c r="BO1151" s="2" t="s">
        <v>9570</v>
      </c>
    </row>
    <row r="1152" spans="1:69" ht="126" x14ac:dyDescent="0.45">
      <c r="A1152" s="5">
        <v>1151</v>
      </c>
      <c r="B1152" s="6" t="s">
        <v>889</v>
      </c>
      <c r="C1152" s="6" t="s">
        <v>6850</v>
      </c>
      <c r="D1152" s="7" t="s">
        <v>9752</v>
      </c>
      <c r="E1152" s="1" t="s">
        <v>9571</v>
      </c>
      <c r="F1152" s="1" t="s">
        <v>1584</v>
      </c>
      <c r="G1152" s="1"/>
      <c r="J1152" s="1" t="s">
        <v>9753</v>
      </c>
      <c r="L1152" s="3" t="s">
        <v>9572</v>
      </c>
      <c r="P1152" s="7" t="s">
        <v>1241</v>
      </c>
      <c r="AU1152" s="15"/>
      <c r="AV1152" s="1" t="s">
        <v>38</v>
      </c>
      <c r="BG1152" s="7" t="s">
        <v>1242</v>
      </c>
      <c r="BH1152" s="1" t="s">
        <v>1947</v>
      </c>
      <c r="BI1152" s="2" t="s">
        <v>9573</v>
      </c>
      <c r="BJ1152" s="1" t="s">
        <v>1959</v>
      </c>
      <c r="BK1152" s="1" t="s">
        <v>5863</v>
      </c>
      <c r="BL1152" s="1" t="s">
        <v>1875</v>
      </c>
      <c r="BM1152" s="2" t="s">
        <v>5864</v>
      </c>
    </row>
    <row r="1153" spans="1:67" ht="162" x14ac:dyDescent="0.45">
      <c r="A1153" s="5">
        <v>1152</v>
      </c>
      <c r="B1153" s="8" t="s">
        <v>890</v>
      </c>
      <c r="C1153" s="6" t="s">
        <v>6850</v>
      </c>
      <c r="D1153" s="7" t="s">
        <v>9752</v>
      </c>
      <c r="E1153" s="1" t="s">
        <v>5865</v>
      </c>
      <c r="F1153" s="1" t="s">
        <v>5866</v>
      </c>
      <c r="G1153" s="1"/>
      <c r="J1153" s="1" t="s">
        <v>9753</v>
      </c>
      <c r="L1153" s="3" t="s">
        <v>9574</v>
      </c>
      <c r="M1153" s="1" t="s">
        <v>12220</v>
      </c>
      <c r="P1153" s="7" t="s">
        <v>1241</v>
      </c>
      <c r="Q1153" s="13" t="str">
        <f>INDEX($L:$L, MATCH("contrast", $B:$B, 0))</f>
        <v>&lt;span class="w"&gt;&lt;b&gt;【245.contrast：対照】&lt;/b&gt;&lt;/span&gt;
&lt;span class="ml"&gt;ラテン語に由来する語で、以下の2つの要素から成る。
&lt;span class="spacer"&gt;&lt;/span&gt;contra（～に対して）
stare（立つ）
&lt;span class="spacer"&gt;&lt;/span&gt;このまま日本語にすると「反対に立つ」となる。あるものと反対に立つものを比べて違いがはっきりするイメージから「対照」という意味になる。&lt;/span&gt;</v>
      </c>
      <c r="R1153" s="13" t="str">
        <f>INDEX($L:$L, MATCH("contrary", $B:$B, 0))</f>
        <v>&lt;span class="w"&gt;&lt;b&gt;【488.contrary：反対の】&lt;/b&gt;&lt;/span&gt;
&lt;span class="ml"&gt;ラテン語に由来する語で、以下の2つの要素から成る。
&lt;span class="spacer"&gt;&lt;/span&gt;contra（〜に対して, 反対に）
arius（形容詞化）
&lt;span class="spacer"&gt;&lt;/span&gt;このまま日本語にすると「反対の」という意味になる。&lt;/span&gt;</v>
      </c>
      <c r="S1153" s="13" t="str">
        <f>INDEX($L:$L, MATCH("contradict", $B:$B, 0))</f>
        <v>&lt;span class="w"&gt;&lt;b&gt;【1412.contradict：〜と矛盾する, 〜と反対の意見を言う】&lt;/b&gt;&lt;/span&gt;
&lt;span class="ml"&gt;ラテン語に由来する語で、以下の2つの要素から成る。
&lt;span class="spacer"&gt;&lt;/span&gt;contra（〜に対して）
dicere（言う, 話す）
&lt;span class="spacer"&gt;&lt;/span&gt;相手に反対して話すことから「反対の意見を言う」という意味に、発言や事実と反対のことを言うことから「矛盾する」という意味になる。
&lt;div class="sample_image contradict"&gt;&lt;/div&gt;&lt;/span&gt;</v>
      </c>
      <c r="T1153" s="13" t="str">
        <f>INDEX($L:$L, MATCH("encounter", $B:$B, 0))</f>
        <v>&lt;span class="w"&gt;&lt;b&gt;【415.encounter：〜に遭遇する, 〜に偶然出会う】&lt;/b&gt;&lt;/span&gt;
&lt;span class="ml"&gt;ラテン語に由来する語で、以下の2つの要素から成る。
&lt;span class="spacer"&gt;&lt;/span&gt;in（中に）
contra（反対して, 〜に対して）
&lt;span class="spacer"&gt;&lt;/span&gt;この語の核は「何かと対する状況の中にいる」ということ。何かと向かい合う状況の中にいるイメージから「遭遇する, 偶然出会う」という意味になる。
&lt;div class="sample_image encounter"&gt;&lt;/div&gt;&lt;/span&gt;</v>
      </c>
      <c r="U1153" s="13" t="str">
        <f>INDEX($L:$L, MATCH("counterpart", $B:$B, 0))</f>
        <v>&lt;span class="w"&gt;&lt;b&gt;【969.counterpart：相当する物や人】&lt;/b&gt;&lt;/span&gt;
&lt;span class="ml"&gt;フランス語に由来する語で、以下の2つの要素から成る。
&lt;span class="spacer"&gt;&lt;/span&gt;contra（対して）
partie（分けられたもの, 部分, 写し）
&lt;span class="spacer"&gt;&lt;/span&gt;このまま日本語にすると「何かに対応させて分けられたもの」となる。もともとは法的な文書を写して分けたものを表した。法的文書の写しは元の文書と同等のものであることから、一般的な意味に発展し、何かに「相当する物や人」という意味になった。&lt;/span&gt;</v>
      </c>
      <c r="V1153" s="13" t="str">
        <f>INDEX($L:$L, MATCH("universal", $B:$B, 0))</f>
        <v>&lt;span class="w"&gt;&lt;b&gt;【282.universal：普遍的な, 宇宙の】&lt;/b&gt;&lt;/span&gt;
&lt;span class="ml"&gt;ラテン語に由来する語で、以下の3つの要素から成る。
&lt;span class="spacer"&gt;&lt;/span&gt;unus（1つ）
vertere（回す, 向きを変える）
alis（形容詞化）
&lt;span class="spacer"&gt;&lt;/span&gt;このまま日本語にすると「ひとつに回す」となる。回転することで中心に巻き込まれていって全体がひとつになるイメージから、世界全体や宇宙全体に関わる＝「普遍的な, 宇宙の」という意味になる。
普遍的とは広く全体に当てはまるということ。&lt;/span&gt;</v>
      </c>
      <c r="W1153" s="13" t="str">
        <f>INDEX($L:$L, MATCH("advertise", $B:$B, 0))</f>
        <v>&lt;span class="w"&gt;&lt;b&gt;【414.advertise：〜を宣伝する】&lt;/b&gt;&lt;/span&gt;
&lt;span class="ml"&gt;ラテン語に由来する語で、以下の2つの要素から成る。
&lt;span class="spacer"&gt;&lt;/span&gt;ad（〜へ）
vertere（回す, 向ける）
&lt;span class="spacer"&gt;&lt;/span&gt;この語の核は「注意をある方向へ向けさせる」ということ。人の注意を特定の対象に向けさせることから、商品などに目を向けさせる＝「何かを宣伝する」という意味になる。
&lt;div class="sample_image advertise"&gt;&lt;/div&gt;&lt;/span&gt;</v>
      </c>
      <c r="X1153" s="13" t="str">
        <f>INDEX($L:$L, MATCH("diversity", $B:$B, 0))</f>
        <v>&lt;span class="w"&gt;&lt;b&gt;【456.diversity：多様性, 相違点】&lt;/b&gt;&lt;/span&gt;
&lt;span class="ml"&gt;ラテン語に由来する語で、以下の3つの要素から成る。
&lt;span class="spacer"&gt;&lt;/span&gt;dis（離れて）
vertere（回す, 向ける）
tas（名詞化）
&lt;span class="spacer"&gt;&lt;/span&gt;このまま日本語にすると「離れた（異なる）方向に向けること」となる。これは、それぞれが異なる方向を向いているイメージ。そこから、物事がさまざまに分かれている状態を表し、「多様性, 相違点」という意味になる。&lt;/span&gt;</v>
      </c>
      <c r="Y1153" s="13" t="str">
        <f>INDEX($L:$L, MATCH("reverse", $B:$B, 0))</f>
        <v>&lt;span class="w"&gt;&lt;b&gt;【726.reverse：〜を逆転させる, 〜を反対にする】&lt;/b&gt;&lt;/span&gt;
&lt;span class="ml"&gt;ラテン語に由来する語で、以下の2つの要素から成る。
&lt;span class="spacer"&gt;&lt;/span&gt;re（再び, 後ろへ）
vertere（回す, 向ける）
&lt;span class="spacer"&gt;&lt;/span&gt;このまま日本語にすると「後ろへ向ける」や「再び回す」となる。このような向きを変える、ひっくり返す動きから、何かを「逆転させる, 反対にする」という意味になる。&lt;/span&gt;</v>
      </c>
      <c r="Z1153" s="13" t="str">
        <f>INDEX($L:$L, MATCH("divorce", $B:$B, 0))</f>
        <v>&lt;span class="w"&gt;&lt;b&gt;【764.divorce：離婚, 分離】&lt;/b&gt;&lt;/span&gt;
&lt;span class="ml"&gt;ラテン語に由来する語で、以下の2つの要素から成る。
&lt;span class="spacer"&gt;&lt;/span&gt;dis（離れて）
vertere（向ける）
&lt;span class="spacer"&gt;&lt;/span&gt;このまま日本語にすると「離れた方向に向ける」となる。もともとは何かの「分離」を意味した。そして、人生という道を共にする夫婦が離れた方を向いて行くことから「離婚」という意味になった。
&lt;div class="sample_image divorce"&gt;&lt;/div&gt;&lt;/span&gt;</v>
      </c>
      <c r="AA1153" s="13" t="str">
        <f>INDEX($L:$L, MATCH("anniversary", $B:$B, 0))</f>
        <v>&lt;span class="w"&gt;&lt;b&gt;【1245.anniversary：〜周年の記念日】&lt;/b&gt;&lt;/span&gt;
&lt;span class="ml"&gt;ラテン語に由来する語で、以下の4つの要素から成る。
&lt;span class="spacer"&gt;&lt;/span&gt;annus（年）
vertere（回す）の過去分詞versus（回された）
arius（形容詞化）
um（名詞化）
&lt;span class="spacer"&gt;&lt;/span&gt;この語の核は「毎年回ってくる日」。
そこから「周年の記念日」という意味になる。&lt;/span&gt;</v>
      </c>
      <c r="AB1153" s="13" t="str">
        <f>INDEX($L:$L, MATCH("version", $B:$B, 0))</f>
        <v>&lt;span class="w"&gt;&lt;b&gt;【364.version：〜版】&lt;/b&gt;&lt;/span&gt;
&lt;span class="ml"&gt;ラテン語に由来する語で、以下の2つの要素から成る。
&lt;span class="spacer"&gt;&lt;/span&gt;vertere（回す, 向ける）
io（名詞化）
&lt;span class="spacer"&gt;&lt;/span&gt;このまま日本語にすると「回すこと, 向けること」となる。あるものの向きを別の方へ変えるイメージから、既にあるものを元に別の形へ変えること＝「〜版」という意味になる。&lt;/span&gt;</v>
      </c>
      <c r="AC1153" s="13" t="str">
        <f>INDEX($L:$L, MATCH("versus", $B:$B, 0))</f>
        <v>&lt;span class="w"&gt;&lt;b&gt;【1100.versus：（A versus B）A対B】&lt;/b&gt;&lt;/span&gt;
&lt;span class="ml"&gt;ラテン語vertere（回す, 向ける）の過去分詞versus（〜の方に向けられた, 〜に対して）に由来する。
&lt;span class="spacer"&gt;&lt;/span&gt;何かの方に向けられていることから「対する, A対B」という意味になる。A versus BはAがBの方に向けられているというイメージ。&lt;/span&gt;</v>
      </c>
      <c r="AD1153" s="13" t="str">
        <f>INDEX($L:$L, MATCH("vertical", $B:$B, 0))</f>
        <v>&lt;span class="w"&gt;&lt;b&gt;【1188.vertical：垂直の】&lt;/b&gt;&lt;/span&gt;
&lt;span class="ml"&gt;ラテン語に由来する語で、以下の2つの要素から成る。
&lt;span class="spacer"&gt;&lt;/span&gt;vertere（回す）から派生したvertex（回転, 渦, 頂点）
alis（形容詞化）
&lt;span class="spacer"&gt;&lt;/span&gt;この語の核は「回転」。物体の回転や天体の回転、水の渦、髪の渦（つむじ）など、あらゆる回転には中心を通る上下に伸びる軸がある。たとえば天体の回転も、観察者の真上に中心があり、そこを軸として空全体が回転しているように見える。
&lt;span class="spacer"&gt;&lt;/span&gt;そこから、天頂から地平線に対してまっすぐ下ろした線、つまり真上にある頂点から真下へと直角に交わる線へと繋がって「垂直な」という意味になった。
&lt;div class="sample_image vertical"&gt;&lt;/div&gt;&lt;/span&gt;</v>
      </c>
      <c r="AE1153" s="13" t="str">
        <f>INDEX($L:$L, MATCH("convert", $B:$B, 0))</f>
        <v>&lt;span class="w"&gt;&lt;b&gt;【820.convert：～を変える, 改宗させる】&lt;/b&gt;&lt;/span&gt;
&lt;span class="ml"&gt;ラテン語に由来する語で、以下の2つの要素から成る。
&lt;span class="spacer"&gt;&lt;/span&gt;com（共に）
vertere（向ける）
&lt;span class="spacer"&gt;&lt;/span&gt;このまま日本語にすると「共に向ける」となる。これは、みんなを同じ方に向けるイメージ。そこから宗教において、同じ対象を信仰するように「改宗させる」という意味になる。また宗教に限らず、形式や用途などを人為的に「変える」という意味になる。
&lt;div class="sample_image convert"&gt;&lt;/div&gt;&lt;/span&gt;</v>
      </c>
      <c r="AU1153" s="15"/>
      <c r="AV1153" s="1" t="s">
        <v>38</v>
      </c>
      <c r="BG1153" s="7" t="s">
        <v>1242</v>
      </c>
      <c r="BH1153" s="1" t="s">
        <v>1947</v>
      </c>
      <c r="BI1153" s="2" t="s">
        <v>5867</v>
      </c>
      <c r="BJ1153" s="1" t="s">
        <v>1959</v>
      </c>
      <c r="BK1153" s="1" t="s">
        <v>5868</v>
      </c>
      <c r="BL1153" s="1" t="s">
        <v>1875</v>
      </c>
      <c r="BM1153" s="2" t="s">
        <v>5869</v>
      </c>
    </row>
    <row r="1154" spans="1:67" ht="162" x14ac:dyDescent="0.45">
      <c r="A1154" s="5">
        <v>1153</v>
      </c>
      <c r="B1154" s="8" t="s">
        <v>891</v>
      </c>
      <c r="C1154" s="6" t="s">
        <v>6850</v>
      </c>
      <c r="D1154" s="7" t="s">
        <v>9752</v>
      </c>
      <c r="E1154" s="1" t="s">
        <v>46</v>
      </c>
      <c r="F1154" s="1" t="s">
        <v>5870</v>
      </c>
      <c r="G1154" s="1"/>
      <c r="J1154" s="1" t="s">
        <v>9753</v>
      </c>
      <c r="L1154" s="3" t="s">
        <v>9575</v>
      </c>
      <c r="M1154" s="1" t="s">
        <v>12206</v>
      </c>
      <c r="P1154" s="7" t="s">
        <v>1241</v>
      </c>
      <c r="Q1154" s="13" t="str">
        <f>INDEX($L:$L, MATCH("sensitive", $B:$B, 0))</f>
        <v>&lt;span class="w"&gt;&lt;b&gt;【494.sensitive：敏感な, 神経質な】&lt;/b&gt;&lt;/span&gt;
&lt;span class="ml"&gt;ラテン語に由来する語で、以下の2つの要素から成る。
&lt;span class="spacer"&gt;&lt;/span&gt;sentire（感じる）
ivus（形容詞化）
&lt;span class="spacer"&gt;&lt;/span&gt;この語の核は「感覚で受け取ること」。もともとは物理的な刺激を感じ取る能力がある状態を表していた。そこから、わずかな変化も察知する「敏感な, 神経質な」という意味になった。&lt;/span&gt;</v>
      </c>
      <c r="R1154" s="13" t="str">
        <f>INDEX($L:$L, MATCH("sensation", $B:$B, 0))</f>
        <v>&lt;span class="w"&gt;&lt;b&gt;【945.sensation：感覚, 大評判, 衝撃】&lt;/b&gt;&lt;/span&gt;
&lt;span class="ml"&gt;ラテン語に由来する語で、以下の2つの要素から成る。
&lt;span class="spacer"&gt;&lt;/span&gt;sentire（知覚する, 感じる, 知る）
io（名詞化）
&lt;span class="spacer"&gt;&lt;/span&gt;このまま日本語にすると「感じること, 知ること」となる。もとになったラテン語では感覚系と知る系の2つの意味があったが、sensationは感覚的な意味へと特化した。感覚器官を通じた外部刺激への「感覚」という個人レベルのものから、社会全体が強い感覚を生じさせる「大評判, 衝撃」という意味になった。
&lt;span class="spacer"&gt;&lt;/span&gt;&lt;span class="obsolete"&gt;感覚系の五感と、知る系の理解の両方の意味へ発展したのがsense（五感, 意味, 理解, 知的な感覚）。&lt;/span&gt;&lt;/span&gt;</v>
      </c>
      <c r="S1154" s="13" t="str">
        <f>INDEX($L:$L, MATCH("sensory", $B:$B, 0))</f>
        <v>&lt;span class="w"&gt;&lt;b&gt;【1197.sensory：感覚の】&lt;/b&gt;&lt;/span&gt;
&lt;span class="ml"&gt;ラテン語に由来する語で、以下の2つの要素から成る。
&lt;span class="spacer"&gt;&lt;/span&gt;sentire（感じる）から派生したsensus（感覚）
orius（形容詞化）
&lt;span class="spacer"&gt;&lt;/span&gt;このまま日本語にすれば「感覚の」という意味になる。sense（感覚）の形容詞として覚えればよい。&lt;/span&gt;</v>
      </c>
      <c r="T1154" s="13" t="str">
        <f>INDEX($L:$L, MATCH("sensible", $B:$B, 0))</f>
        <v>&lt;span class="w"&gt;&lt;b&gt;【1183.sensible：賢明な, 実用的な】&lt;/b&gt;&lt;/span&gt;
&lt;span class="ml"&gt;ラテン語に由来する語で、以下の2つの要素から成る。
&lt;span class="spacer"&gt;&lt;/span&gt;sentire（感じる）から派生したsensus（感覚）
bilis（できる）
&lt;span class="spacer"&gt;&lt;/span&gt;もともとは、感覚によって把握できるという物理的な知覚を表していた。そこから、精神（理性）で把握する能力があるという知的な意味へと変化して「賢明な」という意味になった。
&lt;span class="spacer"&gt;&lt;/span&gt;また、この賢明であるということから衣服や靴などについて、しっかり考えて作られており、機能的で理にかなっている＝「実用的な」という意味になった。
&lt;div class="sample_image sensible"&gt;&lt;/div&gt;&lt;/span&gt;</v>
      </c>
      <c r="U1154" s="13" t="str">
        <f>INDEX($L:$L, MATCH("consent", $B:$B, 0))</f>
        <v>&lt;span class="w"&gt;&lt;b&gt;【1275.consent：同意, 承諾】&lt;/b&gt;&lt;/span&gt;
&lt;span class="ml"&gt;ラテン語に由来する語で、以下の2つの要素から成る。
&lt;span class="spacer"&gt;&lt;/span&gt;con（共に）
sentire（感じる）
&lt;span class="spacer"&gt;&lt;/span&gt;このまま日本語にすると「共に感じる」となる。感情や判断が一致することから「同意, 承諾」という意味になった。&lt;/span&gt;</v>
      </c>
      <c r="V1154" s="13" t="str">
        <f>INDEX($L:$L, MATCH("scent", $B:$B, 0))</f>
        <v>&lt;span class="w"&gt;&lt;b&gt;【1156.scent：香り】&lt;/b&gt;&lt;/span&gt;
&lt;span class="ml"&gt;ラテン語sentire（感じる）に由来する。
&lt;span class="spacer"&gt;&lt;/span&gt;感覚の中でも嗅覚に関して使われ、もともとは狩猟において、猟犬が嗅ぎ取る獣のにおいを表した。そこから、空気中にただよう様々な印象的なにおいを表すようになり、一般的な「香り」という意味になった。
&lt;span class="spacer"&gt;&lt;/span&gt;scentのスペルには、本来cは存在しなかった。しかし後にscienceのような他のscというスペルに影響され、cが挿入された。つまり、本当はsense（感覚）に似たsentというスペルだった。&lt;/span&gt;</v>
      </c>
      <c r="AU1154" s="15"/>
      <c r="AV1154" s="1" t="s">
        <v>38</v>
      </c>
      <c r="BG1154" s="7" t="s">
        <v>1242</v>
      </c>
      <c r="BH1154" s="1" t="s">
        <v>1947</v>
      </c>
      <c r="BI1154" s="2" t="s">
        <v>5871</v>
      </c>
      <c r="BJ1154" s="1" t="s">
        <v>1877</v>
      </c>
      <c r="BK1154" s="2" t="s">
        <v>5872</v>
      </c>
    </row>
    <row r="1155" spans="1:67" ht="144" x14ac:dyDescent="0.45">
      <c r="A1155" s="5">
        <v>1154</v>
      </c>
      <c r="B1155" s="6" t="s">
        <v>892</v>
      </c>
      <c r="C1155" s="6" t="s">
        <v>6850</v>
      </c>
      <c r="D1155" s="7" t="s">
        <v>9752</v>
      </c>
      <c r="E1155" s="1" t="s">
        <v>1251</v>
      </c>
      <c r="F1155" s="1" t="s">
        <v>1356</v>
      </c>
      <c r="G1155" s="1"/>
      <c r="J1155" s="1" t="s">
        <v>9753</v>
      </c>
      <c r="K1155" s="2" t="s">
        <v>9576</v>
      </c>
      <c r="L1155" s="3" t="s">
        <v>9577</v>
      </c>
      <c r="M1155" s="1" t="s">
        <v>12168</v>
      </c>
      <c r="P1155" s="7" t="s">
        <v>1241</v>
      </c>
      <c r="Q1155" s="13" t="str">
        <f>INDEX($L:$L, MATCH("detail", $B:$B, 0))</f>
        <v>&lt;span class="w"&gt;&lt;b&gt;【166.detail：詳細, 細部】&lt;/b&gt;&lt;/span&gt;
&lt;span class="ml"&gt;古フランス語に由来する語で、以下の2つの要素から成る。
&lt;span class="spacer"&gt;&lt;/span&gt;de（完全に）
taillier（切る）
&lt;span class="spacer"&gt;&lt;/span&gt;このまま日本語にすると「完全に切る」となる。完全に切ることで一つひとつの部分が細かくなることから「詳細, 細部」という意味になる。&lt;/span&gt;</v>
      </c>
      <c r="AU1155" s="15"/>
      <c r="AV1155" s="1" t="s">
        <v>38</v>
      </c>
      <c r="BG1155" s="7" t="s">
        <v>1242</v>
      </c>
      <c r="BH1155" s="1" t="s">
        <v>1959</v>
      </c>
      <c r="BI1155" s="2" t="s">
        <v>9578</v>
      </c>
      <c r="BJ1155" s="1" t="s">
        <v>1875</v>
      </c>
      <c r="BK1155" s="2" t="s">
        <v>5873</v>
      </c>
    </row>
    <row r="1156" spans="1:67" ht="108" x14ac:dyDescent="0.45">
      <c r="A1156" s="5">
        <v>1155</v>
      </c>
      <c r="B1156" s="6" t="s">
        <v>893</v>
      </c>
      <c r="C1156" s="6" t="s">
        <v>6850</v>
      </c>
      <c r="D1156" s="7" t="s">
        <v>9752</v>
      </c>
      <c r="E1156" s="1" t="s">
        <v>893</v>
      </c>
      <c r="F1156" s="1"/>
      <c r="G1156" s="1"/>
      <c r="J1156" s="1" t="s">
        <v>9753</v>
      </c>
      <c r="L1156" s="3" t="s">
        <v>9579</v>
      </c>
      <c r="P1156" s="7" t="s">
        <v>1241</v>
      </c>
      <c r="AV1156" s="1" t="s">
        <v>38</v>
      </c>
      <c r="BG1156" s="7" t="s">
        <v>1242</v>
      </c>
      <c r="BH1156" s="1" t="s">
        <v>1947</v>
      </c>
      <c r="BI1156" s="1" t="s">
        <v>5874</v>
      </c>
      <c r="BJ1156" s="1" t="s">
        <v>1967</v>
      </c>
      <c r="BK1156" s="1" t="s">
        <v>5875</v>
      </c>
      <c r="BL1156" s="1" t="s">
        <v>1875</v>
      </c>
      <c r="BM1156" s="2" t="s">
        <v>5876</v>
      </c>
      <c r="BN1156" s="1" t="s">
        <v>1877</v>
      </c>
      <c r="BO1156" s="2" t="s">
        <v>5877</v>
      </c>
    </row>
    <row r="1157" spans="1:67" ht="144" x14ac:dyDescent="0.45">
      <c r="A1157" s="5">
        <v>1156</v>
      </c>
      <c r="B1157" s="8" t="s">
        <v>894</v>
      </c>
      <c r="C1157" s="6" t="s">
        <v>6850</v>
      </c>
      <c r="D1157" s="7" t="s">
        <v>9752</v>
      </c>
      <c r="E1157" s="1" t="s">
        <v>894</v>
      </c>
      <c r="F1157" s="1"/>
      <c r="G1157" s="1"/>
      <c r="J1157" s="1" t="s">
        <v>9753</v>
      </c>
      <c r="L1157" s="2" t="s">
        <v>9580</v>
      </c>
      <c r="M1157" s="1" t="s">
        <v>12206</v>
      </c>
      <c r="P1157" s="7" t="s">
        <v>1241</v>
      </c>
      <c r="Q1157" s="13" t="str">
        <f>INDEX($L:$L, MATCH("sensitive", $B:$B, 0))</f>
        <v>&lt;span class="w"&gt;&lt;b&gt;【494.sensitive：敏感な, 神経質な】&lt;/b&gt;&lt;/span&gt;
&lt;span class="ml"&gt;ラテン語に由来する語で、以下の2つの要素から成る。
&lt;span class="spacer"&gt;&lt;/span&gt;sentire（感じる）
ivus（形容詞化）
&lt;span class="spacer"&gt;&lt;/span&gt;この語の核は「感覚で受け取ること」。もともとは物理的な刺激を感じ取る能力がある状態を表していた。そこから、わずかな変化も察知する「敏感な, 神経質な」という意味になった。&lt;/span&gt;</v>
      </c>
      <c r="R1157" s="13" t="str">
        <f>INDEX($L:$L, MATCH("sensation", $B:$B, 0))</f>
        <v>&lt;span class="w"&gt;&lt;b&gt;【945.sensation：感覚, 大評判, 衝撃】&lt;/b&gt;&lt;/span&gt;
&lt;span class="ml"&gt;ラテン語に由来する語で、以下の2つの要素から成る。
&lt;span class="spacer"&gt;&lt;/span&gt;sentire（知覚する, 感じる, 知る）
io（名詞化）
&lt;span class="spacer"&gt;&lt;/span&gt;このまま日本語にすると「感じること, 知ること」となる。もとになったラテン語では感覚系と知る系の2つの意味があったが、sensationは感覚的な意味へと特化した。感覚器官を通じた外部刺激への「感覚」という個人レベルのものから、社会全体が強い感覚を生じさせる「大評判, 衝撃」という意味になった。
&lt;span class="spacer"&gt;&lt;/span&gt;&lt;span class="obsolete"&gt;感覚系の五感と、知る系の理解の両方の意味へ発展したのがsense（五感, 意味, 理解, 知的な感覚）。&lt;/span&gt;&lt;/span&gt;</v>
      </c>
      <c r="S1157" s="13" t="str">
        <f>INDEX($L:$L, MATCH("sensory", $B:$B, 0))</f>
        <v>&lt;span class="w"&gt;&lt;b&gt;【1197.sensory：感覚の】&lt;/b&gt;&lt;/span&gt;
&lt;span class="ml"&gt;ラテン語に由来する語で、以下の2つの要素から成る。
&lt;span class="spacer"&gt;&lt;/span&gt;sentire（感じる）から派生したsensus（感覚）
orius（形容詞化）
&lt;span class="spacer"&gt;&lt;/span&gt;このまま日本語にすれば「感覚の」という意味になる。sense（感覚）の形容詞として覚えればよい。&lt;/span&gt;</v>
      </c>
      <c r="T1157" s="13" t="str">
        <f>INDEX($L:$L, MATCH("sensible", $B:$B, 0))</f>
        <v>&lt;span class="w"&gt;&lt;b&gt;【1183.sensible：賢明な, 実用的な】&lt;/b&gt;&lt;/span&gt;
&lt;span class="ml"&gt;ラテン語に由来する語で、以下の2つの要素から成る。
&lt;span class="spacer"&gt;&lt;/span&gt;sentire（感じる）から派生したsensus（感覚）
bilis（できる）
&lt;span class="spacer"&gt;&lt;/span&gt;もともとは、感覚によって把握できるという物理的な知覚を表していた。そこから、精神（理性）で把握する能力があるという知的な意味へと変化して「賢明な」という意味になった。
&lt;span class="spacer"&gt;&lt;/span&gt;また、この賢明であるということから衣服や靴などについて、しっかり考えて作られており、機能的で理にかなっている＝「実用的な」という意味になった。
&lt;div class="sample_image sensible"&gt;&lt;/div&gt;&lt;/span&gt;</v>
      </c>
      <c r="U1157" s="13" t="str">
        <f>INDEX($L:$L, MATCH("consent", $B:$B, 0))</f>
        <v>&lt;span class="w"&gt;&lt;b&gt;【1275.consent：同意, 承諾】&lt;/b&gt;&lt;/span&gt;
&lt;span class="ml"&gt;ラテン語に由来する語で、以下の2つの要素から成る。
&lt;span class="spacer"&gt;&lt;/span&gt;con（共に）
sentire（感じる）
&lt;span class="spacer"&gt;&lt;/span&gt;このまま日本語にすると「共に感じる」となる。感情や判断が一致することから「同意, 承諾」という意味になった。&lt;/span&gt;</v>
      </c>
      <c r="V1157" s="13" t="str">
        <f>INDEX($L:$L, MATCH("consensus", $B:$B, 0))</f>
        <v>&lt;span class="w"&gt;&lt;b&gt;【1153.consensus：総意, 意見の一致】&lt;/b&gt;&lt;/span&gt;
&lt;span class="ml"&gt;ラテン語に由来する語で、以下の2つの要素から成る。
&lt;span class="spacer"&gt;&lt;/span&gt;con（共に）
sentire（感じる）
&lt;span class="spacer"&gt;&lt;/span&gt;このまま日本語にすると「共に感じる」となる。もともとは、生理学において、身体の異なる器官が連動して反応すること（交感・共鳴）を表した。その異なるもの同士の連動というニュアンスが、人間社会の集団に対して使われるようになり、集団における人々の考えの連動＝「総意, 意見の一致」という意味になった。
&lt;div class="sample_image consensus"&gt;&lt;/div&gt;&lt;/span&gt;</v>
      </c>
      <c r="AV1157" s="1" t="s">
        <v>38</v>
      </c>
      <c r="BG1157" s="7" t="s">
        <v>1242</v>
      </c>
      <c r="BH1157" s="1" t="s">
        <v>1947</v>
      </c>
      <c r="BI1157" s="1" t="s">
        <v>5878</v>
      </c>
      <c r="BJ1157" s="1" t="s">
        <v>1959</v>
      </c>
      <c r="BK1157" s="1" t="s">
        <v>5879</v>
      </c>
      <c r="BL1157" s="1" t="s">
        <v>1875</v>
      </c>
      <c r="BM1157" s="2" t="s">
        <v>5880</v>
      </c>
      <c r="BN1157" s="1" t="s">
        <v>1877</v>
      </c>
      <c r="BO1157" s="2" t="s">
        <v>9581</v>
      </c>
    </row>
    <row r="1158" spans="1:67" ht="144" x14ac:dyDescent="0.45">
      <c r="A1158" s="5">
        <v>1157</v>
      </c>
      <c r="B1158" s="6" t="s">
        <v>895</v>
      </c>
      <c r="C1158" s="6" t="s">
        <v>6850</v>
      </c>
      <c r="D1158" s="7" t="s">
        <v>9752</v>
      </c>
      <c r="E1158" s="1" t="s">
        <v>5881</v>
      </c>
      <c r="F1158" s="1" t="s">
        <v>1748</v>
      </c>
      <c r="G1158" s="1"/>
      <c r="J1158" s="1" t="s">
        <v>9753</v>
      </c>
      <c r="L1158" s="2" t="s">
        <v>9582</v>
      </c>
      <c r="P1158" s="7" t="s">
        <v>1241</v>
      </c>
      <c r="AV1158" s="1" t="s">
        <v>38</v>
      </c>
      <c r="BG1158" s="7" t="s">
        <v>1242</v>
      </c>
      <c r="BH1158" s="1" t="s">
        <v>1947</v>
      </c>
      <c r="BI1158" s="1" t="s">
        <v>5882</v>
      </c>
      <c r="BJ1158" s="1" t="s">
        <v>1959</v>
      </c>
      <c r="BK1158" s="1" t="s">
        <v>5883</v>
      </c>
      <c r="BL1158" s="1" t="s">
        <v>2114</v>
      </c>
      <c r="BM1158" s="1" t="s">
        <v>895</v>
      </c>
      <c r="BN1158" s="1" t="s">
        <v>1875</v>
      </c>
      <c r="BO1158" s="2" t="s">
        <v>5884</v>
      </c>
    </row>
    <row r="1159" spans="1:67" ht="144" x14ac:dyDescent="0.45">
      <c r="A1159" s="5">
        <v>1158</v>
      </c>
      <c r="B1159" s="6" t="s">
        <v>896</v>
      </c>
      <c r="C1159" s="6" t="s">
        <v>6850</v>
      </c>
      <c r="D1159" s="7" t="s">
        <v>9752</v>
      </c>
      <c r="E1159" s="1" t="s">
        <v>5885</v>
      </c>
      <c r="F1159" s="1" t="s">
        <v>5886</v>
      </c>
      <c r="G1159" s="1" t="s">
        <v>1517</v>
      </c>
      <c r="J1159" s="1" t="s">
        <v>9753</v>
      </c>
      <c r="L1159" s="2" t="s">
        <v>9583</v>
      </c>
      <c r="M1159" s="1" t="s">
        <v>12130</v>
      </c>
      <c r="P1159" s="7" t="s">
        <v>1241</v>
      </c>
      <c r="Q1159" s="13" t="str">
        <f>INDEX($L:$L, MATCH("supply", $B:$B, 0))</f>
        <v>&lt;span class="w"&gt;&lt;b&gt;【120.supply：～を供給する】&lt;/b&gt;&lt;/span&gt;
&lt;span class="ml"&gt;ラテン語に由来する語で、以下の2つの要素から成る。
&lt;span class="spacer"&gt;&lt;/span&gt;sub（下から）
plere（満たす）
&lt;span class="spacer"&gt;&lt;/span&gt;このまま日本語にすると「下から満たす」となる。減った分を下から補充して満たしていくイメージから、必要なものを「供給する」という意味になる。
&lt;div class="sample_image supply"&gt;&lt;/div&gt;
&lt;span class="spacer"&gt;&lt;/span&gt;supplyは不足している物資・資源・商品・エネルギーなどの補給で、ルートや方法が体系的に決まっているイメージ。&lt;/span&gt;</v>
      </c>
      <c r="R1159" s="13" t="str">
        <f>INDEX($L:$L, MATCH("implement", $B:$B, 0))</f>
        <v>&lt;span class="w"&gt;&lt;b&gt;【1238.implement：〜を実行する, 〜を実施する】&lt;/b&gt;&lt;/span&gt;
&lt;span class="ml"&gt;ラテン語に由来する語で、以下の2つの要素から成る。
&lt;span class="spacer"&gt;&lt;/span&gt;in（中に）
plere（満たす）
&lt;span class="spacer"&gt;&lt;/span&gt;このまま日本語にすると「中に満たす」となる。目的の達成や作業の完了のために必要なことを満たす、というイメージから、何かを行うための「道具, 手段」という名詞になった。
&lt;span class="spacer"&gt;&lt;/span&gt;そこから動詞になって、ある目的のための手段を「実行する, 実施する」という意味になった。
&lt;div class="sample_image implement"&gt;&lt;/div&gt;&lt;/span&gt;</v>
      </c>
      <c r="S1159" s="13" t="str">
        <f>INDEX($L:$L, MATCH("complete", $B:$B, 0))</f>
        <v>&lt;span class="w"&gt;&lt;b&gt;【40.complete：～を完成させる】&lt;/b&gt;&lt;/span&gt;
&lt;span class="ml"&gt;ラテン語に由来する語で、以下の2つの要素から成る。
&lt;span class="spacer"&gt;&lt;/span&gt;com（強意）
plere（満たす）
&lt;span class="spacer"&gt;&lt;/span&gt;このまま日本語にすると「完全に満たす」となる。不足や欠陥などが一切なく完全に満たすイメージから「完成させる」という意味になる。&lt;/span&gt;</v>
      </c>
      <c r="T1159" s="13" t="str">
        <f>INDEX($L:$L, MATCH("accomplish", $B:$B, 0))</f>
        <v>&lt;span class="w"&gt;&lt;b&gt;【740.accomplish：〜を成し遂げる, 〜を達成する】&lt;/b&gt;&lt;/span&gt;
&lt;span class="ml"&gt;ラテン語に由来する語で、以下の3つの要素から成る。
&lt;span class="spacer"&gt;&lt;/span&gt;ad（〜へ）
com（強意）
plere（満たす）
&lt;span class="spacer"&gt;&lt;/span&gt;このまま日本語にすると「〜へ完全に満たす」となる。物理的に何かを完全に満たすことから発展して、最後までやり切って目標を果たす、つまり「成し遂げる, 達成する」という意味になる。&lt;/span&gt;</v>
      </c>
      <c r="U1159" s="13" t="str">
        <f>INDEX($L:$L, MATCH("compliment", $B:$B, 0))</f>
        <v>&lt;span class="w"&gt;&lt;b&gt;【1045.compliment：賛辞, お世辞, 表敬】&lt;/b&gt;&lt;/span&gt;
&lt;span class="ml"&gt;ラテン語に由来する語で、以下の3つの要素から成る。
&lt;span class="spacer"&gt;&lt;/span&gt;com（強意）
plere（満たす）
mentum（名詞化）
&lt;span class="spacer"&gt;&lt;/span&gt;このまま日本語にすると「完全に満たすこと」となる。これがヨーロッパの宮廷文化において、礼儀上の作法や社交上の要求を完全に満たすことを指すようになり、そこから相手に対して敬意を表すこと＝「表敬」、純粋な敬意の表現＝「賛辞」、形だけは敬意を表すが、実際は思ってもいないことを含む＝「お世辞」といった意味になった。
&lt;div class="sample_image compliment"&gt;&lt;/div&gt;&lt;/span&gt;</v>
      </c>
      <c r="AU1159" s="15"/>
      <c r="AV1159" s="1" t="s">
        <v>38</v>
      </c>
      <c r="BG1159" s="7" t="s">
        <v>1242</v>
      </c>
      <c r="BH1159" s="1" t="s">
        <v>1947</v>
      </c>
      <c r="BI1159" s="2" t="s">
        <v>5887</v>
      </c>
      <c r="BJ1159" s="1" t="s">
        <v>1875</v>
      </c>
      <c r="BK1159" s="2" t="s">
        <v>5888</v>
      </c>
      <c r="BL1159" s="1" t="s">
        <v>1877</v>
      </c>
      <c r="BM1159" s="2" t="s">
        <v>5889</v>
      </c>
    </row>
    <row r="1160" spans="1:67" ht="234" x14ac:dyDescent="0.45">
      <c r="A1160" s="5">
        <v>1159</v>
      </c>
      <c r="B1160" s="6" t="s">
        <v>897</v>
      </c>
      <c r="C1160" s="6" t="s">
        <v>6850</v>
      </c>
      <c r="D1160" s="7" t="s">
        <v>9752</v>
      </c>
      <c r="E1160" s="1" t="s">
        <v>1667</v>
      </c>
      <c r="F1160" s="1" t="s">
        <v>1612</v>
      </c>
      <c r="G1160" s="1" t="s">
        <v>9584</v>
      </c>
      <c r="J1160" s="1" t="s">
        <v>9753</v>
      </c>
      <c r="L1160" s="2" t="s">
        <v>9585</v>
      </c>
      <c r="P1160" s="7" t="s">
        <v>1241</v>
      </c>
      <c r="Q1160" s="13" t="str">
        <f>INDEX($L:$L, MATCH("basis", $B:$B, 0))</f>
        <v>&lt;span class="w"&gt;&lt;b&gt;【271.basis：基礎, 根拠, 基準】&lt;/b&gt;&lt;/span&gt;
&lt;span class="ml"&gt;ギリシャ語bainein（足を踏み出す）から派生したbasis（土台）に由来する。
&lt;span class="spacer"&gt;&lt;/span&gt;足を踏み出すときの足場＝土台から、物質的な基礎（例：建物の基礎）、さらに抽象的な基礎（例：理論の基礎, 根拠）へと発展した。
&lt;span class="spacer"&gt;&lt;/span&gt;物理的/具体的/構造的なイメージは英語base（基礎, 土台, 基地）になる。
&lt;span class="spacer"&gt;&lt;/span&gt;思考/抽象的なイメージは、英語basis（基礎, 根拠, 基準）になる。&lt;/span&gt;</v>
      </c>
      <c r="AU1160" s="15"/>
      <c r="AV1160" s="1" t="s">
        <v>38</v>
      </c>
      <c r="BG1160" s="7" t="s">
        <v>1242</v>
      </c>
      <c r="BH1160" s="1" t="s">
        <v>2458</v>
      </c>
      <c r="BI1160" s="2" t="s">
        <v>5890</v>
      </c>
      <c r="BJ1160" s="1" t="s">
        <v>5891</v>
      </c>
      <c r="BK1160" s="1" t="s">
        <v>5892</v>
      </c>
      <c r="BL1160" s="1" t="s">
        <v>5893</v>
      </c>
      <c r="BM1160" s="1" t="s">
        <v>897</v>
      </c>
      <c r="BN1160" s="1" t="s">
        <v>1877</v>
      </c>
      <c r="BO1160" s="2" t="s">
        <v>5894</v>
      </c>
    </row>
    <row r="1161" spans="1:67" ht="234" x14ac:dyDescent="0.45">
      <c r="A1161" s="5">
        <v>1160</v>
      </c>
      <c r="B1161" s="8" t="s">
        <v>898</v>
      </c>
      <c r="C1161" s="6" t="s">
        <v>6850</v>
      </c>
      <c r="D1161" s="7" t="s">
        <v>9752</v>
      </c>
      <c r="E1161" s="1" t="s">
        <v>898</v>
      </c>
      <c r="F1161" s="1"/>
      <c r="G1161" s="1"/>
      <c r="J1161" s="1" t="s">
        <v>9753</v>
      </c>
      <c r="L1161" s="3" t="s">
        <v>9586</v>
      </c>
      <c r="P1161" s="7" t="s">
        <v>1241</v>
      </c>
      <c r="Q1161" s="13" t="str">
        <f>INDEX($L:$L, MATCH("convince", $B:$B, 0))</f>
        <v>&lt;span class="w"&gt;&lt;b&gt;【324.convince：～を納得させる, ～を確信させる】&lt;/b&gt;&lt;/span&gt;
&lt;span class="ml"&gt;ラテン語に由来する語で、以下の2つの要素から成る。
&lt;span class="spacer"&gt;&lt;/span&gt;com（強意）
vincere（征服する）
&lt;span class="spacer"&gt;&lt;/span&gt;このまま日本語にすると「完全に征服する」となる。論争において相手を打ち負かすことから、相手に自分の主張を「納得させる, 確信させる」という意味になる。
&lt;div class="sample_image convince"&gt;&lt;/div&gt;
&lt;span class="spacer"&gt;&lt;/span&gt;ラテン語vincere（征服する）からは英語victory（勝利）も生まれている。&lt;/span&gt;</v>
      </c>
      <c r="AU1161" s="15"/>
      <c r="AV1161" s="1" t="s">
        <v>38</v>
      </c>
      <c r="BG1161" s="7" t="s">
        <v>1242</v>
      </c>
      <c r="BH1161" s="1" t="s">
        <v>1947</v>
      </c>
      <c r="BI1161" s="2" t="s">
        <v>5895</v>
      </c>
      <c r="BJ1161" s="1" t="s">
        <v>1959</v>
      </c>
      <c r="BK1161" s="2" t="s">
        <v>5896</v>
      </c>
      <c r="BL1161" s="1" t="s">
        <v>1875</v>
      </c>
      <c r="BM1161" s="2" t="s">
        <v>5897</v>
      </c>
      <c r="BN1161" s="1" t="s">
        <v>1877</v>
      </c>
      <c r="BO1161" s="2" t="s">
        <v>9587</v>
      </c>
    </row>
    <row r="1162" spans="1:67" ht="72" x14ac:dyDescent="0.45">
      <c r="A1162" s="5">
        <v>1161</v>
      </c>
      <c r="B1162" s="6" t="s">
        <v>899</v>
      </c>
      <c r="C1162" s="6" t="s">
        <v>6850</v>
      </c>
      <c r="D1162" s="7" t="s">
        <v>9752</v>
      </c>
      <c r="E1162" s="1" t="s">
        <v>899</v>
      </c>
      <c r="F1162" s="1"/>
      <c r="G1162" s="1"/>
      <c r="J1162" s="1" t="s">
        <v>9753</v>
      </c>
      <c r="K1162" s="3" t="s">
        <v>9588</v>
      </c>
      <c r="L1162" s="2" t="s">
        <v>9589</v>
      </c>
      <c r="P1162" s="7" t="s">
        <v>1241</v>
      </c>
      <c r="AV1162" s="1" t="s">
        <v>38</v>
      </c>
      <c r="BG1162" s="7" t="s">
        <v>1242</v>
      </c>
      <c r="BH1162" s="1" t="s">
        <v>2110</v>
      </c>
      <c r="BI1162" s="1" t="s">
        <v>9590</v>
      </c>
      <c r="BJ1162" s="1" t="s">
        <v>4970</v>
      </c>
      <c r="BK1162" s="1" t="s">
        <v>5898</v>
      </c>
      <c r="BL1162" s="1" t="s">
        <v>1877</v>
      </c>
      <c r="BM1162" s="2" t="s">
        <v>5899</v>
      </c>
    </row>
    <row r="1163" spans="1:67" ht="126" x14ac:dyDescent="0.45">
      <c r="A1163" s="5">
        <v>1162</v>
      </c>
      <c r="B1163" s="6" t="s">
        <v>900</v>
      </c>
      <c r="C1163" s="6" t="s">
        <v>6850</v>
      </c>
      <c r="D1163" s="7" t="s">
        <v>9752</v>
      </c>
      <c r="E1163" s="1" t="s">
        <v>5900</v>
      </c>
      <c r="F1163" s="1" t="s">
        <v>1612</v>
      </c>
      <c r="G1163" s="1"/>
      <c r="J1163" s="1" t="s">
        <v>9753</v>
      </c>
      <c r="L1163" s="2" t="s">
        <v>9591</v>
      </c>
      <c r="P1163" s="7" t="s">
        <v>1241</v>
      </c>
      <c r="Q1163" s="13" t="str">
        <f>INDEX($L:$L, MATCH("biological", $B:$B, 0))</f>
        <v>&lt;span class="w"&gt;&lt;b&gt;【390.biological：生物学の】&lt;/b&gt;&lt;/span&gt;
&lt;span class="ml"&gt;ギリシャ語に由来する語で、以下の2つの要素から成る。
&lt;span class="spacer"&gt;&lt;/span&gt;bios（生命, 生物）
logy（学問）
&lt;span class="spacer"&gt;&lt;/span&gt;ここから1802年にbiology（生物学）が造られる。そしてここに形容詞を作るicalが付いて「生物学の」という意味になる。&lt;/span&gt;</v>
      </c>
      <c r="R1163" s="13" t="str">
        <f>INDEX($L:$L, MATCH("antibiotic", $B:$B, 0))</f>
        <v>&lt;span class="w"&gt;&lt;b&gt;【959.antibiotic：（通例~sで）抗生物質】&lt;/b&gt;&lt;/span&gt;
&lt;span class="ml"&gt;ギリシャ語に由来する語で、以下の2つの要素から成る。
&lt;span class="spacer"&gt;&lt;/span&gt;bios（生命）
ikos（形容詞化）
&lt;span class="obsolete"&gt;anti（〜に反対して）はフランス語段階で付いた&lt;/span&gt;
&lt;span class="spacer"&gt;&lt;/span&gt;このまま日本語にすると「生命に対するもの」となる。ここでいう生命は、人間の体内で悪さをする微生物を表し、それに対抗するものとして「抗生物質」を指す。&lt;/span&gt;</v>
      </c>
      <c r="AU1163" s="15"/>
      <c r="AV1163" s="1" t="s">
        <v>38</v>
      </c>
      <c r="BG1163" s="7" t="s">
        <v>1242</v>
      </c>
      <c r="BH1163" s="1" t="s">
        <v>2458</v>
      </c>
      <c r="BI1163" s="2" t="s">
        <v>5901</v>
      </c>
      <c r="BJ1163" s="1" t="s">
        <v>1996</v>
      </c>
      <c r="BK1163" s="2" t="s">
        <v>9592</v>
      </c>
      <c r="BL1163" s="1" t="s">
        <v>1877</v>
      </c>
      <c r="BM1163" s="2" t="s">
        <v>5902</v>
      </c>
    </row>
    <row r="1164" spans="1:67" ht="144" x14ac:dyDescent="0.45">
      <c r="A1164" s="5">
        <v>1163</v>
      </c>
      <c r="B1164" s="8" t="s">
        <v>901</v>
      </c>
      <c r="C1164" s="6" t="s">
        <v>6850</v>
      </c>
      <c r="D1164" s="7" t="s">
        <v>9752</v>
      </c>
      <c r="E1164" s="1" t="s">
        <v>1413</v>
      </c>
      <c r="F1164" s="1" t="s">
        <v>1357</v>
      </c>
      <c r="G1164" s="1"/>
      <c r="J1164" s="1" t="s">
        <v>9753</v>
      </c>
      <c r="K1164" s="1" t="s">
        <v>9593</v>
      </c>
      <c r="L1164" s="2" t="s">
        <v>9594</v>
      </c>
      <c r="M1164" s="1" t="s">
        <v>12169</v>
      </c>
      <c r="P1164" s="7" t="s">
        <v>1241</v>
      </c>
      <c r="Q1164" s="13" t="str">
        <f>INDEX($L:$L, MATCH("succeed", $B:$B, 0))</f>
        <v>&lt;span class="w"&gt;&lt;b&gt;【240.succeed：成功する（in）, 継承する（to）】&lt;/b&gt;&lt;/span&gt;
&lt;span class="ml"&gt;ラテン語に由来する語で、以下の2つの要素から成る。
&lt;span class="spacer"&gt;&lt;/span&gt;sub（後に）
cedere（行く, 進む）
&lt;span class="spacer"&gt;&lt;/span&gt;このまま日本語にすると「後に行く」となる。ここから次の2つの意味に発展する。
&lt;span class="spacer"&gt;&lt;/span&gt;①前任者の後を行くというイメージから「何かを継承する」という意味になる。この場合はsucceed &lt;strong&gt;to&lt;/strong&gt; Aで「Aに成功する」となる。
&lt;span class="spacer"&gt;&lt;/span&gt;②行為の後に結果が続くというイメージから「成功する」という意味になる。この場合はsucceed &lt;strong&gt;in&lt;/strong&gt; Aで「Aを継承する」となる。
&lt;div class="sample_image succeed"&gt;&lt;/div&gt;
&lt;span class="spacer"&gt;&lt;/span&gt;&lt;span class="obsolete"&gt;succeedは、もともとは何かに続いて結果が出るという意味で、良い結果（成功）を意味したわけではない。
&lt;span class="spacer"&gt;&lt;/span&gt;16世紀頃にsucceed well（ことがうまくいく）という表現があり、ここからwellが省略されてsucceed（成功する）となった。
&lt;span class="spacer"&gt;&lt;/span&gt;これと同じことがlikeでも起こり、最初はlike ~ wellで「好む」という意味だったが、likeの1語のみになった。
&lt;span class="spacer"&gt;&lt;/span&gt;「～の方が好き / ～が一番好き」という場合、wellの比較級 / 最上級を使ってlike ~ better / the bestとなるが、これはlike〜wellの名残である。&lt;/span&gt;&lt;/span&gt;</v>
      </c>
      <c r="R1164" s="13" t="str">
        <f>INDEX($L:$L, MATCH("proceed", $B:$B, 0))</f>
        <v>&lt;span class="w"&gt;&lt;b&gt;【1101.proceed：進む, 進行する】&lt;/b&gt;&lt;/span&gt;
&lt;span class="ml"&gt;ラテン語に由来する語で、以下の2つの要素から成る。
&lt;span class="spacer"&gt;&lt;/span&gt;pro（前へ）
cedere（行く, 進む）
&lt;span class="spacer"&gt;&lt;/span&gt;このまま日本語にすると「前へ進む」となり「進む, 進行する」という意味になる。名詞になるとprocess（過程, 経過）やprocedure（手続き）という進行途中や進行手順を表す。&lt;/span&gt;</v>
      </c>
      <c r="S1164" s="13" t="str">
        <f>INDEX($L:$L, MATCH("exceed", $B:$B, 0))</f>
        <v>&lt;span class="w"&gt;&lt;b&gt;【936.exceed：〜を超える, 〜を勝る】&lt;/b&gt;&lt;/span&gt;
&lt;span class="ml"&gt;ラテン語に由来する語で、以下の2つの要素から成る。
&lt;span class="spacer"&gt;&lt;/span&gt;ex（外に）
cedere（行く）
&lt;span class="spacer"&gt;&lt;/span&gt;このまま日本語にすると「外に行く」となる。ある範囲や基準の外に出て行くことから、何かを「超える, 勝る」という意味になる。
&lt;div class="sample_image exceed"&gt;&lt;/div&gt;&lt;/span&gt;</v>
      </c>
      <c r="T1164" s="13" t="str">
        <f>INDEX($L:$L, MATCH("access", $B:$B, 0))</f>
        <v>&lt;span class="w"&gt;&lt;b&gt;【169.access：利用, 入手, 接近】&lt;/b&gt;&lt;/span&gt;
&lt;span class="ml"&gt;ラテン語に由来する語で、以下の2つの要素から成る。
&lt;span class="spacer"&gt;&lt;/span&gt;ad（～へ）
cedere（行く）
&lt;span class="spacer"&gt;&lt;/span&gt;このまま日本語にすると「〜へ行く」となる。ここから「接近」という意味になる。さらに接近という物理的な移動から、近づいて何かを使うという「入手, 利用」という意味になる。
&lt;span class="spacer"&gt;&lt;/span&gt;The hotel has easy access to the station.
そのホテルは駅へのアクセスが良いという物理的な接近の話。
&lt;span class="spacer"&gt;&lt;/span&gt;Students have access to the library.
生徒は図書館を利用できるという利用可能性の話。&lt;/span&gt;</v>
      </c>
      <c r="U1164" s="13" t="str">
        <f>INDEX($L:$L, MATCH("recession", $B:$B, 0))</f>
        <v>&lt;span class="w"&gt;&lt;b&gt;【1171.recession：不況, 後退】&lt;/b&gt;&lt;/span&gt;
&lt;span class="ml"&gt;ラテン語に由来する語で、以下の3つの要素から成る。
&lt;span class="spacer"&gt;&lt;/span&gt;re（後ろへ）
cedere（行く, 進む）
io（名詞化）
&lt;span class="spacer"&gt;&lt;/span&gt;このまま日本語にすると「後ろへ行くこと」つまり「後退」という意味になる。世界恐慌時にdepression（大不況）よりも程度が軽く、一時的な経済の後退を表す言葉として使われたことから「不況」という意味になった。
&lt;div class="sample_image recession"&gt;&lt;/div&gt;&lt;/span&gt;</v>
      </c>
      <c r="V1164" s="13" t="str">
        <f>INDEX($L:$L, MATCH("necessary", $B:$B, 0))</f>
        <v>&lt;span class="w"&gt;&lt;b&gt;【199.necessary：必要な】&lt;/b&gt;&lt;/span&gt;
&lt;span class="ml"&gt;ラテン語に由来する語で、以下の3つの要素から成る。
&lt;span class="spacer"&gt;&lt;/span&gt;ne（=not：否定）
cedere（退く）
arius（形容詞化）
&lt;span class="spacer"&gt;&lt;/span&gt;このまま日本語にすると「退けない」となる。つまり何かを避けられない、それなしでは通れないということから不可欠＝「必要な」という意味になる。&lt;/span&gt;</v>
      </c>
      <c r="W1164" s="13" t="str">
        <f>INDEX($L:$L, MATCH("cease", $B:$B, 0))</f>
        <v>&lt;span class="w"&gt;&lt;b&gt;【1135.cease：〜をやめる】&lt;/b&gt;&lt;/span&gt;
&lt;span class="ml"&gt;ラテン語cedere（行く, 退く）から派生した反復形cessare（やめる）に由来する。
&lt;span class="spacer"&gt;&lt;/span&gt;もともとはその場から立ち去る、身を引くという物理的な動作を表した。そこから、今まで行っていた活動や状態から身を引く＝「やめる」という意味になった。&lt;/span&gt;</v>
      </c>
      <c r="X1164" s="13" t="str">
        <f>INDEX($L:$L, MATCH("precede", $B:$B, 0))</f>
        <v>&lt;span class="w"&gt;&lt;b&gt;【1302.precede：〜に先行する】&lt;/b&gt;&lt;/span&gt;
&lt;span class="ml"&gt;ラテン語に由来する語で、以下の2つの要素から成る。
&lt;span class="spacer"&gt;&lt;/span&gt;prae（前に）
cedere（行く）
&lt;span class="spacer"&gt;&lt;/span&gt;このまま日本語にすると「前に行く」となり、時間的・空間的に何かに「先行する」という意味になる。&lt;/span&gt;
&lt;div class="animation precede"&gt;&lt;/div&gt;</v>
      </c>
      <c r="Y1164" s="13" t="str">
        <f>INDEX($L:$L, MATCH("unprecedented", $B:$B, 0))</f>
        <v>&lt;span class="w"&gt;&lt;b&gt;【1380.unprecedented：前例のない】&lt;/b&gt;&lt;/span&gt;
&lt;span class="ml"&gt;近代英語にさかのぼり、以下の3つの要素から成る。
&lt;span class="spacer"&gt;&lt;/span&gt;un（否定）
precedent（前例を与える）
ed（過去分詞化）
&lt;span class="spacer"&gt;&lt;/span&gt;precedent部分は、ラテン語prae（前に）＋cedere（行く）に由来するprecede（先行する）と関連する。
&lt;span class="spacer"&gt;&lt;/span&gt;否定のunが付くことで、先行するものがない、つまり「前例がない」という意味になる。&lt;/span&gt;</v>
      </c>
      <c r="Z1164" s="13" t="str">
        <f>INDEX($L:$L, MATCH("ancestor", $B:$B, 0))</f>
        <v>&lt;span class="w"&gt;&lt;b&gt;【274.ancestor：祖先】&lt;/b&gt;&lt;/span&gt;
&lt;span class="ml"&gt;ラテン語に由来する語で、以下の3つの要素から成る。
&lt;span class="spacer"&gt;&lt;/span&gt;ante（前に）
cedere（行く, 進む）
or（〜する人）
&lt;span class="spacer"&gt;&lt;/span&gt;このまま日本語にすると「前に行く人」となる。自分たちよりも時間的に前を行く人から先代の人＝「祖先」という意味になる。
&lt;div class="sample_image ancestor"&gt;&lt;/div&gt;&lt;/span&gt;</v>
      </c>
      <c r="AU1164" s="15"/>
      <c r="AV1164" s="1" t="s">
        <v>38</v>
      </c>
      <c r="BG1164" s="7" t="s">
        <v>1242</v>
      </c>
      <c r="BH1164" s="1" t="s">
        <v>1947</v>
      </c>
      <c r="BI1164" s="2" t="s">
        <v>5903</v>
      </c>
      <c r="BJ1164" s="1" t="s">
        <v>1959</v>
      </c>
      <c r="BK1164" s="2" t="s">
        <v>5904</v>
      </c>
      <c r="BL1164" s="1" t="s">
        <v>1875</v>
      </c>
      <c r="BM1164" s="2" t="s">
        <v>5905</v>
      </c>
    </row>
    <row r="1165" spans="1:67" ht="162" x14ac:dyDescent="0.45">
      <c r="A1165" s="5">
        <v>1164</v>
      </c>
      <c r="B1165" s="6" t="s">
        <v>902</v>
      </c>
      <c r="C1165" s="6" t="s">
        <v>6850</v>
      </c>
      <c r="D1165" s="7" t="s">
        <v>9752</v>
      </c>
      <c r="E1165" s="1" t="s">
        <v>902</v>
      </c>
      <c r="F1165" s="1"/>
      <c r="G1165" s="1"/>
      <c r="J1165" s="1" t="s">
        <v>9753</v>
      </c>
      <c r="K1165" s="2" t="s">
        <v>9595</v>
      </c>
      <c r="L1165" s="3" t="s">
        <v>9596</v>
      </c>
      <c r="P1165" s="7" t="s">
        <v>1241</v>
      </c>
      <c r="AV1165" s="1" t="s">
        <v>38</v>
      </c>
      <c r="BG1165" s="7" t="s">
        <v>1242</v>
      </c>
      <c r="BH1165" s="1" t="s">
        <v>1967</v>
      </c>
      <c r="BI1165" s="1" t="s">
        <v>5906</v>
      </c>
      <c r="BJ1165" s="1" t="s">
        <v>1959</v>
      </c>
      <c r="BK1165" s="2" t="s">
        <v>5907</v>
      </c>
      <c r="BL1165" s="1" t="s">
        <v>1875</v>
      </c>
      <c r="BM1165" s="2" t="s">
        <v>5908</v>
      </c>
      <c r="BN1165" s="1" t="s">
        <v>1877</v>
      </c>
      <c r="BO1165" s="2" t="s">
        <v>5909</v>
      </c>
    </row>
    <row r="1166" spans="1:67" ht="90" x14ac:dyDescent="0.45">
      <c r="A1166" s="5">
        <v>1165</v>
      </c>
      <c r="B1166" s="6" t="s">
        <v>903</v>
      </c>
      <c r="C1166" s="6" t="s">
        <v>6850</v>
      </c>
      <c r="D1166" s="7" t="s">
        <v>9752</v>
      </c>
      <c r="E1166" s="1" t="s">
        <v>903</v>
      </c>
      <c r="F1166" s="1"/>
      <c r="G1166" s="1"/>
      <c r="J1166" s="1" t="s">
        <v>9753</v>
      </c>
      <c r="K1166" s="1" t="s">
        <v>5910</v>
      </c>
      <c r="L1166" s="2" t="s">
        <v>9597</v>
      </c>
      <c r="P1166" s="7" t="s">
        <v>1241</v>
      </c>
      <c r="AV1166" s="1" t="s">
        <v>38</v>
      </c>
      <c r="BG1166" s="7" t="s">
        <v>1242</v>
      </c>
      <c r="BH1166" s="1" t="s">
        <v>1947</v>
      </c>
      <c r="BI1166" s="1" t="s">
        <v>5911</v>
      </c>
      <c r="BJ1166" s="1" t="s">
        <v>1959</v>
      </c>
      <c r="BK1166" s="2" t="s">
        <v>5912</v>
      </c>
      <c r="BL1166" s="1" t="s">
        <v>1875</v>
      </c>
      <c r="BM1166" s="2" t="s">
        <v>5913</v>
      </c>
    </row>
    <row r="1167" spans="1:67" ht="126" x14ac:dyDescent="0.45">
      <c r="A1167" s="5">
        <v>1166</v>
      </c>
      <c r="B1167" s="6" t="s">
        <v>904</v>
      </c>
      <c r="C1167" s="6" t="s">
        <v>6850</v>
      </c>
      <c r="D1167" s="7" t="s">
        <v>9752</v>
      </c>
      <c r="E1167" s="1" t="s">
        <v>5914</v>
      </c>
      <c r="F1167" s="1" t="s">
        <v>1856</v>
      </c>
      <c r="G1167" s="1"/>
      <c r="J1167" s="1" t="s">
        <v>9753</v>
      </c>
      <c r="L1167" s="2" t="s">
        <v>9598</v>
      </c>
      <c r="P1167" s="7" t="s">
        <v>1241</v>
      </c>
      <c r="Q1167" s="13" t="str">
        <f>INDEX($L:$L, MATCH("outline", $B:$B, 0))</f>
        <v>&lt;span class="w"&gt;&lt;b&gt;【1320.outline：〜の要点を述べる, 〜の輪郭を描く】&lt;/b&gt;&lt;/span&gt;
&lt;span class="ml"&gt;近代英語にさかのぼり、以下の2つの要素から成る。
&lt;span class="spacer"&gt;&lt;/span&gt;out（外側に）
line（線を引く）
&lt;span class="spacer"&gt;&lt;/span&gt;絵を描く際に、対象の外側を囲む線を引くことから「輪郭を描く」という意味になった。
&lt;span class="spacer"&gt;&lt;/span&gt;また対象の輪郭を描くことが、細かい部分を省いて対象の全体像を示すことへとつながって、物事の「要点を述べる」という意味にもなった。&lt;/span&gt;</v>
      </c>
      <c r="AU1167" s="15"/>
      <c r="AV1167" s="1" t="s">
        <v>38</v>
      </c>
      <c r="BG1167" s="7" t="s">
        <v>1242</v>
      </c>
      <c r="BH1167" s="1" t="s">
        <v>1877</v>
      </c>
      <c r="BI1167" s="2" t="s">
        <v>5915</v>
      </c>
    </row>
    <row r="1168" spans="1:67" ht="108" x14ac:dyDescent="0.45">
      <c r="A1168" s="5">
        <v>1167</v>
      </c>
      <c r="B1168" s="6" t="s">
        <v>905</v>
      </c>
      <c r="C1168" s="6" t="s">
        <v>6850</v>
      </c>
      <c r="D1168" s="7" t="s">
        <v>9752</v>
      </c>
      <c r="E1168" s="1" t="s">
        <v>5000</v>
      </c>
      <c r="F1168" s="1" t="s">
        <v>5916</v>
      </c>
      <c r="G1168" s="1"/>
      <c r="J1168" s="1" t="s">
        <v>9753</v>
      </c>
      <c r="K1168" s="1" t="s">
        <v>5917</v>
      </c>
      <c r="L1168" s="2" t="s">
        <v>9599</v>
      </c>
      <c r="M1168" s="1" t="s">
        <v>12185</v>
      </c>
      <c r="P1168" s="7" t="s">
        <v>1241</v>
      </c>
      <c r="Q1168" s="13" t="str">
        <f>INDEX($L:$L, MATCH("progress", $B:$B, 0))</f>
        <v>&lt;span class="w"&gt;&lt;b&gt;【278.progress：進歩, 前進】&lt;/b&gt;&lt;/span&gt;
&lt;span class="ml"&gt;ラテン語に由来する語で、以下の2つの要素から成る。
&lt;span class="spacer"&gt;&lt;/span&gt;pro（前に）
gradus（一歩）から派生したgradi（進む, 歩く）
&lt;span class="spacer"&gt;&lt;/span&gt;この語の核は「前に一歩踏み出して進む」となる。ここから「前進, 進歩」という意味になる。
&lt;div class="sample_image progress"&gt;&lt;/div&gt;&lt;/span&gt;</v>
      </c>
      <c r="R1168" s="13" t="str">
        <f>INDEX($L:$L, MATCH("ingredient", $B:$B, 0))</f>
        <v>&lt;span class="w"&gt;&lt;b&gt;【575.ingredient：成分, 材料】&lt;/b&gt;&lt;/span&gt;
&lt;span class="ml"&gt;ラテン語に由来する語で、以下の2つの要素から成る。
&lt;span class="spacer"&gt;&lt;/span&gt;in（中に）
gradi（歩く, 進む）
&lt;span class="spacer"&gt;&lt;/span&gt;このまま日本語にすると「中に歩く」となる。これは「何かの中に入る」イメージ。そこから、混合物や調合などに入るもの、つまり「成分, 材料」という意味になる。
&lt;div class="sample_image ingredient"&gt;&lt;/div&gt;&lt;/span&gt;</v>
      </c>
      <c r="S1168" s="13" t="str">
        <f>INDEX($L:$L, MATCH("aggressive", $B:$B, 0))</f>
        <v>&lt;span class="w"&gt;&lt;b&gt;【592.aggressive：攻撃的な】&lt;/b&gt;&lt;/span&gt;
&lt;span class="ml"&gt;ラテン語に由来する語で、以下の2つの要素から成る。
&lt;span class="spacer"&gt;&lt;/span&gt;ad（〜へ）
gradus（一歩）から派生した動詞gradi（歩く, 進む）
&lt;span class="obsolete"&gt;ive（形容詞化）は英語段階で付いた&lt;/span&gt;
&lt;span class="spacer"&gt;&lt;/span&gt;このまま日本語にすると「〜へ歩き進む」となり、対象への接近や、さらに襲いかかる・攻撃することを表した。ここから「攻撃的な」という意味になった。&lt;/span&gt;</v>
      </c>
      <c r="T1168" s="13" t="str">
        <f>INDEX($L:$L, MATCH("congress", $B:$B, 0))</f>
        <v>&lt;span class="w"&gt;&lt;b&gt;【1145.congress：米国議会, 会議】&lt;/b&gt;&lt;/span&gt;
&lt;span class="ml"&gt;ラテン語に由来する語で、以下の2つの要素から成る。
&lt;span class="spacer"&gt;&lt;/span&gt;com（共に）
gradus（一歩）から派生したgradi（歩く）
&lt;span class="spacer"&gt;&lt;/span&gt;この語の核は「共に歩み寄ること」。もともとは、歩いてきて人が同じ場所に集まることから「会合」や「会議」という意味になった。その後、アメリカ合衆国において、連邦議会の名称としてCongressが採用されて「米国議会」という意味になった。
&lt;div class="sample_image congress"&gt;&lt;/div&gt;&lt;/span&gt;</v>
      </c>
      <c r="U1168" s="13" t="str">
        <f>INDEX($L:$L, MATCH("gradual", $B:$B, 0))</f>
        <v>&lt;span class="w"&gt;&lt;b&gt;【1391.gradual：徐々の, 緩やかな】&lt;/b&gt;&lt;/span&gt;
&lt;span class="ml"&gt;ラテン語に由来する語で、以下の2つの要素から成る。
&lt;span class="spacer"&gt;&lt;/span&gt;gradus（一歩, 登る段, 物事の段階）
alis（形容詞化）
&lt;span class="spacer"&gt;&lt;/span&gt;この語の核は「一歩一歩すすむ」。
一歩ずつ、あるいは一段ずつ進むことから、物事が一気に飛躍するのではなく、段階的に変化する＝「徐々の, 緩やかな」という意味になった。
&lt;div class="sample_image gradual"&gt;&lt;/div&gt;&lt;/span&gt;</v>
      </c>
      <c r="AU1168" s="15"/>
      <c r="AV1168" s="1" t="s">
        <v>38</v>
      </c>
      <c r="BG1168" s="7" t="s">
        <v>1242</v>
      </c>
      <c r="BH1168" s="1" t="s">
        <v>1947</v>
      </c>
      <c r="BI1168" s="2" t="s">
        <v>5918</v>
      </c>
      <c r="BJ1168" s="1" t="s">
        <v>1967</v>
      </c>
      <c r="BK1168" s="1" t="s">
        <v>5919</v>
      </c>
      <c r="BL1168" s="1" t="s">
        <v>1875</v>
      </c>
      <c r="BM1168" s="2" t="s">
        <v>5920</v>
      </c>
      <c r="BN1168" s="1" t="s">
        <v>1877</v>
      </c>
      <c r="BO1168" s="2" t="s">
        <v>5921</v>
      </c>
    </row>
    <row r="1169" spans="1:69" ht="126" x14ac:dyDescent="0.45">
      <c r="A1169" s="5">
        <v>1168</v>
      </c>
      <c r="B1169" s="6" t="s">
        <v>906</v>
      </c>
      <c r="C1169" s="6" t="s">
        <v>6850</v>
      </c>
      <c r="D1169" s="7" t="s">
        <v>9752</v>
      </c>
      <c r="E1169" s="1" t="s">
        <v>5922</v>
      </c>
      <c r="F1169" s="1" t="s">
        <v>1927</v>
      </c>
      <c r="G1169" s="1"/>
      <c r="J1169" s="1" t="s">
        <v>9753</v>
      </c>
      <c r="K1169" s="1" t="s">
        <v>5923</v>
      </c>
      <c r="L1169" s="2" t="s">
        <v>9600</v>
      </c>
      <c r="P1169" s="7" t="s">
        <v>1241</v>
      </c>
      <c r="AV1169" s="1" t="s">
        <v>38</v>
      </c>
      <c r="BG1169" s="7" t="s">
        <v>1242</v>
      </c>
      <c r="BH1169" s="1" t="s">
        <v>5924</v>
      </c>
      <c r="BI1169" s="1" t="s">
        <v>5925</v>
      </c>
      <c r="BJ1169" s="1" t="s">
        <v>1959</v>
      </c>
      <c r="BK1169" s="2" t="s">
        <v>5926</v>
      </c>
      <c r="BL1169" s="1" t="s">
        <v>1875</v>
      </c>
      <c r="BM1169" s="2" t="s">
        <v>5927</v>
      </c>
      <c r="BN1169" s="1" t="s">
        <v>1877</v>
      </c>
      <c r="BO1169" s="2" t="s">
        <v>5928</v>
      </c>
    </row>
    <row r="1170" spans="1:69" ht="180" x14ac:dyDescent="0.45">
      <c r="A1170" s="5">
        <v>1169</v>
      </c>
      <c r="B1170" s="6" t="s">
        <v>907</v>
      </c>
      <c r="C1170" s="6" t="s">
        <v>6850</v>
      </c>
      <c r="D1170" s="7" t="s">
        <v>9752</v>
      </c>
      <c r="E1170" s="1" t="s">
        <v>907</v>
      </c>
      <c r="F1170" s="1"/>
      <c r="G1170" s="1"/>
      <c r="J1170" s="1" t="s">
        <v>9753</v>
      </c>
      <c r="L1170" s="2" t="s">
        <v>9601</v>
      </c>
      <c r="P1170" s="7" t="s">
        <v>1241</v>
      </c>
      <c r="Q1170" s="13" t="str">
        <f>INDEX($L:$L, MATCH("predator", $B:$B, 0))</f>
        <v>&lt;span class="w"&gt;&lt;b&gt;【668.predator：捕食動物】&lt;/b&gt;&lt;/span&gt;
&lt;span class="ml"&gt;印欧祖語に由来する語で、以下の2つの要素から成る。
&lt;span class="spacer"&gt;&lt;/span&gt;*prae-（前に, 先に）
*ghend-（取る, つかむ）
&lt;span class="spacer"&gt;&lt;/span&gt;このまま日本語にすると「先に取る」となる。もともとは、戦争や襲撃で他者の財産を我先に奪うことから「略奪」を表し、そこに「〜する人」を表す-orが付いて略奪者となった。
&lt;span class="spacer"&gt;&lt;/span&gt;動物学において、この語が他の動物を捕食するものとして使われるようになり「捕食動物」という意味になった。&lt;/span&gt;</v>
      </c>
      <c r="AU1170" s="15"/>
      <c r="AV1170" s="1" t="s">
        <v>38</v>
      </c>
      <c r="BG1170" s="7" t="s">
        <v>1242</v>
      </c>
      <c r="BH1170" s="1" t="s">
        <v>1947</v>
      </c>
      <c r="BI1170" s="2" t="s">
        <v>5929</v>
      </c>
      <c r="BJ1170" s="1" t="s">
        <v>1959</v>
      </c>
      <c r="BK1170" s="2" t="s">
        <v>5930</v>
      </c>
      <c r="BL1170" s="1" t="s">
        <v>1875</v>
      </c>
      <c r="BM1170" s="2" t="s">
        <v>5931</v>
      </c>
    </row>
    <row r="1171" spans="1:69" ht="180" x14ac:dyDescent="0.45">
      <c r="A1171" s="5">
        <v>1170</v>
      </c>
      <c r="B1171" s="6" t="s">
        <v>908</v>
      </c>
      <c r="C1171" s="6" t="s">
        <v>6850</v>
      </c>
      <c r="D1171" s="7" t="s">
        <v>9752</v>
      </c>
      <c r="E1171" s="1" t="s">
        <v>908</v>
      </c>
      <c r="F1171" s="1"/>
      <c r="G1171" s="1"/>
      <c r="J1171" s="1" t="s">
        <v>9753</v>
      </c>
      <c r="L1171" s="3" t="s">
        <v>12089</v>
      </c>
      <c r="M1171" s="1" t="s">
        <v>12214</v>
      </c>
      <c r="P1171" s="7" t="s">
        <v>1241</v>
      </c>
      <c r="Q1171" s="13" t="str">
        <f>INDEX($L:$L, MATCH("mission", $B:$B, 0))</f>
        <v>&lt;span class="w"&gt;&lt;b&gt;【744.mission：使命, （外交）使節団, 布教】&lt;/b&gt;&lt;/span&gt;
&lt;span class="ml"&gt;ラテン語に由来する語で、以下の2つの要素から成る。
&lt;span class="spacer"&gt;&lt;/span&gt;mittere（送る）
io（名詞化）
&lt;span class="spacer"&gt;&lt;/span&gt;このまま日本語にすると「送ること」となり、この語の核は「派遣」。宗教活動での派遣なら「布教」、商業や政治での派遣なら「使節団」という意味になる。また派遣には目的や任務があるため、そこから一般的に「使命」という意味になる。&lt;/span&gt;</v>
      </c>
      <c r="R1171" s="13" t="str">
        <f>INDEX($L:$L, MATCH("dismiss", $B:$B, 0))</f>
        <v>&lt;span class="w"&gt;&lt;b&gt;【1114.dismiss：（意見など）を退ける, 〜を解雇する】&lt;/b&gt;&lt;/span&gt;
&lt;span class="ml"&gt;ラテン語に由来する語で、以下の2つの要素から成る。
&lt;span class="spacer"&gt;&lt;/span&gt;dis（離れて）
mittere（送る, 放つ）
&lt;span class="spacer"&gt;&lt;/span&gt;この語の核は「離れたところへ送る」。いまある場所から離れたところへ送るイメージから、いまの職から「解雇する」、考えなどを「退ける」という意味になる。
&lt;div class="sample_image dismiss"&gt;&lt;/div&gt;&lt;/span&gt;</v>
      </c>
      <c r="S1171" s="13" t="str">
        <f>INDEX($L:$L, MATCH("premise", $B:$B, 0))</f>
        <v>&lt;span class="w"&gt;&lt;b&gt;【1041.premise：前提, 敷地, （premises）建物を含めた構内】&lt;/b&gt;&lt;/span&gt;
&lt;span class="ml"&gt;ラテン語に由来する語で、以下の2つの要素から成る。
&lt;span class="spacer"&gt;&lt;/span&gt;prae（あらかじめ）
mittere（送る）
&lt;span class="spacer"&gt;&lt;/span&gt;このまま日本語にすると「あらかじめ送る」となる。もともとは論理学において、あらかじめ置かれる命題を表し、そこから一般的に、議論の土台となる「前提」という意味になった。
&lt;span class="spacer"&gt;&lt;/span&gt;さらに法的文書（土地の譲渡証書など）において、文書の冒頭に（前に）対象となる土地や建物の詳細を記述し、以降の文章でそれらの土地や建物を前述の財産the premisesと呼んだ。そこから「敷地」や建物を含めた「構内」を意味するようになった。
&lt;div class="sample_image premise"&gt;&lt;/div&gt;&lt;/span&gt;</v>
      </c>
      <c r="T1171" s="13" t="str">
        <f>INDEX($L:$L, MATCH("compromise", $B:$B, 0))</f>
        <v>&lt;span class="w"&gt;&lt;b&gt;【1136.compromise：妥協する, 〜を危うくする】&lt;/b&gt;&lt;/span&gt;
&lt;span class="ml"&gt;ラテン語に由来する語で、以下の2つの要素から成る。
&lt;span class="spacer"&gt;&lt;/span&gt;com（共に）
pro（前へ）
mittere（送る）
&lt;span class="spacer"&gt;&lt;/span&gt;この語の核は「共に約束する（前もって言葉を送る）」。もともとはAとBが争っているときに、2人とも第三者の仲裁者Cの決定に従おうと約束することを表した。AとBはお互いが納得いくところで争いに決着をつけることから「妥協する」という意味になった。
&lt;span class="spacer"&gt;&lt;/span&gt;また、第三者の決定に従うということは、結果がその仲裁者次第となってしまう。そうすると自身に不利な結果になる可能性があり、リスクを背負うことになるので「危うくする」という意味にもなった。&lt;/span&gt;</v>
      </c>
      <c r="AV1171" s="1" t="s">
        <v>38</v>
      </c>
      <c r="BG1171" s="7" t="s">
        <v>1242</v>
      </c>
      <c r="BH1171" s="1" t="s">
        <v>1947</v>
      </c>
      <c r="BI1171" s="1" t="s">
        <v>5932</v>
      </c>
      <c r="BJ1171" s="1" t="s">
        <v>2036</v>
      </c>
      <c r="BK1171" s="1" t="s">
        <v>9602</v>
      </c>
      <c r="BL1171" s="1" t="s">
        <v>1959</v>
      </c>
      <c r="BM1171" s="2" t="s">
        <v>5933</v>
      </c>
      <c r="BN1171" s="1" t="s">
        <v>1875</v>
      </c>
      <c r="BO1171" s="2" t="s">
        <v>5934</v>
      </c>
      <c r="BP1171" s="1" t="s">
        <v>1877</v>
      </c>
      <c r="BQ1171" s="2" t="s">
        <v>5935</v>
      </c>
    </row>
    <row r="1172" spans="1:69" ht="162" x14ac:dyDescent="0.45">
      <c r="A1172" s="5">
        <v>1171</v>
      </c>
      <c r="B1172" s="8" t="s">
        <v>909</v>
      </c>
      <c r="C1172" s="6" t="s">
        <v>6850</v>
      </c>
      <c r="D1172" s="7" t="s">
        <v>9752</v>
      </c>
      <c r="E1172" s="1" t="s">
        <v>1251</v>
      </c>
      <c r="F1172" s="1" t="s">
        <v>1357</v>
      </c>
      <c r="G1172" s="1" t="s">
        <v>1584</v>
      </c>
      <c r="J1172" s="1" t="s">
        <v>9753</v>
      </c>
      <c r="L1172" s="3" t="s">
        <v>9603</v>
      </c>
      <c r="M1172" s="1" t="s">
        <v>12169</v>
      </c>
      <c r="P1172" s="7" t="s">
        <v>1241</v>
      </c>
      <c r="Q1172" s="13" t="str">
        <f>INDEX($L:$L, MATCH("succeed", $B:$B, 0))</f>
        <v>&lt;span class="w"&gt;&lt;b&gt;【240.succeed：成功する（in）, 継承する（to）】&lt;/b&gt;&lt;/span&gt;
&lt;span class="ml"&gt;ラテン語に由来する語で、以下の2つの要素から成る。
&lt;span class="spacer"&gt;&lt;/span&gt;sub（後に）
cedere（行く, 進む）
&lt;span class="spacer"&gt;&lt;/span&gt;このまま日本語にすると「後に行く」となる。ここから次の2つの意味に発展する。
&lt;span class="spacer"&gt;&lt;/span&gt;①前任者の後を行くというイメージから「何かを継承する」という意味になる。この場合はsucceed &lt;strong&gt;to&lt;/strong&gt; Aで「Aに成功する」となる。
&lt;span class="spacer"&gt;&lt;/span&gt;②行為の後に結果が続くというイメージから「成功する」という意味になる。この場合はsucceed &lt;strong&gt;in&lt;/strong&gt; Aで「Aを継承する」となる。
&lt;div class="sample_image succeed"&gt;&lt;/div&gt;
&lt;span class="spacer"&gt;&lt;/span&gt;&lt;span class="obsolete"&gt;succeedは、もともとは何かに続いて結果が出るという意味で、良い結果（成功）を意味したわけではない。
&lt;span class="spacer"&gt;&lt;/span&gt;16世紀頃にsucceed well（ことがうまくいく）という表現があり、ここからwellが省略されてsucceed（成功する）となった。
&lt;span class="spacer"&gt;&lt;/span&gt;これと同じことがlikeでも起こり、最初はlike ~ wellで「好む」という意味だったが、likeの1語のみになった。
&lt;span class="spacer"&gt;&lt;/span&gt;「～の方が好き / ～が一番好き」という場合、wellの比較級 / 最上級を使ってlike ~ better / the bestとなるが、これはlike〜wellの名残である。&lt;/span&gt;&lt;/span&gt;</v>
      </c>
      <c r="R1172" s="13" t="str">
        <f>INDEX($L:$L, MATCH("proceed", $B:$B, 0))</f>
        <v>&lt;span class="w"&gt;&lt;b&gt;【1101.proceed：進む, 進行する】&lt;/b&gt;&lt;/span&gt;
&lt;span class="ml"&gt;ラテン語に由来する語で、以下の2つの要素から成る。
&lt;span class="spacer"&gt;&lt;/span&gt;pro（前へ）
cedere（行く, 進む）
&lt;span class="spacer"&gt;&lt;/span&gt;このまま日本語にすると「前へ進む」となり「進む, 進行する」という意味になる。名詞になるとprocess（過程, 経過）やprocedure（手続き）という進行途中や進行手順を表す。&lt;/span&gt;</v>
      </c>
      <c r="S1172" s="13" t="str">
        <f>INDEX($L:$L, MATCH("exceed", $B:$B, 0))</f>
        <v>&lt;span class="w"&gt;&lt;b&gt;【936.exceed：〜を超える, 〜を勝る】&lt;/b&gt;&lt;/span&gt;
&lt;span class="ml"&gt;ラテン語に由来する語で、以下の2つの要素から成る。
&lt;span class="spacer"&gt;&lt;/span&gt;ex（外に）
cedere（行く）
&lt;span class="spacer"&gt;&lt;/span&gt;このまま日本語にすると「外に行く」となる。ある範囲や基準の外に出て行くことから、何かを「超える, 勝る」という意味になる。
&lt;div class="sample_image exceed"&gt;&lt;/div&gt;&lt;/span&gt;</v>
      </c>
      <c r="T1172" s="13" t="str">
        <f>INDEX($L:$L, MATCH("excess", $B:$B, 0))</f>
        <v>&lt;span class="w"&gt;&lt;b&gt;【1163.excess：過剰, 超過】&lt;/b&gt;&lt;/span&gt;
&lt;span class="ml"&gt;ラテン語に由来する語で、以下の3つの要素から成る。
&lt;span class="spacer"&gt;&lt;/span&gt;ex（外に）
cedere（行く）
us（名詞化）
&lt;span class="spacer"&gt;&lt;/span&gt;このまま日本語にすると「外に行くこと」となる。もともとは、物理的に何かの範囲や領域、境界から外へ出ることを表した。そこから意味が抽象化し、基準や度合を超えること、つまり「超過, 過剰」という意味になった。&lt;/span&gt;</v>
      </c>
      <c r="U1172" s="13" t="str">
        <f>INDEX($L:$L, MATCH("access", $B:$B, 0))</f>
        <v>&lt;span class="w"&gt;&lt;b&gt;【169.access：利用, 入手, 接近】&lt;/b&gt;&lt;/span&gt;
&lt;span class="ml"&gt;ラテン語に由来する語で、以下の2つの要素から成る。
&lt;span class="spacer"&gt;&lt;/span&gt;ad（～へ）
cedere（行く）
&lt;span class="spacer"&gt;&lt;/span&gt;このまま日本語にすると「〜へ行く」となる。ここから「接近」という意味になる。さらに接近という物理的な移動から、近づいて何かを使うという「入手, 利用」という意味になる。
&lt;span class="spacer"&gt;&lt;/span&gt;The hotel has easy access to the station.
そのホテルは駅へのアクセスが良いという物理的な接近の話。
&lt;span class="spacer"&gt;&lt;/span&gt;Students have access to the library.
生徒は図書館を利用できるという利用可能性の話。&lt;/span&gt;</v>
      </c>
      <c r="V1172" s="13" t="str">
        <f>INDEX($L:$L, MATCH("necessary", $B:$B, 0))</f>
        <v>&lt;span class="w"&gt;&lt;b&gt;【199.necessary：必要な】&lt;/b&gt;&lt;/span&gt;
&lt;span class="ml"&gt;ラテン語に由来する語で、以下の3つの要素から成る。
&lt;span class="spacer"&gt;&lt;/span&gt;ne（=not：否定）
cedere（退く）
arius（形容詞化）
&lt;span class="spacer"&gt;&lt;/span&gt;このまま日本語にすると「退けない」となる。つまり何かを避けられない、それなしでは通れないということから不可欠＝「必要な」という意味になる。&lt;/span&gt;</v>
      </c>
      <c r="W1172" s="13" t="str">
        <f>INDEX($L:$L, MATCH("cease", $B:$B, 0))</f>
        <v>&lt;span class="w"&gt;&lt;b&gt;【1135.cease：〜をやめる】&lt;/b&gt;&lt;/span&gt;
&lt;span class="ml"&gt;ラテン語cedere（行く, 退く）から派生した反復形cessare（やめる）に由来する。
&lt;span class="spacer"&gt;&lt;/span&gt;もともとはその場から立ち去る、身を引くという物理的な動作を表した。そこから、今まで行っていた活動や状態から身を引く＝「やめる」という意味になった。&lt;/span&gt;</v>
      </c>
      <c r="X1172" s="13" t="str">
        <f>INDEX($L:$L, MATCH("precede", $B:$B, 0))</f>
        <v>&lt;span class="w"&gt;&lt;b&gt;【1302.precede：〜に先行する】&lt;/b&gt;&lt;/span&gt;
&lt;span class="ml"&gt;ラテン語に由来する語で、以下の2つの要素から成る。
&lt;span class="spacer"&gt;&lt;/span&gt;prae（前に）
cedere（行く）
&lt;span class="spacer"&gt;&lt;/span&gt;このまま日本語にすると「前に行く」となり、時間的・空間的に何かに「先行する」という意味になる。&lt;/span&gt;
&lt;div class="animation precede"&gt;&lt;/div&gt;</v>
      </c>
      <c r="Y1172" s="13" t="str">
        <f>INDEX($L:$L, MATCH("unprecedented", $B:$B, 0))</f>
        <v>&lt;span class="w"&gt;&lt;b&gt;【1380.unprecedented：前例のない】&lt;/b&gt;&lt;/span&gt;
&lt;span class="ml"&gt;近代英語にさかのぼり、以下の3つの要素から成る。
&lt;span class="spacer"&gt;&lt;/span&gt;un（否定）
precedent（前例を与える）
ed（過去分詞化）
&lt;span class="spacer"&gt;&lt;/span&gt;precedent部分は、ラテン語prae（前に）＋cedere（行く）に由来するprecede（先行する）と関連する。
&lt;span class="spacer"&gt;&lt;/span&gt;否定のunが付くことで、先行するものがない、つまり「前例がない」という意味になる。&lt;/span&gt;</v>
      </c>
      <c r="Z1172" s="13" t="str">
        <f>INDEX($L:$L, MATCH("ancestor", $B:$B, 0))</f>
        <v>&lt;span class="w"&gt;&lt;b&gt;【274.ancestor：祖先】&lt;/b&gt;&lt;/span&gt;
&lt;span class="ml"&gt;ラテン語に由来する語で、以下の3つの要素から成る。
&lt;span class="spacer"&gt;&lt;/span&gt;ante（前に）
cedere（行く, 進む）
or（〜する人）
&lt;span class="spacer"&gt;&lt;/span&gt;このまま日本語にすると「前に行く人」となる。自分たちよりも時間的に前を行く人から先代の人＝「祖先」という意味になる。
&lt;div class="sample_image ancestor"&gt;&lt;/div&gt;&lt;/span&gt;</v>
      </c>
      <c r="AU1172" s="15"/>
      <c r="AV1172" s="1" t="s">
        <v>38</v>
      </c>
      <c r="BG1172" s="7" t="s">
        <v>1242</v>
      </c>
      <c r="BH1172" s="1" t="s">
        <v>1947</v>
      </c>
      <c r="BI1172" s="2" t="s">
        <v>5936</v>
      </c>
      <c r="BJ1172" s="1" t="s">
        <v>1996</v>
      </c>
      <c r="BK1172" s="1" t="s">
        <v>5937</v>
      </c>
      <c r="BL1172" s="1" t="s">
        <v>1877</v>
      </c>
      <c r="BM1172" s="2" t="s">
        <v>5938</v>
      </c>
      <c r="BN1172" s="1" t="s">
        <v>3496</v>
      </c>
      <c r="BO1172" s="2" t="s">
        <v>5939</v>
      </c>
    </row>
    <row r="1173" spans="1:69" ht="144" x14ac:dyDescent="0.45">
      <c r="A1173" s="5">
        <v>1172</v>
      </c>
      <c r="B1173" s="8" t="s">
        <v>910</v>
      </c>
      <c r="C1173" s="6" t="s">
        <v>6850</v>
      </c>
      <c r="D1173" s="7" t="s">
        <v>9752</v>
      </c>
      <c r="E1173" s="1" t="s">
        <v>1251</v>
      </c>
      <c r="F1173" s="1" t="s">
        <v>103</v>
      </c>
      <c r="G1173" s="1"/>
      <c r="J1173" s="1" t="s">
        <v>9753</v>
      </c>
      <c r="L1173" s="3" t="s">
        <v>9604</v>
      </c>
      <c r="M1173" s="1" t="s">
        <v>12154</v>
      </c>
      <c r="P1173" s="7" t="s">
        <v>1241</v>
      </c>
      <c r="Q1173" s="13" t="str">
        <f>INDEX($L:$L, MATCH("treat", $B:$B, 0))</f>
        <v>&lt;span class="w"&gt;&lt;b&gt;【125.treat：～を扱う, ～を治療する, ごちそうする】&lt;/b&gt;&lt;/span&gt;
&lt;span class="ml"&gt;ラテン語trahere（引く, 引きずる）から派生したtractare（繰り返し引く, 引きずり回す, 取り扱う）に由来する。
&lt;span class="spacer"&gt;&lt;/span&gt;何かを繰り返し引く様子から、何かを「扱う」というイメージになる。医療における患者の扱いなら「治療する」という意味になり、客への扱いならもてなし＝「食べ物や飲み物をふるまう, ごちそうする」という意味になる。&lt;/span&gt;</v>
      </c>
      <c r="R1173" s="13" t="str">
        <f>INDEX($L:$L, MATCH("treaty", $B:$B, 0))</f>
        <v>&lt;span class="w"&gt;&lt;b&gt;【1478.treaty：条約, 協定】&lt;/b&gt;&lt;/span&gt;
&lt;span class="ml"&gt;ラテン語trahere（引っ張る）から派生したtractare（扱う, 管理する）に由来する。
&lt;span class="spacer"&gt;&lt;/span&gt;もともとは、物理的に引っ張るという動作を表したが、そこから比喩的に問題を引き出して扱うこと、議論すること、そして交渉という意味へと発展していった。
&lt;span class="spacer"&gt;&lt;/span&gt;さらに交渉という行為そのものから、それによって結ばれる合意へと発展し、ある集団や国家の間で結ばれる「条約, 協定」という意味になった。&lt;/span&gt;</v>
      </c>
      <c r="S1173" s="13" t="str">
        <f>INDEX($L:$L, MATCH("trace", $B:$B, 0))</f>
        <v>&lt;span class="w"&gt;&lt;b&gt;【618.trace：（足跡・起源など）をたどる】&lt;/b&gt;&lt;/span&gt;
&lt;span class="ml"&gt;ラテン語trahere（引く）に由来する。
&lt;span class="spacer"&gt;&lt;/span&gt;何かを引くとそのあとに跡ができる。その跡を目印にしてなぞることから「たどる」という意味になった。&lt;/span&gt;</v>
      </c>
      <c r="T1173" s="13" t="str">
        <f>INDEX($L:$L, MATCH("trait", $B:$B, 0))</f>
        <v>&lt;span class="w"&gt;&lt;b&gt;【455.trait：特性, 特徴】&lt;/b&gt;&lt;/span&gt;
&lt;span class="ml"&gt;ラテン語trahere（引く）に由来する。
&lt;span class="spacer"&gt;&lt;/span&gt;もともとは「（物理的にものを）引っ張る」という動作を意味していたが、そこからペンや筆で「引かれた線」を指すようになった。
&lt;span class="spacer"&gt;&lt;/span&gt;特に顔の絵を描く際の線は、他者と区別される「その人固有の顔立ち（身体的特徴）」となることから、最終的に目に見えない内面的な「特徴, 特性」という意味へと発展した。
&lt;div class="sample_image trait"&gt;&lt;/div&gt;&lt;/span&gt;</v>
      </c>
      <c r="U1173" s="13" t="str">
        <f>INDEX($L:$L, MATCH("trail", $B:$B, 0))</f>
        <v>&lt;span class="w"&gt;&lt;b&gt;【972.trail：小道, 跡】&lt;/b&gt;&lt;/span&gt;
&lt;span class="ml"&gt;古フランス語trailler（引く, 引きずる）に由来する。
&lt;span class="spacer"&gt;&lt;/span&gt;この語の核は「引きずってできたもの」。人や動物が通って引かれた「跡」や、繰り返し通ることでできる「小道」という意味になる。&lt;/span&gt;</v>
      </c>
      <c r="V1173" s="13" t="str">
        <f>INDEX($L:$L, MATCH("portray", $B:$B, 0))</f>
        <v>&lt;span class="w"&gt;&lt;b&gt;【1409.portray：〜を描く, 役を演じる】&lt;/b&gt;&lt;/span&gt;
&lt;span class="ml"&gt;古フランス語に由来する語で、以下の2つの要素から成る。
&lt;span class="spacer"&gt;&lt;/span&gt;por（前へ）
traire（引く, 線を引く）
&lt;span class="spacer"&gt;&lt;/span&gt;この語の核は「内部のイメージを外に引き出して形にする」。そこから、印象・状況・人物像・性格などさまざまなものを絵や言葉で「描く」という意味になる。また演技を通して形にすることから「演じる」という意味になる。
&lt;div class="sample_image portray"&gt;&lt;/div&gt;&lt;/span&gt;</v>
      </c>
      <c r="AU1173" s="15"/>
      <c r="AV1173" s="1" t="s">
        <v>38</v>
      </c>
      <c r="BG1173" s="7" t="s">
        <v>1242</v>
      </c>
      <c r="BH1173" s="1" t="s">
        <v>1947</v>
      </c>
      <c r="BI1173" s="2" t="s">
        <v>9605</v>
      </c>
      <c r="BJ1173" s="1" t="s">
        <v>1959</v>
      </c>
      <c r="BK1173" s="2" t="s">
        <v>5940</v>
      </c>
      <c r="BL1173" s="1" t="s">
        <v>1875</v>
      </c>
      <c r="BM1173" s="2" t="s">
        <v>5941</v>
      </c>
    </row>
    <row r="1174" spans="1:69" ht="108" x14ac:dyDescent="0.45">
      <c r="A1174" s="5">
        <v>1173</v>
      </c>
      <c r="B1174" s="6" t="s">
        <v>911</v>
      </c>
      <c r="C1174" s="6" t="s">
        <v>6850</v>
      </c>
      <c r="D1174" s="7" t="s">
        <v>9752</v>
      </c>
      <c r="E1174" s="1" t="s">
        <v>911</v>
      </c>
      <c r="F1174" s="1"/>
      <c r="G1174" s="1"/>
      <c r="J1174" s="1" t="s">
        <v>9753</v>
      </c>
      <c r="L1174" s="3" t="s">
        <v>9606</v>
      </c>
      <c r="P1174" s="7" t="s">
        <v>1241</v>
      </c>
      <c r="AV1174" s="1" t="s">
        <v>38</v>
      </c>
      <c r="BG1174" s="7" t="s">
        <v>1242</v>
      </c>
      <c r="BH1174" s="1" t="s">
        <v>1872</v>
      </c>
      <c r="BI1174" s="1" t="s">
        <v>5942</v>
      </c>
    </row>
    <row r="1175" spans="1:69" ht="180" x14ac:dyDescent="0.45">
      <c r="A1175" s="5">
        <v>1174</v>
      </c>
      <c r="B1175" s="6" t="s">
        <v>912</v>
      </c>
      <c r="C1175" s="6" t="s">
        <v>6850</v>
      </c>
      <c r="D1175" s="7" t="s">
        <v>9752</v>
      </c>
      <c r="E1175" s="1" t="s">
        <v>912</v>
      </c>
      <c r="F1175" s="1"/>
      <c r="G1175" s="1"/>
      <c r="J1175" s="1" t="s">
        <v>9753</v>
      </c>
      <c r="L1175" s="3" t="s">
        <v>9607</v>
      </c>
      <c r="P1175" s="7" t="s">
        <v>1241</v>
      </c>
      <c r="AV1175" s="1" t="s">
        <v>38</v>
      </c>
      <c r="BG1175" s="7" t="s">
        <v>1242</v>
      </c>
      <c r="BH1175" s="1" t="s">
        <v>1947</v>
      </c>
      <c r="BI1175" s="1" t="s">
        <v>5943</v>
      </c>
      <c r="BJ1175" s="1" t="s">
        <v>1959</v>
      </c>
      <c r="BK1175" s="2" t="s">
        <v>5944</v>
      </c>
      <c r="BL1175" s="1" t="s">
        <v>1875</v>
      </c>
      <c r="BM1175" s="2" t="s">
        <v>5945</v>
      </c>
      <c r="BN1175" s="1" t="s">
        <v>1877</v>
      </c>
      <c r="BO1175" s="2" t="s">
        <v>5946</v>
      </c>
    </row>
    <row r="1176" spans="1:69" ht="198" x14ac:dyDescent="0.45">
      <c r="A1176" s="5">
        <v>1175</v>
      </c>
      <c r="B1176" s="6" t="s">
        <v>913</v>
      </c>
      <c r="C1176" s="6" t="s">
        <v>6850</v>
      </c>
      <c r="D1176" s="7" t="s">
        <v>9752</v>
      </c>
      <c r="E1176" s="1" t="s">
        <v>5947</v>
      </c>
      <c r="F1176" s="1" t="s">
        <v>1927</v>
      </c>
      <c r="G1176" s="1"/>
      <c r="J1176" s="1" t="s">
        <v>9753</v>
      </c>
      <c r="K1176" s="1" t="s">
        <v>5948</v>
      </c>
      <c r="L1176" s="2" t="s">
        <v>9608</v>
      </c>
      <c r="P1176" s="7" t="s">
        <v>1241</v>
      </c>
      <c r="Q1176" s="13" t="str">
        <f>INDEX($L:$L, MATCH("scenario", $B:$B, 0))</f>
        <v>&lt;span class="w"&gt;&lt;b&gt;【956.scenario：筋書き, 脚本, 予想された事態】&lt;/b&gt;&lt;/span&gt;
&lt;span class="ml"&gt;ギリシャ語skēnē（テント, 舞台の後ろにある小屋）に由来する。
&lt;span class="spacer"&gt;&lt;/span&gt;古代ギリシャの円形劇場では、舞台のすぐ後ろに役者が衣装を着替えたり休んだりするためのテントが張られていた。やがてこのテントの幕に風景が描かれるようになり、舞台の背景や場面（scene）を指すようになる。そしてイタリアの即興喜劇において、もともとテントがあった舞台裏の壁に貼られた劇の進行表やあらすじをscenarioと呼ぶようになった。それが英語に入って「脚本, 筋書き, 予想された事態」という意味になった。&lt;/span&gt;</v>
      </c>
      <c r="AV1176" s="1" t="s">
        <v>38</v>
      </c>
      <c r="BG1176" s="7" t="s">
        <v>1242</v>
      </c>
      <c r="BH1176" s="1" t="s">
        <v>2423</v>
      </c>
      <c r="BI1176" s="1" t="s">
        <v>9609</v>
      </c>
      <c r="BJ1176" s="1" t="s">
        <v>1947</v>
      </c>
      <c r="BK1176" s="1" t="s">
        <v>5949</v>
      </c>
      <c r="BL1176" s="1" t="s">
        <v>1996</v>
      </c>
      <c r="BM1176" s="2" t="s">
        <v>5950</v>
      </c>
      <c r="BN1176" s="1" t="s">
        <v>1877</v>
      </c>
      <c r="BO1176" s="2" t="s">
        <v>5951</v>
      </c>
    </row>
    <row r="1177" spans="1:69" ht="144" x14ac:dyDescent="0.45">
      <c r="A1177" s="5">
        <v>1176</v>
      </c>
      <c r="B1177" s="6" t="s">
        <v>914</v>
      </c>
      <c r="C1177" s="6" t="s">
        <v>6850</v>
      </c>
      <c r="D1177" s="7" t="s">
        <v>9752</v>
      </c>
      <c r="E1177" s="1" t="s">
        <v>914</v>
      </c>
      <c r="F1177" s="1"/>
      <c r="G1177" s="1"/>
      <c r="J1177" s="1" t="s">
        <v>9753</v>
      </c>
      <c r="L1177" s="2" t="s">
        <v>9610</v>
      </c>
      <c r="P1177" s="7" t="s">
        <v>1241</v>
      </c>
      <c r="AV1177" s="1" t="s">
        <v>38</v>
      </c>
      <c r="BG1177" s="7" t="s">
        <v>1242</v>
      </c>
      <c r="BH1177" s="1" t="s">
        <v>9611</v>
      </c>
      <c r="BI1177" s="1" t="s">
        <v>5952</v>
      </c>
      <c r="BJ1177" s="1" t="s">
        <v>1877</v>
      </c>
      <c r="BK1177" s="2" t="s">
        <v>5953</v>
      </c>
    </row>
    <row r="1178" spans="1:69" ht="126" x14ac:dyDescent="0.45">
      <c r="A1178" s="5">
        <v>1177</v>
      </c>
      <c r="B1178" s="6" t="s">
        <v>915</v>
      </c>
      <c r="C1178" s="6" t="s">
        <v>6850</v>
      </c>
      <c r="D1178" s="7" t="s">
        <v>9752</v>
      </c>
      <c r="E1178" s="1" t="s">
        <v>5954</v>
      </c>
      <c r="F1178" s="1" t="s">
        <v>5231</v>
      </c>
      <c r="G1178" s="1"/>
      <c r="J1178" s="1" t="s">
        <v>9753</v>
      </c>
      <c r="L1178" s="2" t="s">
        <v>9612</v>
      </c>
      <c r="P1178" s="7" t="s">
        <v>1241</v>
      </c>
      <c r="AU1178" s="15"/>
      <c r="AV1178" s="1" t="s">
        <v>38</v>
      </c>
      <c r="BG1178" s="7" t="s">
        <v>1242</v>
      </c>
      <c r="BH1178" s="1" t="s">
        <v>1947</v>
      </c>
      <c r="BI1178" s="2" t="s">
        <v>5955</v>
      </c>
      <c r="BJ1178" s="1" t="s">
        <v>1875</v>
      </c>
      <c r="BK1178" s="2" t="s">
        <v>5956</v>
      </c>
      <c r="BL1178" s="1" t="s">
        <v>1877</v>
      </c>
      <c r="BM1178" s="2" t="s">
        <v>5957</v>
      </c>
    </row>
    <row r="1179" spans="1:69" ht="162" x14ac:dyDescent="0.45">
      <c r="A1179" s="5">
        <v>1178</v>
      </c>
      <c r="B1179" s="6" t="s">
        <v>916</v>
      </c>
      <c r="C1179" s="6" t="s">
        <v>6850</v>
      </c>
      <c r="D1179" s="7" t="s">
        <v>9752</v>
      </c>
      <c r="E1179" s="1" t="s">
        <v>916</v>
      </c>
      <c r="F1179" s="1"/>
      <c r="G1179" s="1"/>
      <c r="J1179" s="1" t="s">
        <v>9753</v>
      </c>
      <c r="K1179" s="1" t="s">
        <v>9613</v>
      </c>
      <c r="L1179" s="3" t="s">
        <v>9614</v>
      </c>
      <c r="P1179" s="7" t="s">
        <v>1241</v>
      </c>
      <c r="AV1179" s="1" t="s">
        <v>38</v>
      </c>
      <c r="BG1179" s="7" t="s">
        <v>1242</v>
      </c>
      <c r="BH1179" s="1" t="s">
        <v>1947</v>
      </c>
      <c r="BI1179" s="1" t="s">
        <v>5958</v>
      </c>
      <c r="BJ1179" s="1" t="s">
        <v>1967</v>
      </c>
      <c r="BK1179" s="2" t="s">
        <v>5959</v>
      </c>
      <c r="BL1179" s="1" t="s">
        <v>1959</v>
      </c>
      <c r="BM1179" s="1" t="s">
        <v>5960</v>
      </c>
      <c r="BN1179" s="1" t="s">
        <v>1875</v>
      </c>
      <c r="BO1179" s="2" t="s">
        <v>5961</v>
      </c>
      <c r="BP1179" s="1" t="s">
        <v>1877</v>
      </c>
      <c r="BQ1179" s="2" t="s">
        <v>5962</v>
      </c>
    </row>
    <row r="1180" spans="1:69" ht="90" x14ac:dyDescent="0.45">
      <c r="A1180" s="5">
        <v>1179</v>
      </c>
      <c r="B1180" s="8" t="s">
        <v>917</v>
      </c>
      <c r="C1180" s="6" t="s">
        <v>6851</v>
      </c>
      <c r="D1180" s="7" t="s">
        <v>9752</v>
      </c>
      <c r="E1180" s="1" t="s">
        <v>917</v>
      </c>
      <c r="F1180" s="1"/>
      <c r="G1180" s="1"/>
      <c r="J1180" s="1" t="s">
        <v>9753</v>
      </c>
      <c r="K1180" s="1" t="s">
        <v>5963</v>
      </c>
      <c r="L1180" s="2" t="s">
        <v>9618</v>
      </c>
      <c r="P1180" s="7" t="s">
        <v>1241</v>
      </c>
      <c r="AV1180" s="1" t="s">
        <v>38</v>
      </c>
      <c r="BG1180" s="7" t="s">
        <v>1242</v>
      </c>
      <c r="BH1180" s="1" t="s">
        <v>1947</v>
      </c>
      <c r="BI1180" s="1" t="s">
        <v>5964</v>
      </c>
      <c r="BJ1180" s="1" t="s">
        <v>1875</v>
      </c>
      <c r="BK1180" s="2" t="s">
        <v>5965</v>
      </c>
    </row>
    <row r="1181" spans="1:69" ht="108" x14ac:dyDescent="0.45">
      <c r="A1181" s="5">
        <v>1180</v>
      </c>
      <c r="B1181" s="6" t="s">
        <v>918</v>
      </c>
      <c r="C1181" s="6" t="s">
        <v>6851</v>
      </c>
      <c r="D1181" s="7" t="s">
        <v>9752</v>
      </c>
      <c r="E1181" s="1" t="s">
        <v>5966</v>
      </c>
      <c r="F1181" s="1" t="s">
        <v>5967</v>
      </c>
      <c r="G1181" s="1"/>
      <c r="J1181" s="1" t="s">
        <v>9753</v>
      </c>
      <c r="K1181" s="1" t="s">
        <v>5968</v>
      </c>
      <c r="L1181" s="2" t="s">
        <v>9619</v>
      </c>
      <c r="M1181" s="1" t="s">
        <v>12187</v>
      </c>
      <c r="P1181" s="7" t="s">
        <v>1241</v>
      </c>
      <c r="Q1181" s="13" t="str">
        <f>INDEX($L:$L, MATCH("extra", $B:$B, 0))</f>
        <v>&lt;span class="w"&gt;&lt;b&gt;【284.extra：追加の, 余分の】&lt;/b&gt;&lt;/span&gt;
&lt;span class="ml"&gt;ラテン語ex（外の）から派生したexterus（外側の）に由来する。
&lt;span class="spacer"&gt;&lt;/span&gt;「外側の」から、ある範囲を超えている＝「追加の, 余分の」という意味になる。&lt;/span&gt;</v>
      </c>
      <c r="R1181" s="13" t="str">
        <f>INDEX($L:$L, MATCH("extreme", $B:$B, 0))</f>
        <v>&lt;span class="w"&gt;&lt;b&gt;【296.extreme：極端な】&lt;/b&gt;&lt;/span&gt;
&lt;span class="ml"&gt;ラテン語ex（外の）から派生した最上級extremus（最も外側の）に由来する。
&lt;span class="spacer"&gt;&lt;/span&gt;「最も外側の」から度合いの範囲の中で最も外側、つまり「極端な」という意味になる。&lt;/span&gt;</v>
      </c>
      <c r="S1181" s="13" t="str">
        <f>INDEX($L:$L, MATCH("external", $B:$B, 0))</f>
        <v>&lt;span class="w"&gt;&lt;b&gt;【989.external：外部の, 外側にある】&lt;/b&gt;&lt;/span&gt;
&lt;span class="ml"&gt;ラテン語ex（外へ）から派生したexternus（外部の, 外側に属する）に由来する。&lt;span class="obsolete"&gt;al（形容詞化）は英語段階で付いた。&lt;/span&gt;
&lt;span class="spacer"&gt;&lt;/span&gt;内と外という構造的な位置関係において、内側ではなく「外部の, 外側にある」という意味になる。&lt;/span&gt;</v>
      </c>
      <c r="AU1181" s="15"/>
      <c r="AV1181" s="1" t="s">
        <v>38</v>
      </c>
      <c r="BG1181" s="7" t="s">
        <v>1242</v>
      </c>
      <c r="BH1181" s="1" t="s">
        <v>2458</v>
      </c>
      <c r="BI1181" s="2" t="s">
        <v>5969</v>
      </c>
      <c r="BJ1181" s="1" t="s">
        <v>1947</v>
      </c>
      <c r="BK1181" s="1" t="s">
        <v>5970</v>
      </c>
      <c r="BL1181" s="1" t="s">
        <v>1996</v>
      </c>
      <c r="BM1181" s="2" t="s">
        <v>5971</v>
      </c>
      <c r="BN1181" s="1" t="s">
        <v>1877</v>
      </c>
      <c r="BO1181" s="2" t="s">
        <v>5972</v>
      </c>
    </row>
    <row r="1182" spans="1:69" ht="144" x14ac:dyDescent="0.45">
      <c r="A1182" s="5">
        <v>1181</v>
      </c>
      <c r="B1182" s="6" t="s">
        <v>919</v>
      </c>
      <c r="C1182" s="6" t="s">
        <v>6851</v>
      </c>
      <c r="D1182" s="7" t="s">
        <v>9752</v>
      </c>
      <c r="E1182" s="1" t="s">
        <v>919</v>
      </c>
      <c r="F1182" s="1"/>
      <c r="G1182" s="1"/>
      <c r="J1182" s="1" t="s">
        <v>9753</v>
      </c>
      <c r="K1182" s="1" t="s">
        <v>5973</v>
      </c>
      <c r="L1182" s="2" t="s">
        <v>9620</v>
      </c>
      <c r="P1182" s="7" t="s">
        <v>1241</v>
      </c>
      <c r="AV1182" s="1" t="s">
        <v>38</v>
      </c>
      <c r="BG1182" s="7" t="s">
        <v>1242</v>
      </c>
      <c r="BH1182" s="1" t="s">
        <v>1976</v>
      </c>
      <c r="BI1182" s="1" t="s">
        <v>9621</v>
      </c>
      <c r="BJ1182" s="1" t="s">
        <v>1947</v>
      </c>
      <c r="BK1182" s="1" t="s">
        <v>5974</v>
      </c>
      <c r="BL1182" s="1" t="s">
        <v>1996</v>
      </c>
      <c r="BM1182" s="2" t="s">
        <v>5975</v>
      </c>
      <c r="BN1182" s="1" t="s">
        <v>1877</v>
      </c>
      <c r="BO1182" s="2" t="s">
        <v>5976</v>
      </c>
    </row>
    <row r="1183" spans="1:69" ht="162" x14ac:dyDescent="0.45">
      <c r="A1183" s="5">
        <v>1182</v>
      </c>
      <c r="B1183" s="6" t="s">
        <v>920</v>
      </c>
      <c r="C1183" s="6" t="s">
        <v>6851</v>
      </c>
      <c r="D1183" s="7" t="s">
        <v>9752</v>
      </c>
      <c r="E1183" s="1" t="s">
        <v>920</v>
      </c>
      <c r="F1183" s="1"/>
      <c r="G1183" s="1"/>
      <c r="J1183" s="1" t="s">
        <v>9753</v>
      </c>
      <c r="K1183" s="1" t="s">
        <v>9622</v>
      </c>
      <c r="L1183" s="2" t="s">
        <v>9623</v>
      </c>
      <c r="P1183" s="7" t="s">
        <v>1241</v>
      </c>
      <c r="Q1183" s="13" t="str">
        <f>INDEX($L:$L, MATCH("bite", $B:$B, 0))</f>
        <v>&lt;span class="w"&gt;&lt;b&gt;【419.bite：かむ, 噛みつく】&lt;/b&gt;&lt;/span&gt;
&lt;span class="ml"&gt;古英語bitan（歯で刺す, 噛む）にさかのぼる。
&lt;span class="spacer"&gt;&lt;/span&gt;古英語から意味の変化はほとんどない。biteは、bitterと同じ印欧祖語にさかのぼる。噛んで（bite）感じる苦味がbitterとなった。&lt;/span&gt;</v>
      </c>
      <c r="AV1183" s="1" t="s">
        <v>38</v>
      </c>
      <c r="BG1183" s="7" t="s">
        <v>1242</v>
      </c>
      <c r="BH1183" s="1" t="s">
        <v>1976</v>
      </c>
      <c r="BI1183" s="1" t="s">
        <v>5977</v>
      </c>
      <c r="BJ1183" s="1" t="s">
        <v>1872</v>
      </c>
      <c r="BK1183" s="1" t="s">
        <v>5978</v>
      </c>
    </row>
    <row r="1184" spans="1:69" ht="198" x14ac:dyDescent="0.45">
      <c r="A1184" s="5">
        <v>1183</v>
      </c>
      <c r="B1184" s="8" t="s">
        <v>921</v>
      </c>
      <c r="C1184" s="6" t="s">
        <v>6851</v>
      </c>
      <c r="D1184" s="7" t="s">
        <v>9752</v>
      </c>
      <c r="E1184" s="1" t="s">
        <v>6033</v>
      </c>
      <c r="F1184" s="1" t="s">
        <v>3800</v>
      </c>
      <c r="G1184" s="1"/>
      <c r="J1184" s="1" t="s">
        <v>9753</v>
      </c>
      <c r="L1184" s="3" t="s">
        <v>9624</v>
      </c>
      <c r="M1184" s="1" t="s">
        <v>12206</v>
      </c>
      <c r="P1184" s="7" t="s">
        <v>1241</v>
      </c>
      <c r="Q1184" s="13" t="str">
        <f>INDEX($L:$L, MATCH("sensitive", $B:$B, 0))</f>
        <v>&lt;span class="w"&gt;&lt;b&gt;【494.sensitive：敏感な, 神経質な】&lt;/b&gt;&lt;/span&gt;
&lt;span class="ml"&gt;ラテン語に由来する語で、以下の2つの要素から成る。
&lt;span class="spacer"&gt;&lt;/span&gt;sentire（感じる）
ivus（形容詞化）
&lt;span class="spacer"&gt;&lt;/span&gt;この語の核は「感覚で受け取ること」。もともとは物理的な刺激を感じ取る能力がある状態を表していた。そこから、わずかな変化も察知する「敏感な, 神経質な」という意味になった。&lt;/span&gt;</v>
      </c>
      <c r="R1184" s="13" t="str">
        <f>INDEX($L:$L, MATCH("sensation", $B:$B, 0))</f>
        <v>&lt;span class="w"&gt;&lt;b&gt;【945.sensation：感覚, 大評判, 衝撃】&lt;/b&gt;&lt;/span&gt;
&lt;span class="ml"&gt;ラテン語に由来する語で、以下の2つの要素から成る。
&lt;span class="spacer"&gt;&lt;/span&gt;sentire（知覚する, 感じる, 知る）
io（名詞化）
&lt;span class="spacer"&gt;&lt;/span&gt;このまま日本語にすると「感じること, 知ること」となる。もとになったラテン語では感覚系と知る系の2つの意味があったが、sensationは感覚的な意味へと特化した。感覚器官を通じた外部刺激への「感覚」という個人レベルのものから、社会全体が強い感覚を生じさせる「大評判, 衝撃」という意味になった。
&lt;span class="spacer"&gt;&lt;/span&gt;&lt;span class="obsolete"&gt;感覚系の五感と、知る系の理解の両方の意味へ発展したのがsense（五感, 意味, 理解, 知的な感覚）。&lt;/span&gt;&lt;/span&gt;</v>
      </c>
      <c r="S1184" s="13" t="str">
        <f>INDEX($L:$L, MATCH("sensory", $B:$B, 0))</f>
        <v>&lt;span class="w"&gt;&lt;b&gt;【1197.sensory：感覚の】&lt;/b&gt;&lt;/span&gt;
&lt;span class="ml"&gt;ラテン語に由来する語で、以下の2つの要素から成る。
&lt;span class="spacer"&gt;&lt;/span&gt;sentire（感じる）から派生したsensus（感覚）
orius（形容詞化）
&lt;span class="spacer"&gt;&lt;/span&gt;このまま日本語にすれば「感覚の」という意味になる。sense（感覚）の形容詞として覚えればよい。&lt;/span&gt;</v>
      </c>
      <c r="T1184" s="13" t="str">
        <f>INDEX($L:$L, MATCH("consent", $B:$B, 0))</f>
        <v>&lt;span class="w"&gt;&lt;b&gt;【1275.consent：同意, 承諾】&lt;/b&gt;&lt;/span&gt;
&lt;span class="ml"&gt;ラテン語に由来する語で、以下の2つの要素から成る。
&lt;span class="spacer"&gt;&lt;/span&gt;con（共に）
sentire（感じる）
&lt;span class="spacer"&gt;&lt;/span&gt;このまま日本語にすると「共に感じる」となる。感情や判断が一致することから「同意, 承諾」という意味になった。&lt;/span&gt;</v>
      </c>
      <c r="U1184" s="13" t="str">
        <f>INDEX($L:$L, MATCH("consensus", $B:$B, 0))</f>
        <v>&lt;span class="w"&gt;&lt;b&gt;【1153.consensus：総意, 意見の一致】&lt;/b&gt;&lt;/span&gt;
&lt;span class="ml"&gt;ラテン語に由来する語で、以下の2つの要素から成る。
&lt;span class="spacer"&gt;&lt;/span&gt;con（共に）
sentire（感じる）
&lt;span class="spacer"&gt;&lt;/span&gt;このまま日本語にすると「共に感じる」となる。もともとは、生理学において、身体の異なる器官が連動して反応すること（交感・共鳴）を表した。その異なるもの同士の連動というニュアンスが、人間社会の集団に対して使われるようになり、集団における人々の考えの連動＝「総意, 意見の一致」という意味になった。
&lt;div class="sample_image consensus"&gt;&lt;/div&gt;&lt;/span&gt;</v>
      </c>
      <c r="V1184" s="13" t="str">
        <f>INDEX($L:$L, MATCH("scent", $B:$B, 0))</f>
        <v>&lt;span class="w"&gt;&lt;b&gt;【1156.scent：香り】&lt;/b&gt;&lt;/span&gt;
&lt;span class="ml"&gt;ラテン語sentire（感じる）に由来する。
&lt;span class="spacer"&gt;&lt;/span&gt;感覚の中でも嗅覚に関して使われ、もともとは狩猟において、猟犬が嗅ぎ取る獣のにおいを表した。そこから、空気中にただよう様々な印象的なにおいを表すようになり、一般的な「香り」という意味になった。
&lt;span class="spacer"&gt;&lt;/span&gt;scentのスペルには、本来cは存在しなかった。しかし後にscienceのような他のscというスペルに影響され、cが挿入された。つまり、本当はsense（感覚）に似たsentというスペルだった。&lt;/span&gt;</v>
      </c>
      <c r="AU1184" s="15"/>
      <c r="AV1184" s="1" t="s">
        <v>38</v>
      </c>
      <c r="BG1184" s="7" t="s">
        <v>1242</v>
      </c>
      <c r="BH1184" s="1" t="s">
        <v>1947</v>
      </c>
      <c r="BI1184" s="2" t="s">
        <v>5979</v>
      </c>
      <c r="BJ1184" s="1" t="s">
        <v>2036</v>
      </c>
      <c r="BK1184" s="2" t="s">
        <v>5980</v>
      </c>
      <c r="BL1184" s="1" t="s">
        <v>1959</v>
      </c>
      <c r="BM1184" s="1" t="s">
        <v>921</v>
      </c>
      <c r="BN1184" s="1" t="s">
        <v>1875</v>
      </c>
      <c r="BO1184" s="2" t="s">
        <v>9625</v>
      </c>
      <c r="BP1184" s="1" t="s">
        <v>1877</v>
      </c>
      <c r="BQ1184" s="2" t="s">
        <v>9626</v>
      </c>
    </row>
    <row r="1185" spans="1:67" ht="180" x14ac:dyDescent="0.45">
      <c r="A1185" s="5">
        <v>1184</v>
      </c>
      <c r="B1185" s="8" t="s">
        <v>922</v>
      </c>
      <c r="C1185" s="6" t="s">
        <v>6851</v>
      </c>
      <c r="D1185" s="7" t="s">
        <v>9752</v>
      </c>
      <c r="E1185" s="1" t="s">
        <v>1908</v>
      </c>
      <c r="F1185" s="1" t="s">
        <v>4531</v>
      </c>
      <c r="G1185" s="1"/>
      <c r="J1185" s="1" t="s">
        <v>9753</v>
      </c>
      <c r="L1185" s="3" t="s">
        <v>9627</v>
      </c>
      <c r="M1185" s="1" t="s">
        <v>12136</v>
      </c>
      <c r="P1185" s="7" t="s">
        <v>1241</v>
      </c>
      <c r="Q1185" s="13" t="str">
        <f>INDEX($L:$L, MATCH("knowledge", $B:$B, 0))</f>
        <v>&lt;span class="w"&gt;&lt;b&gt;【58.knowledge：知識, 認識】&lt;/b&gt;&lt;/span&gt;
&lt;span class="ml"&gt;knowledgeは「knowの名詞」と覚えればよい。
&lt;span class="spacer"&gt;&lt;/span&gt;知っているという動詞から知っていること＝「知識, 認識」という名詞になる。&lt;/span&gt;</v>
      </c>
      <c r="R1185" s="13" t="str">
        <f>INDEX($L:$L, MATCH("acknowledge", $B:$B, 0))</f>
        <v>&lt;span class="w"&gt;&lt;b&gt;【717.acknowledge：〜を認める】&lt;/b&gt;&lt;/span&gt;
&lt;span class="ml"&gt;以下の中英語の2語がひとつになってできた語。
&lt;span class="spacer"&gt;&lt;/span&gt;aknowen（知っていることを認める）
knowlechen（認める）
&lt;span class="spacer"&gt;&lt;/span&gt;この語は、対象を示すac（〜に）とknow（知っている）が合わさったと考えればよい。「何かに対して知っていると認める」というイメージで覚える。&lt;/span&gt;</v>
      </c>
      <c r="S1185" s="13" t="str">
        <f>INDEX($L:$L, MATCH("unknown", $B:$B, 0))</f>
        <v>&lt;span class="w"&gt;&lt;b&gt;【492.unknown：不明の, 知られていない】&lt;/b&gt;&lt;/span&gt;
&lt;span class="ml"&gt;中英語にさかのぼり、以下の2つの要素から成る。
&lt;span class="spacer"&gt;&lt;/span&gt;un（否定）
knowの過去分詞known
&lt;span class="spacer"&gt;&lt;/span&gt;このまま「知られていない」という意味になる。&lt;/span&gt;</v>
      </c>
      <c r="T1185" s="13" t="str">
        <f>INDEX($L:$L, MATCH("notice", $B:$B, 0))</f>
        <v>&lt;span class="w"&gt;&lt;b&gt;【101.notice：（動）～に気づく, （名）通知】&lt;/b&gt;&lt;/span&gt;
&lt;span class="ml"&gt;印欧祖語*gno-（知る）から生まれたラテン語(g)nōscere（知るようになる, 認識する）
&lt;span class="spacer"&gt;&lt;/span&gt;「知るようになる」から知られるきっかけである「通知, 知らせ」という名詞になる。そして知らせによって何かを認識するので、「気づく」という動詞になる。&lt;/span&gt;</v>
      </c>
      <c r="U1185" s="13" t="str">
        <f>INDEX($L:$L, MATCH("notion", $B:$B, 0))</f>
        <v>&lt;span class="w"&gt;&lt;b&gt;【453.notion：概念, 考え】&lt;/b&gt;&lt;/span&gt;
&lt;span class="ml"&gt;ラテン語に由来する語で、以下の2つの要素から成る。
&lt;span class="spacer"&gt;&lt;/span&gt;noscere（知る）
io（名詞化）
&lt;span class="spacer"&gt;&lt;/span&gt;この語の核は「知られているもの」。ここから頭の中にある「考え, 概念」という意味になる。&lt;/span&gt;</v>
      </c>
      <c r="V1185" s="13" t="str">
        <f>INDEX($L:$L, MATCH("ignore", $B:$B, 0))</f>
        <v>&lt;span class="w"&gt;&lt;b&gt;【224.ignore：～を無視する】&lt;/b&gt;&lt;/span&gt;
&lt;span class="ml"&gt;ラテン語に由来する語で、以下の2つの要素から成る。
&lt;span class="spacer"&gt;&lt;/span&gt;in（否定）
gnarus（知っている）
&lt;span class="spacer"&gt;&lt;/span&gt;このまま日本語にすると「知らない」となる。気に留めることなく知らないふりをすることから、「無視する」という意味になった。
&lt;span class="spacer"&gt;&lt;/span&gt;形容詞ignorant（無知な）,や名詞ignorance（無知）もセットで覚えておく。&lt;/span&gt;</v>
      </c>
      <c r="W1185" s="13" t="str">
        <f>INDEX($L:$L, MATCH("cognitive", $B:$B, 0))</f>
        <v>&lt;span class="w"&gt;&lt;b&gt;【279.cognitive：認知の】&lt;/b&gt;&lt;/span&gt;
&lt;span class="ml"&gt;ラテン語に由来する語で、以下の2つの要素から成る。
&lt;span class="spacer"&gt;&lt;/span&gt;com（共に）
gnoscere（知る）
&lt;span class="obsolete"&gt;ive（形容詞化）は英語段階で付いた&lt;/span&gt;
&lt;span class="spacer"&gt;&lt;/span&gt;このまま日本語にすると「共に知る」となる。互いに認知することから「認知の」という意味になる。&lt;/span&gt;</v>
      </c>
      <c r="X1185" s="13" t="str">
        <f>INDEX($L:$L, MATCH("recognize", $B:$B, 0))</f>
        <v>&lt;span class="w"&gt;&lt;b&gt;【106.recognize：～を認識する, ～を識別する】&lt;/b&gt;&lt;/span&gt;
&lt;span class="ml"&gt;ラテン語に由来する語で、以下の3つの要素から成る。
&lt;span class="spacer"&gt;&lt;/span&gt;re（再び）
com（強意）
gnoscere（知る）
&lt;span class="spacer"&gt;&lt;/span&gt;このまま日本語にすると「再びしっかり知る」となる。目の前の情報Aを既にある知識と照らし合わせ、情報Aは知識の中の情報Bと同一であると再び知る。つまり、情報Aは情報Bであると「識別する, 認識する」という意味になる。
&lt;div class="sample_image recognize"&gt;&lt;/div&gt;&lt;/span&gt;</v>
      </c>
      <c r="Y1185" s="13" t="str">
        <f>INDEX($L:$L, MATCH("diagnose", $B:$B, 0))</f>
        <v>&lt;span class="w"&gt;&lt;b&gt;【1419.diagnose：診断する】&lt;/b&gt;&lt;/span&gt;
&lt;span class="ml"&gt;ギリシャ語に由来する語で、以下の2つの要素から成る。
&lt;span class="spacer"&gt;&lt;/span&gt;dia（間に）
gignōskein（学ぶ, 知るようになる）
&lt;span class="spacer"&gt;&lt;/span&gt;もともとは、様々な物事の間にある差異を知り、それぞれを区別する、識別することを表した。そこから医学において、症状を見分けて病名を特定することを意味するようになり、「診断する」という意味になった。
&lt;div class="sample_image diagnose"&gt;&lt;/div&gt;
&lt;span class="spacer"&gt;&lt;/span&gt;さらに現代では、医学に限らず、機械や技術、ビジネス、教育など様々な分野において「問題分析をする」という意味でも使われる。&lt;/span&gt;</v>
      </c>
      <c r="Z1185" s="13" t="str">
        <f>INDEX($L:$L, MATCH("acquaintance", $B:$B, 0))</f>
        <v>&lt;span class="w"&gt;&lt;b&gt;【1257.acquaintance：知人, 面識, 知識】&lt;/b&gt;&lt;/span&gt;
&lt;span class="ml"&gt;ラテン語に由来する語で、以下の4つの要素から成る。
&lt;span class="spacer"&gt;&lt;/span&gt;ad（〜へ）
com（完全に）
gnoscere（知る）
&lt;span class="obsolete"&gt;ance（名詞化）はフランス語段階で付いた&lt;/span&gt;
&lt;span class="spacer"&gt;&lt;/span&gt;この語の核は「何かをしっかり知っていること」。そこから、ある分野に通じているという意味での「知識」や、相手と初対面ではなくて顔を見て知っているという「面識」、そして面識がある人、すなわち「知人」などの意味になる。
&lt;span class="spacer"&gt;&lt;/span&gt;acquaintanceというスペルはもとのラテン語から大きく変わってしまったが、印欧祖語*gno-（知る）そしてラテン語gnoscere（知る）から生まれた語。&lt;/span&gt;</v>
      </c>
      <c r="AV1185" s="1" t="s">
        <v>38</v>
      </c>
      <c r="BG1185" s="7" t="s">
        <v>1242</v>
      </c>
      <c r="BH1185" s="1" t="s">
        <v>1976</v>
      </c>
      <c r="BI1185" s="1" t="s">
        <v>3355</v>
      </c>
      <c r="BJ1185" s="1" t="s">
        <v>1947</v>
      </c>
      <c r="BK1185" s="2" t="s">
        <v>5981</v>
      </c>
      <c r="BL1185" s="1" t="s">
        <v>1959</v>
      </c>
      <c r="BM1185" s="1" t="s">
        <v>5982</v>
      </c>
      <c r="BN1185" s="1" t="s">
        <v>1875</v>
      </c>
      <c r="BO1185" s="2" t="s">
        <v>5983</v>
      </c>
    </row>
    <row r="1186" spans="1:67" ht="108" x14ac:dyDescent="0.45">
      <c r="A1186" s="5">
        <v>1185</v>
      </c>
      <c r="B1186" s="6" t="s">
        <v>923</v>
      </c>
      <c r="C1186" s="6" t="s">
        <v>6851</v>
      </c>
      <c r="D1186" s="7" t="s">
        <v>9752</v>
      </c>
      <c r="E1186" s="1" t="s">
        <v>923</v>
      </c>
      <c r="F1186" s="1"/>
      <c r="G1186" s="1"/>
      <c r="J1186" s="1" t="s">
        <v>9753</v>
      </c>
      <c r="L1186" s="3" t="s">
        <v>9628</v>
      </c>
      <c r="P1186" s="7" t="s">
        <v>1241</v>
      </c>
      <c r="AV1186" s="1" t="s">
        <v>38</v>
      </c>
      <c r="BG1186" s="7" t="s">
        <v>1242</v>
      </c>
      <c r="BH1186" s="1" t="s">
        <v>1947</v>
      </c>
      <c r="BI1186" s="1" t="s">
        <v>5984</v>
      </c>
      <c r="BJ1186" s="1" t="s">
        <v>1959</v>
      </c>
      <c r="BK1186" s="2" t="s">
        <v>5985</v>
      </c>
      <c r="BL1186" s="1" t="s">
        <v>1877</v>
      </c>
      <c r="BM1186" s="2" t="s">
        <v>5986</v>
      </c>
    </row>
    <row r="1187" spans="1:67" ht="144" x14ac:dyDescent="0.45">
      <c r="A1187" s="5">
        <v>1186</v>
      </c>
      <c r="B1187" s="8" t="s">
        <v>924</v>
      </c>
      <c r="C1187" s="6" t="s">
        <v>6851</v>
      </c>
      <c r="D1187" s="7" t="s">
        <v>9752</v>
      </c>
      <c r="E1187" s="1" t="s">
        <v>5987</v>
      </c>
      <c r="F1187" s="1" t="s">
        <v>5988</v>
      </c>
      <c r="G1187" s="1"/>
      <c r="J1187" s="1" t="s">
        <v>9753</v>
      </c>
      <c r="K1187" s="2" t="s">
        <v>9615</v>
      </c>
      <c r="L1187" s="3" t="s">
        <v>9629</v>
      </c>
      <c r="M1187" s="1" t="s">
        <v>12208</v>
      </c>
      <c r="P1187" s="7" t="s">
        <v>1241</v>
      </c>
      <c r="Q1187" s="13" t="str">
        <f>INDEX($L:$L, MATCH("alter", $B:$B, 0))</f>
        <v>&lt;span class="w"&gt;&lt;b&gt;【524.alter：〜を変える, 変わる】&lt;/b&gt;&lt;/span&gt;
&lt;span class="ml"&gt;次の2つの印欧祖語の要素にさかのぼる。
&lt;span class="spacer"&gt;&lt;/span&gt;*al（向こう側に）
ter（比較級接尾辞）
&lt;span class="spacer"&gt;&lt;/span&gt;この語はもともと比較の要素を持っており、核となるのは「こちら側と向こう側を比較して向こう側」ということ。ここから、2つのうち一方ではなくてもう一方ということを表した。これが動詞になって一方から他方に「変える, 変わる」という意味になった。&lt;/span&gt;</v>
      </c>
      <c r="R1187" s="13" t="str">
        <f>INDEX($L:$L, MATCH("alternate", $B:$B, 0))</f>
        <v>&lt;span class="w"&gt;&lt;b&gt;【1490.alternate：交互の, 代わりの】&lt;/b&gt;&lt;/span&gt;
&lt;span class="ml"&gt;印欧祖語に由来する語で、以下の2つの要素から成る。
&lt;span class="spacer"&gt;&lt;/span&gt;*al-（〜の向こうに）
tero（比較級を作る）
&lt;span class="spacer"&gt;&lt;/span&gt;印欧祖語*al-tero-は、こちら側と向こう側を比較して（結果的に）向こう側というイメージから、2つのうちの他方を指す。
&lt;span class="spacer"&gt;&lt;/span&gt;AとBがあるときに、Aから見た向こう側B、Bから見た向こう側Aを繰り返す、すなわちA→B→A→B→…となることから「交互の」という意味になった。
I visit my grandmother on alternate weekends.
訪れる週→訪れない週→…（つまり隔週）
&lt;span class="spacer"&gt;&lt;/span&gt;また現在あるものが使えない場合に、他方を使うという発想から、「代わりの」という意味にもなった。
&lt;div class="sample_image alternate"&gt;&lt;/div&gt;&lt;/span&gt;</v>
      </c>
      <c r="S1187" s="13" t="str">
        <f>INDEX($L:$L, MATCH("alien", $B:$B, 0))</f>
        <v>&lt;span class="w"&gt;&lt;b&gt;【596.alien：異質の, 外国の, 宇宙人の】&lt;/b&gt;&lt;/span&gt;
&lt;span class="ml"&gt;印欧祖語*al-（向こうに, 越えて）から派生したラテン語alius（他の, 別の）に由来する。
&lt;span class="spacer"&gt;&lt;/span&gt;これは、自分たち側ではない、つまり自分たちとは違うということから「異質の」という意味になる。古代の人々の視点で考えれば、住む場所が違えば、言葉や文化、宗教などが異なり、理解の及ばない異質な存在となる。そのため「向こうに」から「他の, 別の」そして「異質な」へと発展したと考えられる。
&lt;span class="spacer"&gt;&lt;/span&gt;これが国単位になれば「外国の」となり、地球単位で考えれば「宇宙人の」という意味になる。
&lt;span class="spacer"&gt;&lt;/span&gt;ちなみにミステリ小説などで使われる「アリバイ」という言葉は、ラテン語aliusが、場所を意味する形になったalibi（他の場所）に由来する。事件当時に他の場所にいたことを示すことから、alibiという語が使われるようになった。&lt;/span&gt;</v>
      </c>
      <c r="AU1187" s="15"/>
      <c r="AV1187" s="1" t="s">
        <v>38</v>
      </c>
      <c r="BG1187" s="7" t="s">
        <v>1242</v>
      </c>
      <c r="BH1187" s="1" t="s">
        <v>2458</v>
      </c>
      <c r="BI1187" s="2" t="s">
        <v>5989</v>
      </c>
      <c r="BJ1187" s="1" t="s">
        <v>1947</v>
      </c>
      <c r="BK1187" s="1" t="s">
        <v>5990</v>
      </c>
      <c r="BL1187" s="1" t="s">
        <v>1996</v>
      </c>
      <c r="BM1187" s="2" t="s">
        <v>5991</v>
      </c>
      <c r="BN1187" s="1" t="s">
        <v>1877</v>
      </c>
      <c r="BO1187" s="2" t="s">
        <v>5992</v>
      </c>
    </row>
    <row r="1188" spans="1:67" ht="108" x14ac:dyDescent="0.45">
      <c r="A1188" s="5">
        <v>1187</v>
      </c>
      <c r="B1188" s="8" t="s">
        <v>925</v>
      </c>
      <c r="C1188" s="6" t="s">
        <v>6851</v>
      </c>
      <c r="D1188" s="7" t="s">
        <v>9752</v>
      </c>
      <c r="E1188" s="1" t="s">
        <v>925</v>
      </c>
      <c r="F1188" s="1"/>
      <c r="G1188" s="1"/>
      <c r="J1188" s="1" t="s">
        <v>9753</v>
      </c>
      <c r="K1188" s="2" t="s">
        <v>9616</v>
      </c>
      <c r="L1188" s="3" t="s">
        <v>9630</v>
      </c>
      <c r="M1188" s="1" t="s">
        <v>12117</v>
      </c>
      <c r="P1188" s="7" t="s">
        <v>1241</v>
      </c>
      <c r="Q1188" s="13" t="str">
        <f>INDEX($L:$L, MATCH("tend", $B:$B, 0))</f>
        <v>&lt;span class="w"&gt;&lt;b&gt;【16.tend：傾向がある】&lt;/b&gt;&lt;/span&gt;
&lt;span class="ml"&gt;ラテン語tendere（伸ばす, 引っ張る）に由来する。
&lt;span class="spacer"&gt;&lt;/span&gt;心や注意をある対象に向かって「伸ばす」というイメージから、ある対象の方へ向かいやすい＝「傾向がある」という意味になる。
&lt;span class="spacer"&gt;&lt;/span&gt;tend to do Aは、（他のことではなく）Aする方へ心や注意が伸びる＝「Aしがち, Aする傾向がある」という意味になる。&lt;/span&gt;</v>
      </c>
      <c r="R1188" s="13" t="str">
        <f>INDEX($L:$L, MATCH("attend", $B:$B, 0))</f>
        <v>&lt;span class="w"&gt;&lt;b&gt;【205.attend：～を世話をする, ～を対処する, ～を出席する】&lt;/b&gt;&lt;/span&gt;
&lt;span class="ml"&gt;ラテン語に由来する語で、以下の2つの要素から成る。
&lt;span class="spacer"&gt;&lt;/span&gt;ad（～へ）
tendere（伸ばす）
&lt;span class="spacer"&gt;&lt;/span&gt;このまま日本語にすると「何かへ伸ばす」となる。心や労力を相手へ伸ばすことから「世話をする」という意味になる。
&lt;span class="spacer"&gt;&lt;/span&gt;また、世話をするために付き添う＝一緒にどこかへ行くということから発展して、「出席する」という意味になる。
&lt;span class="spacer"&gt;&lt;/span&gt;そして労力を問題へ伸ばすことから「対処する」という意味になる。
&lt;div class="sample_image attend"&gt;&lt;/div&gt;&lt;/span&gt;</v>
      </c>
      <c r="S1188" s="13" t="str">
        <f>INDEX($L:$L, MATCH("extend", $B:$B, 0))</f>
        <v>&lt;span class="w"&gt;&lt;b&gt;【339.extend：～を伸ばす, ～を延ばす】&lt;/b&gt;&lt;/span&gt;
&lt;span class="ml"&gt;ラテン語に由来する語で、以下の2つの要素から成る。
&lt;span class="spacer"&gt;&lt;/span&gt;ex（外に）
tendere（伸ばす）
&lt;span class="spacer"&gt;&lt;/span&gt;このまま日本語にすると「外に伸ばす」となる。ここから「伸ばす, 延ばす」という意味になる。&lt;/span&gt;</v>
      </c>
      <c r="T1188" s="13" t="str">
        <f>INDEX($L:$L, MATCH("intend", $B:$B, 0))</f>
        <v>&lt;span class="w"&gt;&lt;b&gt;【432.intend：〜を意図する】&lt;/b&gt;&lt;/span&gt;
&lt;span class="ml"&gt;ラテン語に由来する語で、以下の2つの要素から成る。
&lt;span class="spacer"&gt;&lt;/span&gt;in（中に）
tendere（伸ばす）
&lt;span class="spacer"&gt;&lt;/span&gt;このまま日本語にすると「中に伸ばす」となる。これは、対象の中に心や注意を伸ばすイメージ。そこから、目的に心や注意を向ける＝「意図する」という意味になる。
&lt;div class="sample_image intend"&gt;&lt;/div&gt;&lt;/span&gt;</v>
      </c>
      <c r="U1188" s="13" t="str">
        <f>INDEX($L:$L, MATCH("pretend", $B:$B, 0))</f>
        <v>&lt;span class="w"&gt;&lt;b&gt;【724.pretend：ふりをする】&lt;/b&gt;&lt;/span&gt;
&lt;span class="ml"&gt;ラテン語に由来する語で、以下の2つの要素から成る。
&lt;span class="spacer"&gt;&lt;/span&gt;prae（前に）
tendere（伸ばす）
&lt;span class="spacer"&gt;&lt;/span&gt;このまま日本語にすると「前に伸ばす」となる。この動きから、相手の前に何かを差し出す・提示するとなる。さらに自分の中にある真実や本心を隠すために、偽りの理由や態度を前に差し出す、つまり「〜のふりをする」という意味になった。
&lt;span class="spacer"&gt;&lt;/span&gt;pretend to do（〜するふりをする）
これはto do（〜する）を相手の前に出すけど、自分はそれを実際には行わないというイメージ。
&lt;div class="sample_image pretend"&gt;&lt;/div&gt;&lt;/span&gt;</v>
      </c>
      <c r="V1188" s="13" t="str">
        <f>INDEX($L:$L, MATCH("intense", $B:$B, 0))</f>
        <v>&lt;span class="w"&gt;&lt;b&gt;【691.intense：強烈な, 激しい】&lt;/b&gt;&lt;/span&gt;
&lt;span class="ml"&gt;ラテン語に由来する語で、以下の2つの要素から成る。
&lt;span class="spacer"&gt;&lt;/span&gt;in（方向）
tendere（伸ばす）
&lt;span class="spacer"&gt;&lt;/span&gt;このまま日本語にすると「ある方向へ伸ばす」となる。もともとは、物理的に弓や弦などが限界まで伸ばされた状態を表していた。
&lt;span class="spacer"&gt;&lt;/span&gt;ここから比喩的に程度を表す言葉へと変化し、限界まで張り詰めた状態から「強烈な, 激しい」という意味になった。
&lt;div class="sample_image intense"&gt;&lt;/div&gt;&lt;/span&gt;</v>
      </c>
      <c r="AU1188" s="15"/>
      <c r="AV1188" s="1" t="s">
        <v>38</v>
      </c>
      <c r="BG1188" s="7" t="s">
        <v>1242</v>
      </c>
      <c r="BH1188" s="1" t="s">
        <v>1947</v>
      </c>
      <c r="BI1188" s="2" t="s">
        <v>5993</v>
      </c>
      <c r="BJ1188" s="1" t="s">
        <v>1877</v>
      </c>
      <c r="BK1188" s="2" t="s">
        <v>5994</v>
      </c>
    </row>
    <row r="1189" spans="1:67" ht="216" x14ac:dyDescent="0.45">
      <c r="A1189" s="5">
        <v>1188</v>
      </c>
      <c r="B1189" s="6" t="s">
        <v>926</v>
      </c>
      <c r="C1189" s="6" t="s">
        <v>6851</v>
      </c>
      <c r="D1189" s="7" t="s">
        <v>9752</v>
      </c>
      <c r="E1189" s="1" t="s">
        <v>5995</v>
      </c>
      <c r="F1189" s="1" t="s">
        <v>49</v>
      </c>
      <c r="G1189" s="1"/>
      <c r="J1189" s="1" t="s">
        <v>9753</v>
      </c>
      <c r="L1189" s="3" t="s">
        <v>9631</v>
      </c>
      <c r="M1189" s="1" t="s">
        <v>12186</v>
      </c>
      <c r="P1189" s="7" t="s">
        <v>1241</v>
      </c>
      <c r="Q1189" s="13" t="str">
        <f>INDEX($L:$L, MATCH("universal", $B:$B, 0))</f>
        <v>&lt;span class="w"&gt;&lt;b&gt;【282.universal：普遍的な, 宇宙の】&lt;/b&gt;&lt;/span&gt;
&lt;span class="ml"&gt;ラテン語に由来する語で、以下の3つの要素から成る。
&lt;span class="spacer"&gt;&lt;/span&gt;unus（1つ）
vertere（回す, 向きを変える）
alis（形容詞化）
&lt;span class="spacer"&gt;&lt;/span&gt;このまま日本語にすると「ひとつに回す」となる。回転することで中心に巻き込まれていって全体がひとつになるイメージから、世界全体や宇宙全体に関わる＝「普遍的な, 宇宙の」という意味になる。
普遍的とは広く全体に当てはまるということ。&lt;/span&gt;</v>
      </c>
      <c r="R1189" s="13" t="str">
        <f>INDEX($L:$L, MATCH("advertise", $B:$B, 0))</f>
        <v>&lt;span class="w"&gt;&lt;b&gt;【414.advertise：〜を宣伝する】&lt;/b&gt;&lt;/span&gt;
&lt;span class="ml"&gt;ラテン語に由来する語で、以下の2つの要素から成る。
&lt;span class="spacer"&gt;&lt;/span&gt;ad（〜へ）
vertere（回す, 向ける）
&lt;span class="spacer"&gt;&lt;/span&gt;この語の核は「注意をある方向へ向けさせる」ということ。人の注意を特定の対象に向けさせることから、商品などに目を向けさせる＝「何かを宣伝する」という意味になる。
&lt;div class="sample_image advertise"&gt;&lt;/div&gt;&lt;/span&gt;</v>
      </c>
      <c r="S1189" s="13" t="str">
        <f>INDEX($L:$L, MATCH("diversity", $B:$B, 0))</f>
        <v>&lt;span class="w"&gt;&lt;b&gt;【456.diversity：多様性, 相違点】&lt;/b&gt;&lt;/span&gt;
&lt;span class="ml"&gt;ラテン語に由来する語で、以下の3つの要素から成る。
&lt;span class="spacer"&gt;&lt;/span&gt;dis（離れて）
vertere（回す, 向ける）
tas（名詞化）
&lt;span class="spacer"&gt;&lt;/span&gt;このまま日本語にすると「離れた（異なる）方向に向けること」となる。これは、それぞれが異なる方向を向いているイメージ。そこから、物事がさまざまに分かれている状態を表し、「多様性, 相違点」という意味になる。&lt;/span&gt;</v>
      </c>
      <c r="T1189" s="13" t="str">
        <f>INDEX($L:$L, MATCH("reverse", $B:$B, 0))</f>
        <v>&lt;span class="w"&gt;&lt;b&gt;【726.reverse：〜を逆転させる, 〜を反対にする】&lt;/b&gt;&lt;/span&gt;
&lt;span class="ml"&gt;ラテン語に由来する語で、以下の2つの要素から成る。
&lt;span class="spacer"&gt;&lt;/span&gt;re（再び, 後ろへ）
vertere（回す, 向ける）
&lt;span class="spacer"&gt;&lt;/span&gt;このまま日本語にすると「後ろへ向ける」や「再び回す」となる。このような向きを変える、ひっくり返す動きから、何かを「逆転させる, 反対にする」という意味になる。&lt;/span&gt;</v>
      </c>
      <c r="U1189" s="13" t="str">
        <f>INDEX($L:$L, MATCH("divorce", $B:$B, 0))</f>
        <v>&lt;span class="w"&gt;&lt;b&gt;【764.divorce：離婚, 分離】&lt;/b&gt;&lt;/span&gt;
&lt;span class="ml"&gt;ラテン語に由来する語で、以下の2つの要素から成る。
&lt;span class="spacer"&gt;&lt;/span&gt;dis（離れて）
vertere（向ける）
&lt;span class="spacer"&gt;&lt;/span&gt;このまま日本語にすると「離れた方向に向ける」となる。もともとは何かの「分離」を意味した。そして、人生という道を共にする夫婦が離れた方を向いて行くことから「離婚」という意味になった。
&lt;div class="sample_image divorce"&gt;&lt;/div&gt;&lt;/span&gt;</v>
      </c>
      <c r="V1189" s="13" t="str">
        <f>INDEX($L:$L, MATCH("controversy", $B:$B, 0))</f>
        <v>&lt;span class="w"&gt;&lt;b&gt;【1152.controversy：論争】&lt;/b&gt;&lt;/span&gt;
&lt;span class="ml"&gt;ラテン語に由来する語で、以下の3つの要素から成る。
&lt;span class="spacer"&gt;&lt;/span&gt;contra（反対に）
versus（〜の方に向けられた)
ia（名詞化）
&lt;span class="spacer"&gt;&lt;/span&gt;この語の核は「相手と同じ方向ではなく反対に向いていること、向き合っていること」。つまり考えや立場が対立して争っていることを表し、そこから 「論争」という意味になる。
&lt;div class="sample_image controversy"&gt;&lt;/div&gt;&lt;/span&gt;</v>
      </c>
      <c r="W1189" s="13" t="str">
        <f>INDEX($L:$L, MATCH("anniversary", $B:$B, 0))</f>
        <v>&lt;span class="w"&gt;&lt;b&gt;【1245.anniversary：〜周年の記念日】&lt;/b&gt;&lt;/span&gt;
&lt;span class="ml"&gt;ラテン語に由来する語で、以下の4つの要素から成る。
&lt;span class="spacer"&gt;&lt;/span&gt;annus（年）
vertere（回す）の過去分詞versus（回された）
arius（形容詞化）
um（名詞化）
&lt;span class="spacer"&gt;&lt;/span&gt;この語の核は「毎年回ってくる日」。
そこから「周年の記念日」という意味になる。&lt;/span&gt;</v>
      </c>
      <c r="X1189" s="13" t="str">
        <f>INDEX($L:$L, MATCH("version", $B:$B, 0))</f>
        <v>&lt;span class="w"&gt;&lt;b&gt;【364.version：〜版】&lt;/b&gt;&lt;/span&gt;
&lt;span class="ml"&gt;ラテン語に由来する語で、以下の2つの要素から成る。
&lt;span class="spacer"&gt;&lt;/span&gt;vertere（回す, 向ける）
io（名詞化）
&lt;span class="spacer"&gt;&lt;/span&gt;このまま日本語にすると「回すこと, 向けること」となる。あるものの向きを別の方へ変えるイメージから、既にあるものを元に別の形へ変えること＝「〜版」という意味になる。&lt;/span&gt;</v>
      </c>
      <c r="Y1189" s="13" t="str">
        <f>INDEX($L:$L, MATCH("versus", $B:$B, 0))</f>
        <v>&lt;span class="w"&gt;&lt;b&gt;【1100.versus：（A versus B）A対B】&lt;/b&gt;&lt;/span&gt;
&lt;span class="ml"&gt;ラテン語vertere（回す, 向ける）の過去分詞versus（〜の方に向けられた, 〜に対して）に由来する。
&lt;span class="spacer"&gt;&lt;/span&gt;何かの方に向けられていることから「対する, A対B」という意味になる。A versus BはAがBの方に向けられているというイメージ。&lt;/span&gt;</v>
      </c>
      <c r="Z1189" s="13" t="str">
        <f>INDEX($L:$L, MATCH("convert", $B:$B, 0))</f>
        <v>&lt;span class="w"&gt;&lt;b&gt;【820.convert：～を変える, 改宗させる】&lt;/b&gt;&lt;/span&gt;
&lt;span class="ml"&gt;ラテン語に由来する語で、以下の2つの要素から成る。
&lt;span class="spacer"&gt;&lt;/span&gt;com（共に）
vertere（向ける）
&lt;span class="spacer"&gt;&lt;/span&gt;このまま日本語にすると「共に向ける」となる。これは、みんなを同じ方に向けるイメージ。そこから宗教において、同じ対象を信仰するように「改宗させる」という意味になる。また宗教に限らず、形式や用途などを人為的に「変える」という意味になる。
&lt;div class="sample_image convert"&gt;&lt;/div&gt;&lt;/span&gt;</v>
      </c>
      <c r="AU1189" s="15"/>
      <c r="AV1189" s="1" t="s">
        <v>38</v>
      </c>
      <c r="BG1189" s="7" t="s">
        <v>1242</v>
      </c>
      <c r="BH1189" s="1" t="s">
        <v>1947</v>
      </c>
      <c r="BI1189" s="2" t="s">
        <v>9632</v>
      </c>
      <c r="BJ1189" s="1" t="s">
        <v>2036</v>
      </c>
      <c r="BK1189" s="2" t="s">
        <v>5996</v>
      </c>
      <c r="BL1189" s="1" t="s">
        <v>1996</v>
      </c>
      <c r="BM1189" s="2" t="s">
        <v>5997</v>
      </c>
      <c r="BN1189" s="1" t="s">
        <v>1877</v>
      </c>
      <c r="BO1189" s="2" t="s">
        <v>5998</v>
      </c>
    </row>
    <row r="1190" spans="1:67" ht="144" x14ac:dyDescent="0.45">
      <c r="A1190" s="5">
        <v>1189</v>
      </c>
      <c r="B1190" s="8" t="s">
        <v>927</v>
      </c>
      <c r="C1190" s="6" t="s">
        <v>6851</v>
      </c>
      <c r="D1190" s="7" t="s">
        <v>9752</v>
      </c>
      <c r="E1190" s="1" t="s">
        <v>5999</v>
      </c>
      <c r="F1190" s="1" t="s">
        <v>6000</v>
      </c>
      <c r="G1190" s="1" t="s">
        <v>1548</v>
      </c>
      <c r="J1190" s="1" t="s">
        <v>9753</v>
      </c>
      <c r="L1190" s="3" t="s">
        <v>9633</v>
      </c>
      <c r="M1190" s="1" t="s">
        <v>12146</v>
      </c>
      <c r="P1190" s="7" t="s">
        <v>1241</v>
      </c>
      <c r="Q1190" s="13" t="str">
        <f>INDEX($L:$L, MATCH("native", $B:$B, 0))</f>
        <v>&lt;span class="w"&gt;&lt;b&gt;【94.native：出生地の, 原生の, 生まれつきの】&lt;/b&gt;&lt;/span&gt;
&lt;span class="ml"&gt;印欧祖語*gene-（生む, 生み出す）から派生したラテン語に由来する語で、以下の2つの要素から成る。
&lt;span class="spacer"&gt;&lt;/span&gt;nasci（生まれる）
ivus（形容詞化）
&lt;span class="spacer"&gt;&lt;/span&gt;「生まれる」が形容詞となって「生まれたままの」＝「生まれつきの」という意味になる。
&lt;span class="spacer"&gt;&lt;/span&gt;また生まれた土地と結びついている＝「出生地の, 原生の」という意味になる。&lt;/span&gt;</v>
      </c>
      <c r="R1190" s="13" t="str">
        <f>INDEX($L:$L, MATCH("innate", $B:$B, 0))</f>
        <v>&lt;span class="w"&gt;&lt;b&gt;【1290.innate：生まれながらの】&lt;/b&gt;&lt;/span&gt;
&lt;span class="ml"&gt;ラテン語に由来する語で、以下の2つの要素から成る。
&lt;span class="spacer"&gt;&lt;/span&gt;in（中に）
nasci（生まれる）
&lt;span class="spacer"&gt;&lt;/span&gt;このまま日本語にすると「〜の中に生まれる」となる。生まれた時からその人やその動物の中にあることを表して「生まれつきの」という意味になる。
&lt;span class="spacer"&gt;&lt;/span&gt;nate部分は、nativeやnatureと同じイメージ。&lt;/span&gt;</v>
      </c>
      <c r="S1190" s="13" t="str">
        <f>INDEX($L:$L, MATCH("gene", $B:$B, 0))</f>
        <v>&lt;span class="w"&gt;&lt;b&gt;【275.gene：遺伝子】&lt;/b&gt;&lt;/span&gt;
&lt;span class="ml"&gt;印欧祖語*gene-（生む, 産む）から生まれたギリシャ語genea（世代, 人種, 血統）に由来する。
&lt;span class="spacer"&gt;&lt;/span&gt;このギリシャ語をもとに、デンマークの科学者が1905年にドイツ語Gen（遺伝子）を造る。世代を超えて引き継がれるもの, 種族で共通するもの、つまり「遺伝子」を指した。&lt;/span&gt;</v>
      </c>
      <c r="T1190" s="13" t="str">
        <f>INDEX($L:$L, MATCH("gender", $B:$B, 0))</f>
        <v>&lt;span class="w"&gt;&lt;b&gt;【370.gender：社会的/文化的な性, 性別】&lt;/b&gt;&lt;/span&gt;
&lt;span class="ml"&gt;ラテン語genus（種族, 血統, 性別）に由来する。
&lt;span class="spacer"&gt;&lt;/span&gt;もともとは種類や文法上の性を表す言葉だったが、次第に人間の種類を分ける性別として使われるようになる。特に生物学的な性別に対し、「社会/文化的な性」として使われる。たとえば社会・文化における性差別をなくすことをジェンダーの平等と言う。&lt;/span&gt;</v>
      </c>
      <c r="U1190" s="13" t="str">
        <f>INDEX($L:$L, MATCH("generate", $B:$B, 0))</f>
        <v>&lt;span class="w"&gt;&lt;b&gt;【407.generate：〜を生み出す】&lt;/b&gt;&lt;/span&gt;
&lt;span class="ml"&gt;ラテン語genus（種族,  血統, 性別）から派生した動詞generare（生む, 生じさせる）に由来する。
&lt;span class="spacer"&gt;&lt;/span&gt;印欧祖語*gene-（生む, 産む）と同じく「生み出す」という意味になる。
&lt;span class="spacer"&gt;&lt;/span&gt;名詞generationは同時代の種族全体や生むこと自体を表して「世代, 発生」という意味になる。
&lt;span class="spacer"&gt;&lt;/span&gt;形容詞generalは「種族全体に関する」から「一般的な」という意味になる。&lt;/span&gt;</v>
      </c>
      <c r="V1190" s="13" t="str">
        <f>INDEX($L:$L, MATCH("generous", $B:$B, 0))</f>
        <v>&lt;span class="w"&gt;&lt;b&gt;【880.generous：寛大な, 気前のよい】&lt;/b&gt;&lt;/span&gt;
&lt;span class="ml"&gt;ラテン語に由来する語で、以下の2つの要素から成る。
&lt;span class="spacer"&gt;&lt;/span&gt;genus（生まれ, 家系, 血統）
osus（形容詞化：〜に満ちている）
&lt;span class="spacer"&gt;&lt;/span&gt;もともとは、立派な血統に満ちていて高貴な生まれであることを表した。古代や中世には、高貴な人は器が大きく、他者に対して気前よくものを与え、寛大に振る舞うべきであるという価値観があったことから「寛大な, 気前のよい」という意味になった。&lt;/span&gt;</v>
      </c>
      <c r="W1190" s="13" t="str">
        <f>INDEX($L:$L, MATCH("genuine", $B:$B, 0))</f>
        <v>&lt;span class="w"&gt;&lt;b&gt;【888.genuine：本物の, 偽りのない】&lt;/b&gt;&lt;/span&gt;
&lt;span class="ml"&gt;ラテン語に由来する語で、以下の2つの要素から成ると考えられる。
&lt;span class="spacer"&gt;&lt;/span&gt;gignere（生む, 産出する）
inus（形容詞化）
&lt;span class="spacer"&gt;&lt;/span&gt;この語の核は「生まれたまま自然な状態」。後から作られた混ぜ物や偽物ではなく、生まれたままであることを表し、「本物の, 偽りのない」という意味になる。
&lt;span class="spacer"&gt;&lt;/span&gt;また別の語源の説では、ラテン語genu（膝）に由来するという考えもある。
&lt;span class="spacer"&gt;&lt;/span&gt;古代ローマでは、赤ん坊が生まれると、父親がその子を自分の膝の上に置くという伝統的な儀式があった。これは単なるスキンシップではなく、「この子は間違いなく自分の血を引く、正式な子供である」と公に認めるための重要な法的手続きだった。そこから「偽りのない, 本物の」という意味になった。&lt;/span&gt;</v>
      </c>
      <c r="X1190" s="13" t="str">
        <f>INDEX($L:$L, MATCH("pregnant", $B:$B, 0))</f>
        <v>&lt;span class="w"&gt;&lt;b&gt;【1095.pregnant：妊娠した】&lt;/b&gt;&lt;/span&gt;
&lt;span class="ml"&gt;ラテン語に由来する語で、以下の2つの要素から成る。
&lt;span class="spacer"&gt;&lt;/span&gt;prae（前に）
gnasci（生まれる）
&lt;span class="spacer"&gt;&lt;/span&gt;このまま日本語にすると「生まれる前」となる。そこから子を宿している状態＝「妊娠した」という意味になる。&lt;/span&gt;</v>
      </c>
      <c r="AV1190" s="1" t="s">
        <v>38</v>
      </c>
      <c r="BG1190" s="7" t="s">
        <v>1242</v>
      </c>
      <c r="BH1190" s="1" t="s">
        <v>1976</v>
      </c>
      <c r="BI1190" s="1" t="s">
        <v>2838</v>
      </c>
      <c r="BJ1190" s="1" t="s">
        <v>1947</v>
      </c>
      <c r="BK1190" s="2" t="s">
        <v>6001</v>
      </c>
      <c r="BL1190" s="1" t="s">
        <v>2036</v>
      </c>
      <c r="BM1190" s="2" t="s">
        <v>6002</v>
      </c>
      <c r="BN1190" s="1" t="s">
        <v>1877</v>
      </c>
      <c r="BO1190" s="2" t="s">
        <v>6003</v>
      </c>
    </row>
    <row r="1191" spans="1:67" ht="198" x14ac:dyDescent="0.45">
      <c r="A1191" s="5">
        <v>1190</v>
      </c>
      <c r="B1191" s="6" t="s">
        <v>928</v>
      </c>
      <c r="C1191" s="6" t="s">
        <v>6851</v>
      </c>
      <c r="D1191" s="7" t="s">
        <v>9752</v>
      </c>
      <c r="E1191" s="1" t="s">
        <v>1721</v>
      </c>
      <c r="F1191" s="1" t="s">
        <v>240</v>
      </c>
      <c r="G1191" s="1" t="s">
        <v>49</v>
      </c>
      <c r="J1191" s="1" t="s">
        <v>9753</v>
      </c>
      <c r="L1191" s="2" t="s">
        <v>9634</v>
      </c>
      <c r="P1191" s="7" t="s">
        <v>1241</v>
      </c>
      <c r="Q1191" s="13" t="str">
        <f>INDEX($L:$L, MATCH("origin", $B:$B, 0))</f>
        <v>&lt;span class="w"&gt;&lt;b&gt;【346.origin：起源, 源】&lt;/b&gt;&lt;/span&gt;
&lt;span class="ml"&gt;ラテン語oriri（起き上がる, 昇る, 始まる）に由来する。
&lt;span class="spacer"&gt;&lt;/span&gt;何かの始まりから「起源, 源」という意味になる。日本語でも使われる形容詞オリジナル（元の, original）と関連させて覚える。&lt;/span&gt;</v>
      </c>
      <c r="R1191" s="13" t="str">
        <f>INDEX($L:$L, MATCH("orient", $B:$B, 0))</f>
        <v>&lt;span class="w"&gt;&lt;b&gt;【1102.orient：人を環境などに慣らす, 正しい方向に向ける】&lt;/b&gt;&lt;/span&gt;
&lt;span class="ml"&gt;ラテン語oriri（昇る：originの語源）に由来する。
&lt;span class="spacer"&gt;&lt;/span&gt;この語の核は「正しい方向に向ける」。もともとは、太陽が昇る方角である東向きに何かを配置することを表した。そのためthe Orientは東洋という意味になっている。
&lt;span class="spacer"&gt;&lt;/span&gt;中世のキリスト教では、教会は東向きに建てられ、祈りも東向きに行われることが多かった。そのため東向きに配置することは、何かを正しい方向に合わせることへと発展した。
&lt;span class="spacer"&gt;&lt;/span&gt;そしてある環境において、その中に置かれた人を正しい方向に向けることから、新しい状況や考え方に「慣れさせる」という意味になった。
&lt;div class="sample_image orient"&gt;&lt;/div&gt;&lt;/span&gt;</v>
      </c>
      <c r="AU1191" s="15"/>
      <c r="AV1191" s="1" t="s">
        <v>38</v>
      </c>
      <c r="BG1191" s="7" t="s">
        <v>1242</v>
      </c>
      <c r="BH1191" s="1" t="s">
        <v>1947</v>
      </c>
      <c r="BI1191" s="2" t="s">
        <v>6004</v>
      </c>
      <c r="BJ1191" s="1" t="s">
        <v>1877</v>
      </c>
      <c r="BK1191" s="2" t="s">
        <v>6005</v>
      </c>
    </row>
    <row r="1192" spans="1:67" ht="108" x14ac:dyDescent="0.45">
      <c r="A1192" s="5">
        <v>1191</v>
      </c>
      <c r="B1192" s="6" t="s">
        <v>929</v>
      </c>
      <c r="C1192" s="6" t="s">
        <v>6851</v>
      </c>
      <c r="D1192" s="7" t="s">
        <v>9752</v>
      </c>
      <c r="E1192" s="1" t="s">
        <v>6006</v>
      </c>
      <c r="F1192" s="1" t="s">
        <v>49</v>
      </c>
      <c r="G1192" s="1"/>
      <c r="J1192" s="1" t="s">
        <v>9753</v>
      </c>
      <c r="L1192" s="2" t="s">
        <v>9635</v>
      </c>
      <c r="P1192" s="7" t="s">
        <v>1241</v>
      </c>
      <c r="AU1192" s="15"/>
      <c r="AV1192" s="1" t="s">
        <v>38</v>
      </c>
      <c r="BG1192" s="7" t="s">
        <v>1242</v>
      </c>
      <c r="BH1192" s="1" t="s">
        <v>1947</v>
      </c>
      <c r="BI1192" s="2" t="s">
        <v>6007</v>
      </c>
      <c r="BJ1192" s="1" t="s">
        <v>1959</v>
      </c>
      <c r="BK1192" s="1" t="s">
        <v>6008</v>
      </c>
      <c r="BL1192" s="1" t="s">
        <v>1875</v>
      </c>
      <c r="BM1192" s="2" t="s">
        <v>6009</v>
      </c>
      <c r="BN1192" s="1" t="s">
        <v>1877</v>
      </c>
      <c r="BO1192" s="2" t="s">
        <v>6010</v>
      </c>
    </row>
    <row r="1193" spans="1:67" ht="144" x14ac:dyDescent="0.45">
      <c r="A1193" s="5">
        <v>1192</v>
      </c>
      <c r="B1193" s="8" t="s">
        <v>930</v>
      </c>
      <c r="C1193" s="6" t="s">
        <v>6851</v>
      </c>
      <c r="D1193" s="7" t="s">
        <v>9752</v>
      </c>
      <c r="E1193" s="1" t="s">
        <v>1721</v>
      </c>
      <c r="F1193" s="1" t="s">
        <v>6011</v>
      </c>
      <c r="G1193" s="1" t="s">
        <v>1931</v>
      </c>
      <c r="J1193" s="1" t="s">
        <v>9753</v>
      </c>
      <c r="L1193" s="3" t="s">
        <v>9636</v>
      </c>
      <c r="P1193" s="7" t="s">
        <v>1241</v>
      </c>
      <c r="AU1193" s="15"/>
      <c r="AV1193" s="1" t="s">
        <v>38</v>
      </c>
      <c r="BG1193" s="7" t="s">
        <v>1242</v>
      </c>
      <c r="BH1193" s="1" t="s">
        <v>1947</v>
      </c>
      <c r="BI1193" s="2" t="s">
        <v>6012</v>
      </c>
      <c r="BJ1193" s="1" t="s">
        <v>1959</v>
      </c>
      <c r="BK1193" s="1" t="s">
        <v>930</v>
      </c>
      <c r="BL1193" s="1" t="s">
        <v>1875</v>
      </c>
      <c r="BM1193" s="2" t="s">
        <v>6013</v>
      </c>
    </row>
    <row r="1194" spans="1:67" ht="90" x14ac:dyDescent="0.45">
      <c r="A1194" s="5">
        <v>1193</v>
      </c>
      <c r="B1194" s="6" t="s">
        <v>931</v>
      </c>
      <c r="C1194" s="6" t="s">
        <v>6851</v>
      </c>
      <c r="D1194" s="7" t="s">
        <v>9752</v>
      </c>
      <c r="E1194" s="1" t="s">
        <v>9003</v>
      </c>
      <c r="F1194" s="1"/>
      <c r="G1194" s="1"/>
      <c r="J1194" s="1" t="s">
        <v>9753</v>
      </c>
      <c r="K1194" s="1" t="s">
        <v>6014</v>
      </c>
      <c r="L1194" s="2" t="s">
        <v>9637</v>
      </c>
      <c r="P1194" s="7" t="s">
        <v>1241</v>
      </c>
      <c r="AV1194" s="1" t="s">
        <v>38</v>
      </c>
      <c r="BG1194" s="7" t="s">
        <v>1242</v>
      </c>
      <c r="BH1194" s="1" t="s">
        <v>1947</v>
      </c>
      <c r="BI1194" s="1" t="s">
        <v>6015</v>
      </c>
      <c r="BJ1194" s="1" t="s">
        <v>1877</v>
      </c>
      <c r="BK1194" s="2" t="s">
        <v>6016</v>
      </c>
      <c r="BL1194" s="1" t="s">
        <v>3496</v>
      </c>
      <c r="BM1194" s="2" t="s">
        <v>6017</v>
      </c>
    </row>
    <row r="1195" spans="1:67" ht="108" x14ac:dyDescent="0.45">
      <c r="A1195" s="5">
        <v>1194</v>
      </c>
      <c r="B1195" s="8" t="s">
        <v>932</v>
      </c>
      <c r="C1195" s="6" t="s">
        <v>6851</v>
      </c>
      <c r="D1195" s="7" t="s">
        <v>9752</v>
      </c>
      <c r="E1195" s="1" t="s">
        <v>6018</v>
      </c>
      <c r="F1195" s="1" t="s">
        <v>6019</v>
      </c>
      <c r="G1195" s="1" t="s">
        <v>1931</v>
      </c>
      <c r="J1195" s="1" t="s">
        <v>9753</v>
      </c>
      <c r="K1195" s="1" t="s">
        <v>6020</v>
      </c>
      <c r="L1195" s="2" t="s">
        <v>9638</v>
      </c>
      <c r="P1195" s="7" t="s">
        <v>1241</v>
      </c>
      <c r="Q1195" s="13" t="str">
        <f>INDEX($L:$L, MATCH("relieve", $B:$B, 0))</f>
        <v>&lt;span class="w"&gt;&lt;b&gt;【815.relieve：〜を和らげる, 〜を解放する, （受け身で）安心する】&lt;/b&gt;&lt;/span&gt;
&lt;span class="ml"&gt;ラテン語に由来する語で、以下の2つの要素から成る。
&lt;span class="spacer"&gt;&lt;/span&gt;re（強意）
levare（軽くする, 持ち上げる）
&lt;span class="spacer"&gt;&lt;/span&gt;このまま日本語にすると「しっかり持ち上げて軽くする」となる。これは、誰かの負担を持ち上げて軽減するイメージから「和らげる, 解放する」という意味になる。また心理的負担を減らされることから「（受け身be relievedで）安心する」という意味になる。
&lt;div class="sample_image relieve"&gt;&lt;/div&gt;&lt;/span&gt;</v>
      </c>
      <c r="R1195" s="13" t="str">
        <f>INDEX($L:$L, MATCH("relevant", $B:$B, 0))</f>
        <v>&lt;span class="w"&gt;&lt;b&gt;【687.relevant：関係のある, 適切な】&lt;/b&gt;&lt;/span&gt;
&lt;span class="ml"&gt;ラテン語に由来する語で、以下の2つの要素から成る。
&lt;span class="spacer"&gt;&lt;/span&gt;re（強意）
levare（持ち上げる, 軽くする）
&lt;span class="spacer"&gt;&lt;/span&gt;このまま日本語にすると「しっかり持ち上げる」となる。&lt;span class="obsolete"&gt;この持ち上げるという意味は、同じくラテン語levareに由来する、英語elevator（エレベーター）のleva部分に残っている。&lt;/span&gt;
&lt;span class="spacer"&gt;&lt;/span&gt;何かを持ち上げるということは、負担を軽減する、そして人の苦痛を和らげて助けとなるという意味へと発展していく。
&lt;span class="spacer"&gt;&lt;/span&gt;そこから近代英語期、スコットランドの法律分野で、裁判において自分の主張を助けてくれる証拠や情報をrelevantと呼ぶようになった。
&lt;span class="spacer"&gt;&lt;/span&gt;議論において助けとなる情報は、その事柄に直接関係している情報なので、現代英語の「関係のある,（当面の問題に対して）適切な」という意味になった。&lt;/span&gt;</v>
      </c>
      <c r="AU1195" s="15"/>
      <c r="AV1195" s="1" t="s">
        <v>38</v>
      </c>
      <c r="BG1195" s="7" t="s">
        <v>1242</v>
      </c>
      <c r="BH1195" s="1" t="s">
        <v>1947</v>
      </c>
      <c r="BI1195" s="2" t="s">
        <v>6021</v>
      </c>
      <c r="BJ1195" s="1" t="s">
        <v>1967</v>
      </c>
      <c r="BK1195" s="1" t="s">
        <v>6022</v>
      </c>
      <c r="BL1195" s="1" t="s">
        <v>1996</v>
      </c>
      <c r="BM1195" s="1" t="s">
        <v>6023</v>
      </c>
      <c r="BN1195" s="1" t="s">
        <v>1877</v>
      </c>
      <c r="BO1195" s="2" t="s">
        <v>6024</v>
      </c>
    </row>
    <row r="1196" spans="1:67" ht="126" x14ac:dyDescent="0.45">
      <c r="A1196" s="5">
        <v>1195</v>
      </c>
      <c r="B1196" s="6" t="s">
        <v>933</v>
      </c>
      <c r="C1196" s="6" t="s">
        <v>6851</v>
      </c>
      <c r="D1196" s="7" t="s">
        <v>9752</v>
      </c>
      <c r="E1196" s="1" t="s">
        <v>6025</v>
      </c>
      <c r="F1196" s="1" t="s">
        <v>6026</v>
      </c>
      <c r="G1196" s="1"/>
      <c r="J1196" s="1" t="s">
        <v>9753</v>
      </c>
      <c r="L1196" s="2" t="s">
        <v>9639</v>
      </c>
      <c r="P1196" s="7" t="s">
        <v>1241</v>
      </c>
      <c r="AU1196" s="15"/>
      <c r="AV1196" s="1" t="s">
        <v>38</v>
      </c>
      <c r="BG1196" s="7" t="s">
        <v>1242</v>
      </c>
      <c r="BH1196" s="1" t="s">
        <v>1947</v>
      </c>
      <c r="BI1196" s="2" t="s">
        <v>6027</v>
      </c>
      <c r="BJ1196" s="1" t="s">
        <v>1877</v>
      </c>
      <c r="BK1196" s="2" t="s">
        <v>6028</v>
      </c>
    </row>
    <row r="1197" spans="1:67" ht="108" x14ac:dyDescent="0.45">
      <c r="A1197" s="5">
        <v>1196</v>
      </c>
      <c r="B1197" s="6" t="s">
        <v>934</v>
      </c>
      <c r="C1197" s="6" t="s">
        <v>6851</v>
      </c>
      <c r="D1197" s="7" t="s">
        <v>9752</v>
      </c>
      <c r="E1197" s="1" t="s">
        <v>6029</v>
      </c>
      <c r="F1197" s="1" t="s">
        <v>1927</v>
      </c>
      <c r="G1197" s="1"/>
      <c r="J1197" s="1" t="s">
        <v>9753</v>
      </c>
      <c r="K1197" s="1" t="s">
        <v>6030</v>
      </c>
      <c r="L1197" s="2" t="s">
        <v>9640</v>
      </c>
      <c r="P1197" s="7" t="s">
        <v>1241</v>
      </c>
      <c r="AV1197" s="1" t="s">
        <v>38</v>
      </c>
      <c r="BG1197" s="7" t="s">
        <v>1242</v>
      </c>
      <c r="BH1197" s="1" t="s">
        <v>1959</v>
      </c>
      <c r="BI1197" s="1" t="s">
        <v>6031</v>
      </c>
      <c r="BJ1197" s="1" t="s">
        <v>1875</v>
      </c>
      <c r="BK1197" s="2" t="s">
        <v>6032</v>
      </c>
    </row>
    <row r="1198" spans="1:67" ht="108" x14ac:dyDescent="0.45">
      <c r="A1198" s="5">
        <v>1197</v>
      </c>
      <c r="B1198" s="8" t="s">
        <v>935</v>
      </c>
      <c r="C1198" s="6" t="s">
        <v>6851</v>
      </c>
      <c r="D1198" s="7" t="s">
        <v>9752</v>
      </c>
      <c r="E1198" s="1" t="s">
        <v>6033</v>
      </c>
      <c r="F1198" s="1" t="s">
        <v>3331</v>
      </c>
      <c r="G1198" s="1"/>
      <c r="J1198" s="1" t="s">
        <v>9753</v>
      </c>
      <c r="K1198" s="1" t="s">
        <v>9617</v>
      </c>
      <c r="L1198" s="2" t="s">
        <v>9641</v>
      </c>
      <c r="M1198" s="1" t="s">
        <v>12206</v>
      </c>
      <c r="P1198" s="7" t="s">
        <v>1241</v>
      </c>
      <c r="Q1198" s="13" t="str">
        <f>INDEX($L:$L, MATCH("sensitive", $B:$B, 0))</f>
        <v>&lt;span class="w"&gt;&lt;b&gt;【494.sensitive：敏感な, 神経質な】&lt;/b&gt;&lt;/span&gt;
&lt;span class="ml"&gt;ラテン語に由来する語で、以下の2つの要素から成る。
&lt;span class="spacer"&gt;&lt;/span&gt;sentire（感じる）
ivus（形容詞化）
&lt;span class="spacer"&gt;&lt;/span&gt;この語の核は「感覚で受け取ること」。もともとは物理的な刺激を感じ取る能力がある状態を表していた。そこから、わずかな変化も察知する「敏感な, 神経質な」という意味になった。&lt;/span&gt;</v>
      </c>
      <c r="R1198" s="13" t="str">
        <f>INDEX($L:$L, MATCH("sensation", $B:$B, 0))</f>
        <v>&lt;span class="w"&gt;&lt;b&gt;【945.sensation：感覚, 大評判, 衝撃】&lt;/b&gt;&lt;/span&gt;
&lt;span class="ml"&gt;ラテン語に由来する語で、以下の2つの要素から成る。
&lt;span class="spacer"&gt;&lt;/span&gt;sentire（知覚する, 感じる, 知る）
io（名詞化）
&lt;span class="spacer"&gt;&lt;/span&gt;このまま日本語にすると「感じること, 知ること」となる。もとになったラテン語では感覚系と知る系の2つの意味があったが、sensationは感覚的な意味へと特化した。感覚器官を通じた外部刺激への「感覚」という個人レベルのものから、社会全体が強い感覚を生じさせる「大評判, 衝撃」という意味になった。
&lt;span class="spacer"&gt;&lt;/span&gt;&lt;span class="obsolete"&gt;感覚系の五感と、知る系の理解の両方の意味へ発展したのがsense（五感, 意味, 理解, 知的な感覚）。&lt;/span&gt;&lt;/span&gt;</v>
      </c>
      <c r="S1198" s="13" t="str">
        <f>INDEX($L:$L, MATCH("sensible", $B:$B, 0))</f>
        <v>&lt;span class="w"&gt;&lt;b&gt;【1183.sensible：賢明な, 実用的な】&lt;/b&gt;&lt;/span&gt;
&lt;span class="ml"&gt;ラテン語に由来する語で、以下の2つの要素から成る。
&lt;span class="spacer"&gt;&lt;/span&gt;sentire（感じる）から派生したsensus（感覚）
bilis（できる）
&lt;span class="spacer"&gt;&lt;/span&gt;もともとは、感覚によって把握できるという物理的な知覚を表していた。そこから、精神（理性）で把握する能力があるという知的な意味へと変化して「賢明な」という意味になった。
&lt;span class="spacer"&gt;&lt;/span&gt;また、この賢明であるということから衣服や靴などについて、しっかり考えて作られており、機能的で理にかなっている＝「実用的な」という意味になった。
&lt;div class="sample_image sensible"&gt;&lt;/div&gt;&lt;/span&gt;</v>
      </c>
      <c r="T1198" s="13" t="str">
        <f>INDEX($L:$L, MATCH("consent", $B:$B, 0))</f>
        <v>&lt;span class="w"&gt;&lt;b&gt;【1275.consent：同意, 承諾】&lt;/b&gt;&lt;/span&gt;
&lt;span class="ml"&gt;ラテン語に由来する語で、以下の2つの要素から成る。
&lt;span class="spacer"&gt;&lt;/span&gt;con（共に）
sentire（感じる）
&lt;span class="spacer"&gt;&lt;/span&gt;このまま日本語にすると「共に感じる」となる。感情や判断が一致することから「同意, 承諾」という意味になった。&lt;/span&gt;</v>
      </c>
      <c r="U1198" s="13" t="str">
        <f>INDEX($L:$L, MATCH("consensus", $B:$B, 0))</f>
        <v>&lt;span class="w"&gt;&lt;b&gt;【1153.consensus：総意, 意見の一致】&lt;/b&gt;&lt;/span&gt;
&lt;span class="ml"&gt;ラテン語に由来する語で、以下の2つの要素から成る。
&lt;span class="spacer"&gt;&lt;/span&gt;con（共に）
sentire（感じる）
&lt;span class="spacer"&gt;&lt;/span&gt;このまま日本語にすると「共に感じる」となる。もともとは、生理学において、身体の異なる器官が連動して反応すること（交感・共鳴）を表した。その異なるもの同士の連動というニュアンスが、人間社会の集団に対して使われるようになり、集団における人々の考えの連動＝「総意, 意見の一致」という意味になった。
&lt;div class="sample_image consensus"&gt;&lt;/div&gt;&lt;/span&gt;</v>
      </c>
      <c r="V1198" s="13" t="str">
        <f>INDEX($L:$L, MATCH("scent", $B:$B, 0))</f>
        <v>&lt;span class="w"&gt;&lt;b&gt;【1156.scent：香り】&lt;/b&gt;&lt;/span&gt;
&lt;span class="ml"&gt;ラテン語sentire（感じる）に由来する。
&lt;span class="spacer"&gt;&lt;/span&gt;感覚の中でも嗅覚に関して使われ、もともとは狩猟において、猟犬が嗅ぎ取る獣のにおいを表した。そこから、空気中にただよう様々な印象的なにおいを表すようになり、一般的な「香り」という意味になった。
&lt;span class="spacer"&gt;&lt;/span&gt;scentのスペルには、本来cは存在しなかった。しかし後にscienceのような他のscというスペルに影響され、cが挿入された。つまり、本当はsense（感覚）に似たsentというスペルだった。&lt;/span&gt;</v>
      </c>
      <c r="AU1198" s="15"/>
      <c r="AV1198" s="1" t="s">
        <v>38</v>
      </c>
      <c r="BG1198" s="7" t="s">
        <v>1242</v>
      </c>
      <c r="BH1198" s="1" t="s">
        <v>1947</v>
      </c>
      <c r="BI1198" s="2" t="s">
        <v>6034</v>
      </c>
      <c r="BJ1198" s="1" t="s">
        <v>1877</v>
      </c>
      <c r="BK1198" s="2" t="s">
        <v>6035</v>
      </c>
    </row>
    <row r="1199" spans="1:67" ht="180" x14ac:dyDescent="0.45">
      <c r="A1199" s="5">
        <v>1198</v>
      </c>
      <c r="B1199" s="6" t="s">
        <v>936</v>
      </c>
      <c r="C1199" s="6" t="s">
        <v>6851</v>
      </c>
      <c r="D1199" s="7" t="s">
        <v>9752</v>
      </c>
      <c r="E1199" s="1" t="s">
        <v>6036</v>
      </c>
      <c r="F1199" s="1" t="s">
        <v>1551</v>
      </c>
      <c r="G1199" s="1"/>
      <c r="J1199" s="1" t="s">
        <v>9753</v>
      </c>
      <c r="K1199" s="1" t="s">
        <v>9642</v>
      </c>
      <c r="L1199" s="2" t="s">
        <v>9643</v>
      </c>
      <c r="P1199" s="7" t="s">
        <v>1241</v>
      </c>
      <c r="AU1199" s="15"/>
      <c r="AV1199" s="1" t="s">
        <v>38</v>
      </c>
      <c r="BG1199" s="7" t="s">
        <v>1242</v>
      </c>
      <c r="BH1199" s="1" t="s">
        <v>2458</v>
      </c>
      <c r="BI1199" s="2" t="s">
        <v>6037</v>
      </c>
      <c r="BJ1199" s="1" t="s">
        <v>1947</v>
      </c>
      <c r="BK1199" s="1" t="s">
        <v>6038</v>
      </c>
      <c r="BL1199" s="1" t="s">
        <v>1959</v>
      </c>
      <c r="BM1199" s="1" t="s">
        <v>6039</v>
      </c>
      <c r="BN1199" s="1" t="s">
        <v>1875</v>
      </c>
      <c r="BO1199" s="2" t="s">
        <v>6040</v>
      </c>
    </row>
    <row r="1200" spans="1:67" ht="162" x14ac:dyDescent="0.45">
      <c r="A1200" s="5">
        <v>1199</v>
      </c>
      <c r="B1200" s="6" t="s">
        <v>937</v>
      </c>
      <c r="C1200" s="6" t="s">
        <v>6851</v>
      </c>
      <c r="D1200" s="7" t="s">
        <v>9752</v>
      </c>
      <c r="E1200" s="1" t="s">
        <v>6041</v>
      </c>
      <c r="F1200" s="1" t="s">
        <v>1541</v>
      </c>
      <c r="G1200" s="1"/>
      <c r="J1200" s="1" t="s">
        <v>9753</v>
      </c>
      <c r="K1200" s="1" t="s">
        <v>6042</v>
      </c>
      <c r="L1200" s="2" t="s">
        <v>9644</v>
      </c>
      <c r="P1200" s="7" t="s">
        <v>1241</v>
      </c>
      <c r="AU1200" s="15"/>
      <c r="AV1200" s="1" t="s">
        <v>38</v>
      </c>
      <c r="BG1200" s="7" t="s">
        <v>1242</v>
      </c>
      <c r="BH1200" s="1" t="s">
        <v>1947</v>
      </c>
      <c r="BI1200" s="2" t="s">
        <v>6043</v>
      </c>
      <c r="BJ1200" s="1" t="s">
        <v>1959</v>
      </c>
      <c r="BK1200" s="1" t="s">
        <v>6044</v>
      </c>
      <c r="BL1200" s="1" t="s">
        <v>2114</v>
      </c>
      <c r="BM1200" s="1" t="s">
        <v>6045</v>
      </c>
      <c r="BN1200" s="1" t="s">
        <v>1875</v>
      </c>
      <c r="BO1200" s="2" t="s">
        <v>6046</v>
      </c>
    </row>
    <row r="1201" spans="1:67" ht="180" x14ac:dyDescent="0.45">
      <c r="A1201" s="5">
        <v>1200</v>
      </c>
      <c r="B1201" s="8" t="s">
        <v>938</v>
      </c>
      <c r="C1201" s="6" t="s">
        <v>6851</v>
      </c>
      <c r="D1201" s="7" t="s">
        <v>9752</v>
      </c>
      <c r="E1201" s="1" t="s">
        <v>27</v>
      </c>
      <c r="F1201" s="1" t="s">
        <v>5558</v>
      </c>
      <c r="G1201" s="1" t="s">
        <v>1920</v>
      </c>
      <c r="J1201" s="1" t="s">
        <v>9753</v>
      </c>
      <c r="K1201" s="1" t="s">
        <v>6047</v>
      </c>
      <c r="L1201" s="3" t="s">
        <v>9645</v>
      </c>
      <c r="M1201" s="1" t="s">
        <v>12159</v>
      </c>
      <c r="P1201" s="7" t="s">
        <v>1241</v>
      </c>
      <c r="Q1201" s="13" t="str">
        <f>INDEX($L:$L, MATCH("decline", $B:$B, 0))</f>
        <v>&lt;span class="w"&gt;&lt;b&gt;【136.decline：減少する, 衰退する, 断る】&lt;/b&gt;&lt;/span&gt;
&lt;span class="ml"&gt;ラテン語に由来する語で、以下の2つの要素から成る。
&lt;span class="spacer"&gt;&lt;/span&gt;de（離れて, 下へ）
clinare（傾ける, 曲げる）
&lt;span class="spacer"&gt;&lt;/span&gt;このまま日本語にすると「傾けて離す, 下へ傾く」となる。「傾けて離す」は何かを横へそらすイメージ。相手の要求やお願いを横へそらすことから「断る」という意味になる。また「下へ傾く」からは「減少する, 衰退する」という意味になる。
&lt;div class="sample_image decline"&gt;&lt;/div&gt;&lt;/span&gt;</v>
      </c>
      <c r="R1201" s="13" t="str">
        <f>INDEX($L:$L, MATCH("client", $B:$B, 0))</f>
        <v>&lt;span class="w"&gt;&lt;b&gt;【571.client：顧客, （弁護士などへの）依頼人】&lt;/b&gt;&lt;/span&gt;
&lt;span class="ml"&gt;ラテン語clinare（傾く）に関連するclientem（家臣, 従者）に由来する。
&lt;span class="spacer"&gt;&lt;/span&gt;この語の核は「他者に傾いて寄りかかる者」。ここから自分のことに関して誰かを頼る者を表し、弁護士などへの「依頼人」や、助言やサービスを依頼する「顧客」という意味になった。&lt;/span&gt;</v>
      </c>
      <c r="AU1201" s="15"/>
      <c r="AV1201" s="1" t="s">
        <v>38</v>
      </c>
      <c r="BG1201" s="7" t="s">
        <v>1242</v>
      </c>
      <c r="BH1201" s="1" t="s">
        <v>1947</v>
      </c>
      <c r="BI1201" s="2" t="s">
        <v>6048</v>
      </c>
      <c r="BJ1201" s="1" t="s">
        <v>1959</v>
      </c>
      <c r="BK1201" s="1" t="s">
        <v>6049</v>
      </c>
      <c r="BL1201" s="1" t="s">
        <v>1875</v>
      </c>
      <c r="BM1201" s="2" t="s">
        <v>6050</v>
      </c>
    </row>
    <row r="1202" spans="1:67" ht="144" x14ac:dyDescent="0.45">
      <c r="A1202" s="5">
        <v>1201</v>
      </c>
      <c r="B1202" s="8" t="s">
        <v>939</v>
      </c>
      <c r="C1202" s="6" t="s">
        <v>1816</v>
      </c>
      <c r="D1202" s="7" t="s">
        <v>9752</v>
      </c>
      <c r="E1202" s="1" t="s">
        <v>27</v>
      </c>
      <c r="F1202" s="1" t="s">
        <v>1250</v>
      </c>
      <c r="G1202" s="1"/>
      <c r="J1202" s="1" t="s">
        <v>9753</v>
      </c>
      <c r="L1202" s="3" t="s">
        <v>9646</v>
      </c>
      <c r="M1202" s="1" t="s">
        <v>12115</v>
      </c>
      <c r="P1202" s="7" t="s">
        <v>1241</v>
      </c>
      <c r="Q1202" s="13" t="str">
        <f>INDEX($L:$L, MATCH("offer", $B:$B, 0))</f>
        <v>&lt;span class="w"&gt;&lt;b&gt;【12.offer：～を提供する, ～を申し出る】&lt;/b&gt;&lt;/span&gt;
&lt;span class="ml"&gt;ラテン語に由来する語で、以下の2つの要素から成る。
&lt;span class="spacer"&gt;&lt;/span&gt;ob（～に対して）
ferre（運ぶ）
&lt;span class="spacer"&gt;&lt;/span&gt;このまま日本語にすると「～に対して運ぶ」となる。何かを相手に対して運ぶイメージから「提供する, 申し出る」という意味になる。&lt;/span&gt;</v>
      </c>
      <c r="R1202" s="13" t="str">
        <f>INDEX($L:$L, MATCH("refer", $B:$B, 0))</f>
        <v>&lt;span class="w"&gt;&lt;b&gt;【102.refer：言及する, 参照する】&lt;/b&gt;&lt;/span&gt;
&lt;span class="ml"&gt;ラテン語に由来する語で、以下の2つの要素から成る。
&lt;span class="spacer"&gt;&lt;/span&gt;re（戻る）
ferre（運ぶ）
&lt;span class="spacer"&gt;&lt;/span&gt;このまま日本語にすると「運んで戻る」となる。離れた場所にある情報を取りに行き、それを運んで戻って来ることから「参照する」という意味になる。
&lt;span class="spacer"&gt;&lt;/span&gt;また別の場所へ行って再び元の場所に戻るというイメージから、会話の中である話題に立ち寄る＝何かに「言及する」という意味になる。
&lt;div class="sample_image refer"&gt;&lt;/div&gt;&lt;/span&gt;</v>
      </c>
      <c r="S1202" s="13" t="str">
        <f>INDEX($L:$L, MATCH("prefer", $B:$B, 0))</f>
        <v>&lt;span class="w"&gt;&lt;b&gt;【123.prefer：～を好む】&lt;/b&gt;&lt;/span&gt;
&lt;span class="ml"&gt;ラテン語に由来する語で、以下の2つの要素から成る。
&lt;span class="spacer"&gt;&lt;/span&gt;prae（前に, 先に）
ferre（運ぶ）
&lt;span class="spacer"&gt;&lt;/span&gt;このまま日本語にすると「前に運ぶ」となる。他のものよりも前に出すことから、他よりも高く評価する、他のよりも何かを「好む」という意味になる。
&lt;div class="sample_image prefer"&gt;&lt;/div&gt;
&lt;span class="spacer"&gt;&lt;/span&gt;prefer A to B（AよりBを好む）では、比較の対象をtoで示す。これは「前へ運ぶ」が、何に対して前なのかを示すため。つまり、Bに対して（to B）Aを前に運ぶ（好む）ことを表している。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v>
      </c>
      <c r="T1202" s="13" t="str">
        <f>INDEX($L:$L, MATCH("suffer", $B:$B, 0))</f>
        <v>&lt;span class="w"&gt;&lt;b&gt;【138.suffer：苦しむ, 患う】&lt;/b&gt;&lt;/span&gt;
&lt;span class="ml"&gt;ラテン語に由来する語で、以下の2つの要素から成る。
&lt;span class="spacer"&gt;&lt;/span&gt;sub（下に）
ferre（運ぶ）
&lt;span class="spacer"&gt;&lt;/span&gt;このまま日本語にすると「下に運ぶ」となる。もともとは、物理的に重いものがのしかかることを表したが、そこからその苦しみの表現へ発展し、苦痛を受けて「苦しむ」や病気を「患う」という意味になった。
&lt;div class="sample_image suffer"&gt;&lt;/div&gt;&lt;/span&gt;</v>
      </c>
      <c r="U1202" s="13" t="str">
        <f>INDEX($L:$L, MATCH("differ", $B:$B, 0))</f>
        <v>&lt;span class="w"&gt;&lt;b&gt;【514.differ：異なる】&lt;/b&gt;&lt;/span&gt;
&lt;span class="ml"&gt;ラテン語に由来する語で、以下の2つの要素から成る。
&lt;span class="spacer"&gt;&lt;/span&gt;dis（離して）
ferre（運ぶ）
&lt;span class="spacer"&gt;&lt;/span&gt;このまま日本語にすると「離れて運ぶ」となる。もともとは別々の方向に運ぶというイメージ。そこから同じではない、つまり「異なる」という意味になる。&lt;/span&gt;</v>
      </c>
      <c r="V1202" s="13" t="str">
        <f>INDEX($L:$L, MATCH("transfer", $B:$B, 0))</f>
        <v>&lt;span class="w"&gt;&lt;b&gt;【611.transfer：〜を移す, 乗り換える】&lt;/b&gt;&lt;/span&gt;
&lt;span class="ml"&gt;ラテン語に由来する語で、以下の2つの要素から成る。
&lt;span class="spacer"&gt;&lt;/span&gt;trans（越えて）
ferre（運ぶ）
&lt;span class="spacer"&gt;&lt;/span&gt;このまま日本語にすると「越えて運ぶ」となる。これは、ある場所から越えた向こう側へ運ぶイメージ。そこから、物や人を一つの状態・場所・手段から別の状態・場所・手段に「移す」という意味になる。
&lt;div class="sample_image transfer"&gt;&lt;/div&gt;&lt;/span&gt;</v>
      </c>
      <c r="W1202" s="13" t="str">
        <f>INDEX($L:$L, MATCH("conference", $B:$B, 0))</f>
        <v>&lt;span class="w"&gt;&lt;b&gt;【461.conference：会議, 協議】&lt;/b&gt;&lt;/span&gt;
&lt;span class="ml"&gt;ラテン語に由来する語で、以下の2つの要素から成る。
&lt;span class="spacer"&gt;&lt;/span&gt;com（共に）
ferre（運ぶ）
&lt;span class="spacer"&gt;&lt;/span&gt;このまま日本語にすると「共に運ぶ」となる。これは、人々が意見や話題を持ち寄って集まるというイメージ。そこから、意見や問題を持ち寄って話し合う「会議, 協議」という意味になる。
&lt;div class="sample_image conference"&gt;&lt;/div&gt;&lt;/span&gt;</v>
      </c>
      <c r="X1202" s="13" t="str">
        <f>INDEX($L:$L, MATCH("indifferent", $B:$B, 0))</f>
        <v>&lt;span class="w"&gt;&lt;b&gt;【1091.indifferent：無関心な, どちらでもいい】&lt;/b&gt;&lt;/span&gt;
&lt;span class="ml"&gt;ラテン語に由来する語で、以下の3つの要素から成る。
&lt;span class="spacer"&gt;&lt;/span&gt;in（否定）
dis（離れて）
ferre（運ぶ）
&lt;span class="spacer"&gt;&lt;/span&gt;different（異なる）に否定のinが付いたと考えればよい。興味を引くような違いがない、違いがあったとしても気にしないというイメージから「無関心な, どちらでもいい」という意味になる。&lt;/span&gt;</v>
      </c>
      <c r="AU1202" s="15"/>
      <c r="AV1202" s="1" t="s">
        <v>38</v>
      </c>
      <c r="BG1202" s="7" t="s">
        <v>1242</v>
      </c>
      <c r="BH1202" s="1" t="s">
        <v>1947</v>
      </c>
      <c r="BI1202" s="2" t="s">
        <v>6051</v>
      </c>
      <c r="BJ1202" s="1" t="s">
        <v>1877</v>
      </c>
      <c r="BK1202" s="2" t="s">
        <v>6052</v>
      </c>
    </row>
    <row r="1203" spans="1:67" ht="72" x14ac:dyDescent="0.45">
      <c r="A1203" s="5">
        <v>1202</v>
      </c>
      <c r="B1203" s="8" t="s">
        <v>940</v>
      </c>
      <c r="C1203" s="6" t="s">
        <v>1816</v>
      </c>
      <c r="D1203" s="7" t="s">
        <v>9752</v>
      </c>
      <c r="E1203" s="1" t="s">
        <v>940</v>
      </c>
      <c r="F1203" s="1"/>
      <c r="G1203" s="1"/>
      <c r="J1203" s="1" t="s">
        <v>9753</v>
      </c>
      <c r="K1203" s="1" t="s">
        <v>9647</v>
      </c>
      <c r="L1203" s="2" t="s">
        <v>9648</v>
      </c>
      <c r="M1203" s="1" t="s">
        <v>12177</v>
      </c>
      <c r="P1203" s="7" t="s">
        <v>1241</v>
      </c>
      <c r="Q1203" s="13" t="str">
        <f>INDEX($L:$L, MATCH("estimate", $B:$B, 0))</f>
        <v>&lt;span class="w"&gt;&lt;b&gt;【220.estimate：～を推定する, ～を見積もる, ～を評価する】&lt;/b&gt;&lt;/span&gt;
&lt;span class="ml"&gt;ラテン語aestimare（価値を定める）に由来する。
&lt;span class="spacer"&gt;&lt;/span&gt;価値を定めることから「評価する」という意味になる。またおおまかな評価を行う場合は「見積る, 推定する」という意味になる。&lt;/span&gt;</v>
      </c>
      <c r="R1203" s="13" t="str">
        <f>INDEX($L:$L, MATCH("underestimate", $B:$B, 0))</f>
        <v>&lt;span class="w"&gt;&lt;b&gt;【1424.underestimate：〜を過小評価する】&lt;/b&gt;&lt;/span&gt;
&lt;span class="ml"&gt;近代英語にさかのぼり、以下の2つの要素から成る。
&lt;span class="spacer"&gt;&lt;/span&gt;under（下に）
estimate（見積もる）
&lt;span class="spacer"&gt;&lt;/span&gt;このまま日本語にすると「下に見積もる」すなわち「過小評価する」という意味になる。&lt;/span&gt;</v>
      </c>
      <c r="S1203" s="13" t="str">
        <f>INDEX($L:$L, MATCH("aim", $B:$B, 0))</f>
        <v>&lt;span class="w"&gt;&lt;b&gt;【273.aim：狙い, 目的, 目標】&lt;/b&gt;&lt;/span&gt;
&lt;span class="ml"&gt;ラテン語aestimare（価値をつける）に由来する。
&lt;span class="spacer"&gt;&lt;/span&gt;「価値をつける」とは、計算して対象の価値を決定するということ。このAを計算してBを決めるという行為から、目的や目標達成までの計算をして計画を作る、的までの距離や角度などを計算して狙うといった意味に発展する。そしてこの行為が名詞となり「狙い, 目的, 目標」といった意味になる。
&lt;span class="spacer"&gt;&lt;/span&gt;ラテン語aestimare（価値をつける）は、estimate（見積もる）やesteem（尊敬する）の語源でもある。
&lt;span class="spacer"&gt;&lt;/span&gt;estimateは価値をつけるための「見積もり」
esteemは価値を高くつける「尊敬」&lt;/span&gt;</v>
      </c>
      <c r="AV1203" s="1" t="s">
        <v>38</v>
      </c>
      <c r="BG1203" s="7" t="s">
        <v>1242</v>
      </c>
      <c r="BH1203" s="1" t="s">
        <v>1947</v>
      </c>
      <c r="BI1203" s="1" t="s">
        <v>6053</v>
      </c>
      <c r="BJ1203" s="1" t="s">
        <v>1959</v>
      </c>
      <c r="BK1203" s="1" t="s">
        <v>6054</v>
      </c>
      <c r="BL1203" s="1" t="s">
        <v>1875</v>
      </c>
      <c r="BM1203" s="2" t="s">
        <v>6055</v>
      </c>
      <c r="BN1203" s="1" t="s">
        <v>1877</v>
      </c>
      <c r="BO1203" s="2" t="s">
        <v>6056</v>
      </c>
    </row>
    <row r="1204" spans="1:67" ht="234" x14ac:dyDescent="0.45">
      <c r="A1204" s="5">
        <v>1203</v>
      </c>
      <c r="B1204" s="6" t="s">
        <v>941</v>
      </c>
      <c r="C1204" s="6" t="s">
        <v>1816</v>
      </c>
      <c r="D1204" s="7" t="s">
        <v>9752</v>
      </c>
      <c r="E1204" s="1" t="s">
        <v>941</v>
      </c>
      <c r="F1204" s="1"/>
      <c r="G1204" s="1"/>
      <c r="J1204" s="1" t="s">
        <v>9753</v>
      </c>
      <c r="K1204" s="1" t="s">
        <v>6057</v>
      </c>
      <c r="L1204" s="3" t="s">
        <v>9649</v>
      </c>
      <c r="P1204" s="7" t="s">
        <v>1241</v>
      </c>
      <c r="AV1204" s="1" t="s">
        <v>38</v>
      </c>
      <c r="BG1204" s="7" t="s">
        <v>1242</v>
      </c>
      <c r="BH1204" s="1" t="s">
        <v>6058</v>
      </c>
      <c r="BI1204" s="1" t="s">
        <v>6059</v>
      </c>
      <c r="BJ1204" s="1" t="s">
        <v>1875</v>
      </c>
      <c r="BK1204" s="2" t="s">
        <v>6060</v>
      </c>
      <c r="BL1204" s="1" t="s">
        <v>1877</v>
      </c>
      <c r="BM1204" s="2" t="s">
        <v>6061</v>
      </c>
    </row>
    <row r="1205" spans="1:67" ht="144" x14ac:dyDescent="0.45">
      <c r="A1205" s="5">
        <v>1204</v>
      </c>
      <c r="B1205" s="6" t="s">
        <v>942</v>
      </c>
      <c r="C1205" s="6" t="s">
        <v>1816</v>
      </c>
      <c r="D1205" s="7" t="s">
        <v>9752</v>
      </c>
      <c r="E1205" s="1" t="s">
        <v>942</v>
      </c>
      <c r="F1205" s="1"/>
      <c r="G1205" s="1"/>
      <c r="J1205" s="1" t="s">
        <v>9753</v>
      </c>
      <c r="K1205" s="1" t="s">
        <v>6062</v>
      </c>
      <c r="L1205" s="2" t="s">
        <v>9650</v>
      </c>
      <c r="M1205" s="1" t="s">
        <v>12152</v>
      </c>
      <c r="P1205" s="7" t="s">
        <v>1241</v>
      </c>
      <c r="Q1205" s="13" t="str">
        <f>INDEX($L:$L, MATCH("prevent", $B:$B, 0))</f>
        <v>&lt;span class="w"&gt;&lt;b&gt;【137.prevent：〜を妨げる, 〜を防ぐ】&lt;/b&gt;&lt;/span&gt;
&lt;span class="ml"&gt;ラテン語に由来する語で、以下の2つの要素から成る。
&lt;span class="spacer"&gt;&lt;/span&gt;prae（前に）
venire（来る）
&lt;span class="spacer"&gt;&lt;/span&gt;このまま日本語にすると「（時間的に）前に来る」となる。つまり何かが起こる、何かをするより先に来るということ。この先回りの行動が、先に行動して何かを阻止するという妨害と結びつき、「妨げる, 防ぐ」という意味になる。
&lt;div class="sample_image prevent"&gt;&lt;/div&gt;&lt;/span&gt;</v>
      </c>
      <c r="R1205" s="13" t="str">
        <f>INDEX($L:$L, MATCH("eventually", $B:$B, 0))</f>
        <v>&lt;span class="w"&gt;&lt;b&gt;【200.eventually：結局, 最終的に】&lt;/b&gt;&lt;/span&gt;
&lt;span class="ml"&gt;eventuallyは以下の4つの要素から成る。
&lt;span class="spacer"&gt;&lt;/span&gt;ex（外に：ラテン語）
venire（来る：ラテン語）
uel（形容詞化：古フランス語）
ly（副詞化：近代英語）
&lt;span class="spacer"&gt;&lt;/span&gt;もっとシンプルにすると
event＋ual＋lyとなる。
&lt;span class="spacer"&gt;&lt;/span&gt;「外に来る」は、様々な過程を経て何かが出てくること。つまり「最終的な結果, 出来事」を意味する。これが副詞となることで「結果的に, 結局, 最終的に」という意味になる。&lt;/span&gt;</v>
      </c>
      <c r="S1205" s="13" t="str">
        <f>INDEX($L:$L, MATCH("conventional", $B:$B, 0))</f>
        <v>&lt;span class="w"&gt;&lt;b&gt;【585.conventional：従来通りの, 型にはまった】&lt;/b&gt;&lt;/span&gt;
&lt;span class="ml"&gt;ラテン語に由来する語で、以下の4つの要素から成る。
&lt;span class="spacer"&gt;&lt;/span&gt;com（共に）
venire（来る）
io（名詞化）
alis（形容詞化）
&lt;span class="spacer"&gt;&lt;/span&gt;まずは「共に来ること」から、①人が集まること、②人が集まって形成される合意、③人が集まることで作られる暗黙のルール＝慣習という意味になる。
&lt;span class="spacer"&gt;&lt;/span&gt;慣習というのは、古くから受け継がれるもの。そこから昔から変わらない、つまり「従来通りの」という意味になる。また少しネガティブなニュアンスになると、新しさがなくて「型にはまった」という意味になる。
&lt;div class="sample_image conventional"&gt;&lt;/div&gt;&lt;/span&gt;</v>
      </c>
      <c r="T1205" s="13" t="str">
        <f>INDEX($L:$L, MATCH("revenue", $B:$B, 0))</f>
        <v>&lt;span class="w"&gt;&lt;b&gt;【1477.revenue：歳入, 収入】&lt;/b&gt;&lt;/span&gt;
&lt;span class="ml"&gt;ラテン語に由来する語で、以下の2つの要素から成る。
&lt;span class="spacer"&gt;&lt;/span&gt;re（後ろへ, 戻って）
venire（来る）
&lt;span class="spacer"&gt;&lt;/span&gt;この語の核は「戻ってくるもの」。お金を払って何かを手に入れ、それを使ってお金を得る、つまりお金が戻ってくることから「収入」という意味になった。またそこから、国家の一年間の収入＝「歳入」という意味にもなった。
&lt;div class="sample_image revenue"&gt;&lt;/div&gt;&lt;/span&gt;</v>
      </c>
      <c r="U1205" s="13" t="str">
        <f>INDEX($L:$L, MATCH("convenient", $B:$B, 0))</f>
        <v>&lt;span class="w"&gt;&lt;b&gt;【395.convenient：便利な, 都合のよい】&lt;/b&gt;&lt;/span&gt;
&lt;span class="ml"&gt;ラテン語に由来する語で、以下の2つの要素から成る。
&lt;span class="spacer"&gt;&lt;/span&gt;com（共に）
venire（来る）
&lt;span class="spacer"&gt;&lt;/span&gt;このまま日本語にすると「共に来る」となる。これは何かと何かが一緒に来てそろうイメージ。例えば、条件がそろう、何かを必要としている人とそれを不要としている人が一緒に来るなど。ここから「都合のよい, 便利な」という意味になる。&lt;/span&gt;</v>
      </c>
      <c r="V1205" s="13" t="str">
        <f>INDEX($L:$L, MATCH("achieve", $B:$B, 0))</f>
        <v>&lt;span class="w"&gt;&lt;b&gt;【118.achieve：～を達成する】&lt;/b&gt;&lt;/span&gt;
&lt;span class="ml"&gt;ラテン語に由来する語で、以下の3つの要素から成る。
&lt;span class="spacer"&gt;&lt;/span&gt;ad（～へ）
capt（頭）
venire（来る）
&lt;span class="spacer"&gt;&lt;/span&gt;このまま日本語にすると「頭へ来る」となる。頭は動物の体の端にあることから、端へ来る＝終わりに到達する＝何かを「達成する」という意味になる。
&lt;span class="spacer"&gt;&lt;/span&gt;ラテン語capt（頭）はcaptain（キャプテン）の語源でもある。&lt;/span&gt;</v>
      </c>
      <c r="AU1205" s="15"/>
      <c r="AV1205" s="1" t="s">
        <v>38</v>
      </c>
      <c r="BG1205" s="7" t="s">
        <v>1242</v>
      </c>
      <c r="BH1205" s="1" t="s">
        <v>1947</v>
      </c>
      <c r="BI1205" s="2" t="s">
        <v>6063</v>
      </c>
      <c r="BJ1205" s="1" t="s">
        <v>1959</v>
      </c>
      <c r="BK1205" s="2" t="s">
        <v>6064</v>
      </c>
      <c r="BL1205" s="1" t="s">
        <v>1875</v>
      </c>
      <c r="BM1205" s="2" t="s">
        <v>9651</v>
      </c>
      <c r="BN1205" s="1" t="s">
        <v>1877</v>
      </c>
      <c r="BO1205" s="2" t="s">
        <v>6065</v>
      </c>
    </row>
    <row r="1206" spans="1:67" ht="144" x14ac:dyDescent="0.45">
      <c r="A1206" s="5">
        <v>1205</v>
      </c>
      <c r="B1206" s="6" t="s">
        <v>943</v>
      </c>
      <c r="C1206" s="6" t="s">
        <v>1816</v>
      </c>
      <c r="D1206" s="7" t="s">
        <v>9752</v>
      </c>
      <c r="E1206" s="1" t="s">
        <v>1346</v>
      </c>
      <c r="F1206" s="6" t="s">
        <v>6066</v>
      </c>
      <c r="G1206" s="1"/>
      <c r="J1206" s="1" t="s">
        <v>9753</v>
      </c>
      <c r="K1206" s="1" t="s">
        <v>9652</v>
      </c>
      <c r="L1206" s="2" t="s">
        <v>9653</v>
      </c>
      <c r="P1206" s="7" t="s">
        <v>1241</v>
      </c>
      <c r="AU1206" s="15"/>
      <c r="AV1206" s="1" t="s">
        <v>38</v>
      </c>
      <c r="BG1206" s="7" t="s">
        <v>1242</v>
      </c>
      <c r="BH1206" s="1" t="s">
        <v>1947</v>
      </c>
      <c r="BI1206" s="2" t="s">
        <v>6067</v>
      </c>
      <c r="BJ1206" s="1" t="s">
        <v>1877</v>
      </c>
      <c r="BK1206" s="2" t="s">
        <v>6068</v>
      </c>
    </row>
    <row r="1207" spans="1:67" ht="144" x14ac:dyDescent="0.45">
      <c r="A1207" s="5">
        <v>1206</v>
      </c>
      <c r="B1207" s="6" t="s">
        <v>944</v>
      </c>
      <c r="C1207" s="6" t="s">
        <v>1816</v>
      </c>
      <c r="D1207" s="7" t="s">
        <v>9752</v>
      </c>
      <c r="E1207" s="1" t="s">
        <v>1346</v>
      </c>
      <c r="F1207" s="1" t="s">
        <v>6069</v>
      </c>
      <c r="G1207" s="1"/>
      <c r="J1207" s="1" t="s">
        <v>9753</v>
      </c>
      <c r="K1207" s="1" t="s">
        <v>6070</v>
      </c>
      <c r="L1207" s="2" t="s">
        <v>9654</v>
      </c>
      <c r="P1207" s="7" t="s">
        <v>1241</v>
      </c>
      <c r="Q1207" s="13" t="str">
        <f>INDEX($L:$L, MATCH("custom", $B:$B, 0))</f>
        <v>&lt;span class="w"&gt;&lt;b&gt;【371.custom：慣習, （customs）関税】&lt;/b&gt;&lt;/span&gt;
&lt;span class="ml"&gt;ラテン語に由来する語で、以下の2つの要素から成る。
&lt;span class="spacer"&gt;&lt;/span&gt;com（強意）
suescere（慣れる）
&lt;span class="spacer"&gt;&lt;/span&gt;このまま日本語にすると「しっかり慣れる」となる。しっかり慣れるように繰り返すことで「慣習」になる。また、特定の場所で商品を売り買いするときに慣習的に税が払われたことから「関税」や「税関」を指すようになった。
&lt;span class="spacer"&gt;&lt;/span&gt;customeと同じ語源にさかのぼる語にcostume（コスチューム）がある。costumeは習慣的に着る「服装」に特化したが、もともとは服装に限らず慣習を意味した。
&lt;span class="spacer"&gt;&lt;/span&gt;be accustomed to 名詞（〜するのに慣れている）も関連させて覚えておく。&lt;/span&gt;</v>
      </c>
      <c r="AU1207" s="15"/>
      <c r="AV1207" s="1" t="s">
        <v>38</v>
      </c>
      <c r="BG1207" s="7" t="s">
        <v>1242</v>
      </c>
      <c r="BH1207" s="1" t="s">
        <v>1947</v>
      </c>
      <c r="BI1207" s="2" t="s">
        <v>6071</v>
      </c>
      <c r="BJ1207" s="1" t="s">
        <v>1959</v>
      </c>
      <c r="BK1207" s="2" t="s">
        <v>6072</v>
      </c>
      <c r="BL1207" s="1" t="s">
        <v>1875</v>
      </c>
      <c r="BM1207" s="2" t="s">
        <v>6073</v>
      </c>
    </row>
    <row r="1208" spans="1:67" ht="144" x14ac:dyDescent="0.45">
      <c r="A1208" s="5">
        <v>1207</v>
      </c>
      <c r="B1208" s="6" t="s">
        <v>945</v>
      </c>
      <c r="C1208" s="6" t="s">
        <v>1816</v>
      </c>
      <c r="D1208" s="7" t="s">
        <v>9752</v>
      </c>
      <c r="E1208" s="1" t="s">
        <v>1621</v>
      </c>
      <c r="F1208" s="1" t="s">
        <v>6074</v>
      </c>
      <c r="G1208" s="1"/>
      <c r="J1208" s="1" t="s">
        <v>9753</v>
      </c>
      <c r="K1208" s="1" t="s">
        <v>9655</v>
      </c>
      <c r="L1208" s="2" t="s">
        <v>9656</v>
      </c>
      <c r="P1208" s="7" t="s">
        <v>1241</v>
      </c>
      <c r="AU1208" s="15"/>
      <c r="AV1208" s="1" t="s">
        <v>38</v>
      </c>
      <c r="BG1208" s="7" t="s">
        <v>1242</v>
      </c>
      <c r="BH1208" s="1" t="s">
        <v>1959</v>
      </c>
      <c r="BI1208" s="2" t="s">
        <v>6075</v>
      </c>
      <c r="BJ1208" s="1" t="s">
        <v>1875</v>
      </c>
      <c r="BK1208" s="2" t="s">
        <v>6076</v>
      </c>
      <c r="BL1208" s="1" t="s">
        <v>1877</v>
      </c>
      <c r="BM1208" s="2" t="s">
        <v>6077</v>
      </c>
    </row>
    <row r="1209" spans="1:67" ht="90" x14ac:dyDescent="0.45">
      <c r="A1209" s="5">
        <v>1208</v>
      </c>
      <c r="B1209" s="6" t="s">
        <v>946</v>
      </c>
      <c r="C1209" s="6" t="s">
        <v>1816</v>
      </c>
      <c r="D1209" s="7" t="s">
        <v>9752</v>
      </c>
      <c r="E1209" s="1" t="s">
        <v>6078</v>
      </c>
      <c r="F1209" s="1" t="s">
        <v>6079</v>
      </c>
      <c r="G1209" s="1"/>
      <c r="J1209" s="1" t="s">
        <v>9753</v>
      </c>
      <c r="K1209" s="1" t="s">
        <v>9664</v>
      </c>
      <c r="L1209" s="3" t="s">
        <v>9657</v>
      </c>
      <c r="P1209" s="7" t="s">
        <v>1241</v>
      </c>
      <c r="AU1209" s="15"/>
      <c r="AV1209" s="1" t="s">
        <v>38</v>
      </c>
      <c r="BG1209" s="7" t="s">
        <v>1242</v>
      </c>
      <c r="BH1209" s="1" t="s">
        <v>1976</v>
      </c>
      <c r="BI1209" s="2" t="s">
        <v>6080</v>
      </c>
      <c r="BJ1209" s="1" t="s">
        <v>1947</v>
      </c>
      <c r="BK1209" s="2" t="s">
        <v>6081</v>
      </c>
      <c r="BL1209" s="1" t="s">
        <v>1959</v>
      </c>
      <c r="BM1209" s="1" t="s">
        <v>6082</v>
      </c>
      <c r="BN1209" s="1" t="s">
        <v>1875</v>
      </c>
      <c r="BO1209" s="2" t="s">
        <v>6083</v>
      </c>
    </row>
    <row r="1210" spans="1:67" ht="180" x14ac:dyDescent="0.45">
      <c r="A1210" s="5">
        <v>1209</v>
      </c>
      <c r="B1210" s="6" t="s">
        <v>947</v>
      </c>
      <c r="C1210" s="6" t="s">
        <v>1816</v>
      </c>
      <c r="D1210" s="7" t="s">
        <v>9752</v>
      </c>
      <c r="E1210" s="1" t="s">
        <v>947</v>
      </c>
      <c r="F1210" s="1"/>
      <c r="G1210" s="1"/>
      <c r="J1210" s="1" t="s">
        <v>9753</v>
      </c>
      <c r="K1210" s="1" t="s">
        <v>9665</v>
      </c>
      <c r="L1210" s="3" t="s">
        <v>9666</v>
      </c>
      <c r="P1210" s="7" t="s">
        <v>1241</v>
      </c>
      <c r="AV1210" s="1" t="s">
        <v>38</v>
      </c>
      <c r="BG1210" s="7" t="s">
        <v>1242</v>
      </c>
      <c r="BH1210" s="1" t="s">
        <v>2912</v>
      </c>
      <c r="BI1210" s="1" t="s">
        <v>6084</v>
      </c>
      <c r="BJ1210" s="1" t="s">
        <v>1875</v>
      </c>
      <c r="BK1210" s="2" t="s">
        <v>6085</v>
      </c>
    </row>
    <row r="1211" spans="1:67" ht="108" x14ac:dyDescent="0.45">
      <c r="A1211" s="5">
        <v>1210</v>
      </c>
      <c r="B1211" s="6" t="s">
        <v>948</v>
      </c>
      <c r="C1211" s="6" t="s">
        <v>1816</v>
      </c>
      <c r="D1211" s="7" t="s">
        <v>9752</v>
      </c>
      <c r="E1211" s="1" t="s">
        <v>948</v>
      </c>
      <c r="F1211" s="1"/>
      <c r="G1211" s="1"/>
      <c r="J1211" s="1" t="s">
        <v>9753</v>
      </c>
      <c r="K1211" s="1" t="s">
        <v>6086</v>
      </c>
      <c r="L1211" s="2" t="s">
        <v>9667</v>
      </c>
      <c r="P1211" s="7" t="s">
        <v>1241</v>
      </c>
      <c r="Q1211" s="13" t="str">
        <f>INDEX($L:$L, MATCH("nutrition", $B:$B, 0))</f>
        <v>&lt;span class="w"&gt;&lt;b&gt;【1058.nutrition：栄養（の摂取）】&lt;/b&gt;&lt;/span&gt;
&lt;span class="ml"&gt;ラテン語に由来する語で、以下の2つの要素から成る。
&lt;span class="spacer"&gt;&lt;/span&gt;nutrire（養う, 乳を与える, 食べさせる）
io（名詞化）
&lt;span class="spacer"&gt;&lt;/span&gt;もともとは「栄養を与えること」を表したが、そこから与えられた栄養を取り入れること＝「栄養の摂取」や、与えられる「栄養」そのものを意味するようになった。
&lt;span class="spacer"&gt;&lt;/span&gt;nutritionのnutri部分は、nurse（看護師, 乳母）やnurture（育てる）と同じ語源にさかのぼる。&lt;/span&gt;</v>
      </c>
      <c r="AV1211" s="1" t="s">
        <v>38</v>
      </c>
      <c r="BG1211" s="7" t="s">
        <v>1242</v>
      </c>
      <c r="BH1211" s="1" t="s">
        <v>1947</v>
      </c>
      <c r="BI1211" s="1" t="s">
        <v>6087</v>
      </c>
      <c r="BJ1211" s="1" t="s">
        <v>2036</v>
      </c>
      <c r="BK1211" s="1" t="s">
        <v>6088</v>
      </c>
      <c r="BL1211" s="1" t="s">
        <v>1959</v>
      </c>
      <c r="BM1211" s="1" t="s">
        <v>6089</v>
      </c>
      <c r="BN1211" s="1" t="s">
        <v>1875</v>
      </c>
      <c r="BO1211" s="2" t="s">
        <v>6090</v>
      </c>
    </row>
    <row r="1212" spans="1:67" ht="72" x14ac:dyDescent="0.45">
      <c r="A1212" s="5">
        <v>1211</v>
      </c>
      <c r="B1212" s="6" t="s">
        <v>949</v>
      </c>
      <c r="C1212" s="6" t="s">
        <v>1816</v>
      </c>
      <c r="D1212" s="7" t="s">
        <v>9752</v>
      </c>
      <c r="E1212" s="1" t="s">
        <v>949</v>
      </c>
      <c r="F1212" s="1"/>
      <c r="G1212" s="1"/>
      <c r="J1212" s="1" t="s">
        <v>9753</v>
      </c>
      <c r="L1212" s="2" t="s">
        <v>9658</v>
      </c>
      <c r="P1212" s="7" t="s">
        <v>1241</v>
      </c>
      <c r="AU1212" s="15"/>
      <c r="AV1212" s="1" t="s">
        <v>38</v>
      </c>
      <c r="BG1212" s="7" t="s">
        <v>1242</v>
      </c>
      <c r="BH1212" s="1" t="s">
        <v>1877</v>
      </c>
      <c r="BI1212" s="2" t="s">
        <v>6091</v>
      </c>
    </row>
    <row r="1213" spans="1:67" ht="108" x14ac:dyDescent="0.45">
      <c r="A1213" s="5">
        <v>1212</v>
      </c>
      <c r="B1213" s="6" t="s">
        <v>950</v>
      </c>
      <c r="C1213" s="6" t="s">
        <v>1816</v>
      </c>
      <c r="D1213" s="7" t="s">
        <v>9752</v>
      </c>
      <c r="E1213" s="1" t="s">
        <v>950</v>
      </c>
      <c r="F1213" s="1"/>
      <c r="G1213" s="1"/>
      <c r="J1213" s="1" t="s">
        <v>9753</v>
      </c>
      <c r="L1213" s="2" t="s">
        <v>9659</v>
      </c>
      <c r="P1213" s="7" t="s">
        <v>1241</v>
      </c>
      <c r="AV1213" s="1" t="s">
        <v>38</v>
      </c>
      <c r="BG1213" s="7" t="s">
        <v>1242</v>
      </c>
      <c r="BH1213" s="1" t="s">
        <v>1872</v>
      </c>
      <c r="BI1213" s="1" t="s">
        <v>6092</v>
      </c>
      <c r="BJ1213" s="1" t="s">
        <v>1875</v>
      </c>
      <c r="BK1213" s="1" t="s">
        <v>6093</v>
      </c>
      <c r="BL1213" s="1" t="s">
        <v>1877</v>
      </c>
      <c r="BM1213" s="2" t="s">
        <v>6094</v>
      </c>
    </row>
    <row r="1214" spans="1:67" ht="72" x14ac:dyDescent="0.45">
      <c r="A1214" s="5">
        <v>1213</v>
      </c>
      <c r="B1214" s="6" t="s">
        <v>951</v>
      </c>
      <c r="C1214" s="6" t="s">
        <v>1816</v>
      </c>
      <c r="D1214" s="7" t="s">
        <v>9752</v>
      </c>
      <c r="E1214" s="1" t="s">
        <v>951</v>
      </c>
      <c r="F1214" s="1"/>
      <c r="G1214" s="1"/>
      <c r="J1214" s="1" t="s">
        <v>9753</v>
      </c>
      <c r="K1214" s="1" t="s">
        <v>6095</v>
      </c>
      <c r="L1214" s="2" t="s">
        <v>9660</v>
      </c>
      <c r="P1214" s="7" t="s">
        <v>1241</v>
      </c>
      <c r="AU1214" s="15"/>
      <c r="AV1214" s="1" t="s">
        <v>38</v>
      </c>
      <c r="BG1214" s="7" t="s">
        <v>1242</v>
      </c>
      <c r="BH1214" s="1" t="s">
        <v>1875</v>
      </c>
      <c r="BI1214" s="2" t="s">
        <v>6096</v>
      </c>
    </row>
    <row r="1215" spans="1:67" ht="108" x14ac:dyDescent="0.45">
      <c r="A1215" s="5">
        <v>1214</v>
      </c>
      <c r="B1215" s="6" t="s">
        <v>952</v>
      </c>
      <c r="C1215" s="6" t="s">
        <v>1816</v>
      </c>
      <c r="D1215" s="7" t="s">
        <v>9752</v>
      </c>
      <c r="E1215" s="1" t="s">
        <v>952</v>
      </c>
      <c r="F1215" s="1"/>
      <c r="G1215" s="1"/>
      <c r="J1215" s="1" t="s">
        <v>9753</v>
      </c>
      <c r="K1215" s="1" t="s">
        <v>9661</v>
      </c>
      <c r="L1215" s="2" t="s">
        <v>9662</v>
      </c>
      <c r="P1215" s="7" t="s">
        <v>1241</v>
      </c>
      <c r="Q1215" s="13" t="str">
        <f>INDEX($L:$L, MATCH("draw", $B:$B, 0))</f>
        <v>&lt;span class="w"&gt;&lt;b&gt;【112.draw：〜を引き出す, ～を引く, ～を描く】&lt;/b&gt;&lt;/span&gt;
&lt;span class="ml"&gt;古英語dragan（引く）にさかのぼる。
&lt;span class="spacer"&gt;&lt;/span&gt;「引く」という意味から「引き出す」や、線を引く＝「描く」という意味になる。&lt;/span&gt;</v>
      </c>
      <c r="R1215" s="13" t="str">
        <f>INDEX($L:$L, MATCH("withdraw", $B:$B, 0))</f>
        <v>&lt;span class="w"&gt;&lt;b&gt;【1218.withdraw：〜を引き出す, 撤退する, 撤回する】&lt;/b&gt;&lt;/span&gt;
&lt;span class="ml"&gt;古英語にさかのぼり、以下の2つの要素から成る。
&lt;span class="spacer"&gt;&lt;/span&gt;with（離れて）
drawan（引く）
&lt;span class="spacer"&gt;&lt;/span&gt;この語は、いまでは使われなくなったwithの古い意味「離れて」を保持している。この語の核は「引いて離す」。そこから、口座からお金を「引き出す」や、言葉や申請などを「撤回する」、軍隊などが「撤退する」といった意味になる。&lt;/span&gt;</v>
      </c>
      <c r="AV1215" s="1" t="s">
        <v>38</v>
      </c>
      <c r="BG1215" s="7" t="s">
        <v>1242</v>
      </c>
      <c r="BH1215" s="1" t="s">
        <v>1872</v>
      </c>
      <c r="BI1215" s="1" t="s">
        <v>6097</v>
      </c>
      <c r="BJ1215" s="1" t="s">
        <v>1875</v>
      </c>
      <c r="BK1215" s="2" t="s">
        <v>6098</v>
      </c>
      <c r="BL1215" s="1" t="s">
        <v>1877</v>
      </c>
      <c r="BM1215" s="2" t="s">
        <v>6099</v>
      </c>
    </row>
    <row r="1216" spans="1:67" ht="126" x14ac:dyDescent="0.45">
      <c r="A1216" s="5">
        <v>1215</v>
      </c>
      <c r="B1216" s="6" t="s">
        <v>953</v>
      </c>
      <c r="C1216" s="6" t="s">
        <v>1816</v>
      </c>
      <c r="D1216" s="7" t="s">
        <v>9752</v>
      </c>
      <c r="E1216" s="1" t="s">
        <v>953</v>
      </c>
      <c r="F1216" s="1"/>
      <c r="G1216" s="1"/>
      <c r="J1216" s="1" t="s">
        <v>9753</v>
      </c>
      <c r="K1216" s="1" t="s">
        <v>9668</v>
      </c>
      <c r="L1216" s="2" t="s">
        <v>9663</v>
      </c>
      <c r="P1216" s="7" t="s">
        <v>1241</v>
      </c>
      <c r="Q1216" s="13" t="str">
        <f>INDEX($L:$L, MATCH("forecast", $B:$B, 0))</f>
        <v>&lt;span class="w"&gt;&lt;b&gt;【1008.forecast：〜を予想する】&lt;/b&gt;&lt;/span&gt;
&lt;span class="ml"&gt;中英語にさかのぼる語で、以下の2つの要素から成る。
&lt;span class="spacer"&gt;&lt;/span&gt;fore（前に）
casten（投げる, 計算する, 考える）
&lt;span class="spacer"&gt;&lt;/span&gt;このforeはbefore / forwardのfor (e) と同じで時間的・空間的な「前」を表す。
&lt;span class="spacer"&gt;&lt;/span&gt;cast（投げる）は、物を移動させてある位置に置く動きから、比喩的に石を動かして計算する、物事を考えるとなった。
&lt;span class="spacer"&gt;&lt;/span&gt;この2つの要素が合わさって、先のことを計算したり考えたりする、つまり「予測する」という意味になった。&lt;/span&gt;</v>
      </c>
      <c r="AV1216" s="1" t="s">
        <v>38</v>
      </c>
      <c r="BG1216" s="7" t="s">
        <v>1242</v>
      </c>
      <c r="BH1216" s="1" t="s">
        <v>2110</v>
      </c>
      <c r="BI1216" s="1" t="s">
        <v>6100</v>
      </c>
      <c r="BJ1216" s="1" t="s">
        <v>1875</v>
      </c>
      <c r="BK1216" s="2" t="s">
        <v>6101</v>
      </c>
      <c r="BL1216" s="1" t="s">
        <v>1877</v>
      </c>
      <c r="BM1216" s="2" t="s">
        <v>6102</v>
      </c>
    </row>
    <row r="1217" spans="1:67" ht="144" x14ac:dyDescent="0.45">
      <c r="A1217" s="5">
        <v>1216</v>
      </c>
      <c r="B1217" s="6" t="s">
        <v>954</v>
      </c>
      <c r="C1217" s="6" t="s">
        <v>1816</v>
      </c>
      <c r="D1217" s="7" t="s">
        <v>9752</v>
      </c>
      <c r="E1217" s="1" t="s">
        <v>954</v>
      </c>
      <c r="F1217" s="1"/>
      <c r="G1217" s="1"/>
      <c r="J1217" s="1" t="s">
        <v>9753</v>
      </c>
      <c r="K1217" s="1" t="s">
        <v>6103</v>
      </c>
      <c r="L1217" s="3" t="s">
        <v>9669</v>
      </c>
      <c r="P1217" s="7" t="s">
        <v>1241</v>
      </c>
      <c r="AU1217" s="15"/>
      <c r="AV1217" s="1" t="s">
        <v>38</v>
      </c>
      <c r="BG1217" s="7" t="s">
        <v>1242</v>
      </c>
      <c r="BH1217" s="1" t="s">
        <v>1875</v>
      </c>
      <c r="BI1217" s="2" t="s">
        <v>6104</v>
      </c>
    </row>
    <row r="1218" spans="1:67" ht="234" x14ac:dyDescent="0.45">
      <c r="A1218" s="5">
        <v>1217</v>
      </c>
      <c r="B1218" s="8" t="s">
        <v>955</v>
      </c>
      <c r="C1218" s="6" t="s">
        <v>1816</v>
      </c>
      <c r="D1218" s="7" t="s">
        <v>9752</v>
      </c>
      <c r="E1218" s="1" t="s">
        <v>955</v>
      </c>
      <c r="F1218" s="1"/>
      <c r="G1218" s="1"/>
      <c r="J1218" s="1" t="s">
        <v>9753</v>
      </c>
      <c r="K1218" s="2" t="s">
        <v>9670</v>
      </c>
      <c r="L1218" s="3" t="s">
        <v>9671</v>
      </c>
      <c r="P1218" s="7" t="s">
        <v>1241</v>
      </c>
      <c r="Q1218" s="13" t="str">
        <f>INDEX($L:$L, MATCH("attempt", $B:$B, 0))</f>
        <v>&lt;span class="w"&gt;&lt;b&gt;【212.attempt：～を試みる, ～を企てる】&lt;/b&gt;&lt;/span&gt;
&lt;span class="ml"&gt;ラテン語に由来する語で、以下の2つの要素から成る。
&lt;span class="spacer"&gt;&lt;/span&gt;ad（～へ）
temptare（試す）
&lt;span class="spacer"&gt;&lt;/span&gt;ラテン語から意味の変化はほとんどない、動詞attemptは、tryに比べてフォーマルな表現。&lt;/span&gt;</v>
      </c>
      <c r="AV1218" s="1" t="s">
        <v>38</v>
      </c>
      <c r="BG1218" s="7" t="s">
        <v>1242</v>
      </c>
      <c r="BH1218" s="1" t="s">
        <v>1947</v>
      </c>
      <c r="BI1218" s="1" t="s">
        <v>6105</v>
      </c>
      <c r="BJ1218" s="1" t="s">
        <v>1959</v>
      </c>
      <c r="BK1218" s="2" t="s">
        <v>6106</v>
      </c>
      <c r="BL1218" s="1" t="s">
        <v>1875</v>
      </c>
      <c r="BM1218" s="2" t="s">
        <v>6107</v>
      </c>
    </row>
    <row r="1219" spans="1:67" ht="162" x14ac:dyDescent="0.45">
      <c r="A1219" s="5">
        <v>1218</v>
      </c>
      <c r="B1219" s="8" t="s">
        <v>956</v>
      </c>
      <c r="C1219" s="6" t="s">
        <v>1816</v>
      </c>
      <c r="D1219" s="7" t="s">
        <v>9752</v>
      </c>
      <c r="E1219" s="1" t="s">
        <v>6108</v>
      </c>
      <c r="F1219" s="1" t="s">
        <v>1129</v>
      </c>
      <c r="G1219" s="1"/>
      <c r="J1219" s="1" t="s">
        <v>9753</v>
      </c>
      <c r="K1219" s="2" t="s">
        <v>6109</v>
      </c>
      <c r="L1219" s="2" t="s">
        <v>9672</v>
      </c>
      <c r="P1219" s="7" t="s">
        <v>1241</v>
      </c>
      <c r="Q1219" s="13" t="str">
        <f>INDEX($L:$L, MATCH("draw", $B:$B, 0))</f>
        <v>&lt;span class="w"&gt;&lt;b&gt;【112.draw：〜を引き出す, ～を引く, ～を描く】&lt;/b&gt;&lt;/span&gt;
&lt;span class="ml"&gt;古英語dragan（引く）にさかのぼる。
&lt;span class="spacer"&gt;&lt;/span&gt;「引く」という意味から「引き出す」や、線を引く＝「描く」という意味になる。&lt;/span&gt;</v>
      </c>
      <c r="R1219" s="13" t="str">
        <f>INDEX($L:$L, MATCH("drag", $B:$B, 0))</f>
        <v>&lt;span class="w"&gt;&lt;b&gt;【1214.drag：〜を引きずる】&lt;/b&gt;&lt;/span&gt;
&lt;span class="ml"&gt;古英語dragan（引く）にさかのぼる。もともとは鉤縄や足、尻尾などを地面に擦り付けながら引っ張ることを表し、そこから何かを「引きずる」という意味になった。
&lt;span class="spacer"&gt;&lt;/span&gt;dragは、draw（引く, 線を引く）と同じ語源から生まれた語。drawがスッと引くイメージなのに対し、dragはズルズル引くイメージ。&lt;/span&gt;</v>
      </c>
      <c r="AU1219" s="15"/>
      <c r="AV1219" s="1" t="s">
        <v>38</v>
      </c>
      <c r="BG1219" s="7" t="s">
        <v>1242</v>
      </c>
      <c r="BH1219" s="1" t="s">
        <v>1872</v>
      </c>
      <c r="BI1219" s="2" t="s">
        <v>6110</v>
      </c>
      <c r="BJ1219" s="1" t="s">
        <v>1875</v>
      </c>
      <c r="BK1219" s="2" t="s">
        <v>6111</v>
      </c>
      <c r="BL1219" s="1" t="s">
        <v>1877</v>
      </c>
      <c r="BM1219" s="2" t="s">
        <v>6112</v>
      </c>
    </row>
    <row r="1220" spans="1:67" ht="108" x14ac:dyDescent="0.45">
      <c r="A1220" s="5">
        <v>1219</v>
      </c>
      <c r="B1220" s="6" t="s">
        <v>957</v>
      </c>
      <c r="C1220" s="6" t="s">
        <v>1816</v>
      </c>
      <c r="D1220" s="7" t="s">
        <v>9752</v>
      </c>
      <c r="E1220" s="1" t="s">
        <v>957</v>
      </c>
      <c r="F1220" s="1"/>
      <c r="G1220" s="1"/>
      <c r="J1220" s="1" t="s">
        <v>9753</v>
      </c>
      <c r="K1220" s="1" t="s">
        <v>6113</v>
      </c>
      <c r="L1220" s="2" t="s">
        <v>9673</v>
      </c>
      <c r="P1220" s="7" t="s">
        <v>1241</v>
      </c>
      <c r="AV1220" s="1" t="s">
        <v>38</v>
      </c>
      <c r="BG1220" s="7" t="s">
        <v>1242</v>
      </c>
      <c r="BH1220" s="1" t="s">
        <v>1872</v>
      </c>
      <c r="BI1220" s="1" t="s">
        <v>6114</v>
      </c>
      <c r="BJ1220" s="1" t="s">
        <v>1875</v>
      </c>
      <c r="BK1220" s="2" t="s">
        <v>6115</v>
      </c>
    </row>
    <row r="1221" spans="1:67" ht="144" x14ac:dyDescent="0.45">
      <c r="A1221" s="5">
        <v>1220</v>
      </c>
      <c r="B1221" s="6" t="s">
        <v>958</v>
      </c>
      <c r="C1221" s="6" t="s">
        <v>1816</v>
      </c>
      <c r="D1221" s="7" t="s">
        <v>9752</v>
      </c>
      <c r="E1221" s="1" t="s">
        <v>958</v>
      </c>
      <c r="F1221" s="1"/>
      <c r="G1221" s="1"/>
      <c r="J1221" s="1" t="s">
        <v>9753</v>
      </c>
      <c r="K1221" s="1" t="s">
        <v>6116</v>
      </c>
      <c r="L1221" s="2" t="s">
        <v>9674</v>
      </c>
      <c r="P1221" s="7" t="s">
        <v>1241</v>
      </c>
      <c r="AV1221" s="1" t="s">
        <v>38</v>
      </c>
      <c r="BG1221" s="7" t="s">
        <v>1242</v>
      </c>
      <c r="BH1221" s="1" t="s">
        <v>1872</v>
      </c>
      <c r="BI1221" s="1" t="s">
        <v>6117</v>
      </c>
      <c r="BJ1221" s="1" t="s">
        <v>1877</v>
      </c>
      <c r="BK1221" s="2" t="s">
        <v>6118</v>
      </c>
    </row>
    <row r="1222" spans="1:67" ht="108" x14ac:dyDescent="0.45">
      <c r="A1222" s="5">
        <v>1221</v>
      </c>
      <c r="B1222" s="6" t="s">
        <v>959</v>
      </c>
      <c r="C1222" s="6" t="s">
        <v>1816</v>
      </c>
      <c r="D1222" s="7" t="s">
        <v>9752</v>
      </c>
      <c r="E1222" s="1" t="s">
        <v>959</v>
      </c>
      <c r="F1222" s="1"/>
      <c r="G1222" s="1"/>
      <c r="J1222" s="1" t="s">
        <v>9753</v>
      </c>
      <c r="L1222" s="3" t="s">
        <v>9958</v>
      </c>
      <c r="P1222" s="7" t="s">
        <v>1241</v>
      </c>
      <c r="AV1222" s="1" t="s">
        <v>38</v>
      </c>
      <c r="BG1222" s="7" t="s">
        <v>1242</v>
      </c>
      <c r="BH1222" s="1" t="s">
        <v>1872</v>
      </c>
      <c r="BI1222" s="1" t="s">
        <v>6119</v>
      </c>
      <c r="BJ1222" s="1" t="s">
        <v>1875</v>
      </c>
      <c r="BK1222" s="1" t="s">
        <v>6120</v>
      </c>
    </row>
    <row r="1223" spans="1:67" ht="144" x14ac:dyDescent="0.45">
      <c r="A1223" s="5">
        <v>1222</v>
      </c>
      <c r="B1223" s="6" t="s">
        <v>960</v>
      </c>
      <c r="C1223" s="6" t="s">
        <v>1816</v>
      </c>
      <c r="D1223" s="7" t="s">
        <v>9752</v>
      </c>
      <c r="E1223" s="1" t="s">
        <v>960</v>
      </c>
      <c r="F1223" s="1"/>
      <c r="G1223" s="1"/>
      <c r="J1223" s="1" t="s">
        <v>9753</v>
      </c>
      <c r="L1223" s="2" t="s">
        <v>9675</v>
      </c>
      <c r="P1223" s="7" t="s">
        <v>1241</v>
      </c>
      <c r="AV1223" s="1" t="s">
        <v>38</v>
      </c>
      <c r="BG1223" s="7" t="s">
        <v>1242</v>
      </c>
      <c r="BH1223" s="1" t="s">
        <v>1872</v>
      </c>
      <c r="BI1223" s="1" t="s">
        <v>6121</v>
      </c>
      <c r="BJ1223" s="1" t="s">
        <v>1875</v>
      </c>
      <c r="BK1223" s="2" t="s">
        <v>6122</v>
      </c>
      <c r="BL1223" s="1" t="s">
        <v>1877</v>
      </c>
      <c r="BM1223" s="2" t="s">
        <v>6123</v>
      </c>
      <c r="BN1223" s="1" t="s">
        <v>3496</v>
      </c>
      <c r="BO1223" s="2" t="s">
        <v>6124</v>
      </c>
    </row>
    <row r="1224" spans="1:67" ht="180" x14ac:dyDescent="0.45">
      <c r="A1224" s="5">
        <v>1223</v>
      </c>
      <c r="B1224" s="6" t="s">
        <v>961</v>
      </c>
      <c r="C1224" s="6" t="s">
        <v>1816</v>
      </c>
      <c r="D1224" s="7" t="s">
        <v>9752</v>
      </c>
      <c r="E1224" s="6" t="s">
        <v>961</v>
      </c>
      <c r="F1224" s="1"/>
      <c r="G1224" s="1"/>
      <c r="J1224" s="1" t="s">
        <v>9753</v>
      </c>
      <c r="L1224" s="3" t="s">
        <v>9676</v>
      </c>
      <c r="P1224" s="7" t="s">
        <v>1241</v>
      </c>
      <c r="AU1224" s="15"/>
      <c r="AV1224" s="1" t="s">
        <v>38</v>
      </c>
      <c r="BG1224" s="7" t="s">
        <v>1242</v>
      </c>
      <c r="BH1224" s="1" t="s">
        <v>1947</v>
      </c>
      <c r="BI1224" s="2" t="s">
        <v>9677</v>
      </c>
      <c r="BJ1224" s="1" t="s">
        <v>1877</v>
      </c>
      <c r="BK1224" s="2" t="s">
        <v>6125</v>
      </c>
    </row>
    <row r="1225" spans="1:67" ht="144" x14ac:dyDescent="0.45">
      <c r="A1225" s="5">
        <v>1224</v>
      </c>
      <c r="B1225" s="6" t="s">
        <v>962</v>
      </c>
      <c r="C1225" s="6" t="s">
        <v>1816</v>
      </c>
      <c r="D1225" s="7" t="s">
        <v>9752</v>
      </c>
      <c r="E1225" s="1" t="s">
        <v>27</v>
      </c>
      <c r="F1225" s="1" t="s">
        <v>5069</v>
      </c>
      <c r="G1225" s="1"/>
      <c r="J1225" s="1" t="s">
        <v>9753</v>
      </c>
      <c r="L1225" s="3" t="s">
        <v>9678</v>
      </c>
      <c r="P1225" s="7" t="s">
        <v>1241</v>
      </c>
      <c r="AU1225" s="15"/>
      <c r="AV1225" s="1" t="s">
        <v>38</v>
      </c>
      <c r="BG1225" s="7" t="s">
        <v>1242</v>
      </c>
      <c r="BH1225" s="1" t="s">
        <v>1947</v>
      </c>
      <c r="BI1225" s="2" t="s">
        <v>6126</v>
      </c>
      <c r="BJ1225" s="1" t="s">
        <v>1996</v>
      </c>
      <c r="BK1225" s="1" t="s">
        <v>6127</v>
      </c>
      <c r="BL1225" s="1" t="s">
        <v>1877</v>
      </c>
      <c r="BM1225" s="2" t="s">
        <v>6128</v>
      </c>
    </row>
    <row r="1226" spans="1:67" ht="144" x14ac:dyDescent="0.45">
      <c r="A1226" s="5">
        <v>1225</v>
      </c>
      <c r="B1226" s="8" t="s">
        <v>963</v>
      </c>
      <c r="C1226" s="6" t="s">
        <v>1816</v>
      </c>
      <c r="D1226" s="7" t="s">
        <v>9752</v>
      </c>
      <c r="E1226" s="1" t="s">
        <v>1447</v>
      </c>
      <c r="F1226" s="1" t="s">
        <v>60</v>
      </c>
      <c r="G1226" s="1"/>
      <c r="J1226" s="1" t="s">
        <v>9753</v>
      </c>
      <c r="L1226" s="2" t="s">
        <v>9679</v>
      </c>
      <c r="M1226" s="1" t="s">
        <v>12122</v>
      </c>
      <c r="P1226" s="7" t="s">
        <v>1241</v>
      </c>
      <c r="Q1226" s="13" t="str">
        <f>INDEX($L:$L, MATCH("comfort", $B:$B, 0))</f>
        <v>&lt;span class="w"&gt;&lt;b&gt;【468.comfort：快適さ, 慰め】&lt;/b&gt;&lt;/span&gt;
&lt;span class="ml"&gt;ラテン語に由来する語で、以下の2つの要素から成る。
&lt;span class="spacer"&gt;&lt;/span&gt;com（強意）
fortis（強い）
&lt;span class="spacer"&gt;&lt;/span&gt;このまま日本語にすると「大いに強くする」となる。これは、苦痛の中にいる相手を力づけて、精神的に強くいられるようにするイメージ。そこから、人を安心させる「慰め」や、不安や苦痛のない「快適さ」という意味になる。
&lt;div class="sample_image comfort"&gt;&lt;/div&gt;&lt;/span&gt;</v>
      </c>
      <c r="R1226" s="13" t="str">
        <f>INDEX($L:$L, MATCH("force", $B:$B, 0))</f>
        <v>&lt;span class="w"&gt;&lt;b&gt;【22.force：強いる】&lt;/b&gt;&lt;/span&gt;
&lt;span class="ml"&gt;ラテン語fortis（力強い）に由来する。
&lt;span class="spacer"&gt;&lt;/span&gt;「力強い」から名詞の「力」、さらに力を使って何かをする＝「強いる・強制する」という動詞になる。&lt;/span&gt;</v>
      </c>
      <c r="S1226" s="13" t="str">
        <f>INDEX($L:$L, MATCH("reinforce", $B:$B, 0))</f>
        <v>&lt;span class="w"&gt;&lt;b&gt;【1107.reinforce：〜を強化する, 〜を補強する】&lt;/b&gt;&lt;/span&gt;
&lt;span class="ml"&gt;中英語から近代英語にさかのぼり、以下の3つの要素から成る。
&lt;span class="spacer"&gt;&lt;/span&gt;re（再び）
en（中に）
force（力）
&lt;span class="spacer"&gt;&lt;/span&gt;このまま日本語にすると「再び力を入れる」となる。そこから「強化する, 補強する」という意味になる。&lt;/span&gt;</v>
      </c>
      <c r="AU1226" s="15"/>
      <c r="AV1226" s="1" t="s">
        <v>38</v>
      </c>
      <c r="BG1226" s="7" t="s">
        <v>1242</v>
      </c>
      <c r="BH1226" s="1" t="s">
        <v>1875</v>
      </c>
      <c r="BI1226" s="2" t="s">
        <v>6129</v>
      </c>
      <c r="BJ1226" s="1" t="s">
        <v>1877</v>
      </c>
      <c r="BK1226" s="2" t="s">
        <v>6130</v>
      </c>
    </row>
    <row r="1227" spans="1:67" ht="162" x14ac:dyDescent="0.45">
      <c r="A1227" s="5">
        <v>1226</v>
      </c>
      <c r="B1227" s="6" t="s">
        <v>964</v>
      </c>
      <c r="C1227" s="6" t="s">
        <v>1816</v>
      </c>
      <c r="D1227" s="7" t="s">
        <v>9752</v>
      </c>
      <c r="E1227" s="1" t="s">
        <v>964</v>
      </c>
      <c r="F1227" s="1"/>
      <c r="G1227" s="1"/>
      <c r="J1227" s="1" t="s">
        <v>9753</v>
      </c>
      <c r="K1227" s="1" t="s">
        <v>6131</v>
      </c>
      <c r="L1227" s="3" t="s">
        <v>9680</v>
      </c>
      <c r="P1227" s="7" t="s">
        <v>1241</v>
      </c>
      <c r="AV1227" s="1" t="s">
        <v>38</v>
      </c>
      <c r="BG1227" s="7" t="s">
        <v>1242</v>
      </c>
      <c r="BH1227" s="1" t="s">
        <v>1959</v>
      </c>
      <c r="BI1227" s="1" t="s">
        <v>6132</v>
      </c>
      <c r="BJ1227" s="1" t="s">
        <v>1875</v>
      </c>
      <c r="BK1227" s="2" t="s">
        <v>6133</v>
      </c>
    </row>
    <row r="1228" spans="1:67" ht="108" x14ac:dyDescent="0.45">
      <c r="A1228" s="5">
        <v>1227</v>
      </c>
      <c r="B1228" s="6" t="s">
        <v>965</v>
      </c>
      <c r="C1228" s="6" t="s">
        <v>1816</v>
      </c>
      <c r="D1228" s="7" t="s">
        <v>9752</v>
      </c>
      <c r="E1228" s="1" t="s">
        <v>965</v>
      </c>
      <c r="F1228" s="1"/>
      <c r="G1228" s="1"/>
      <c r="J1228" s="1" t="s">
        <v>9753</v>
      </c>
      <c r="L1228" s="2" t="s">
        <v>9681</v>
      </c>
      <c r="P1228" s="7" t="s">
        <v>1241</v>
      </c>
      <c r="AU1228" s="15"/>
      <c r="AV1228" s="1" t="s">
        <v>38</v>
      </c>
      <c r="BG1228" s="7" t="s">
        <v>1242</v>
      </c>
      <c r="BH1228" s="1" t="s">
        <v>3999</v>
      </c>
      <c r="BI1228" s="2" t="s">
        <v>6134</v>
      </c>
      <c r="BJ1228" s="1" t="s">
        <v>1872</v>
      </c>
      <c r="BK1228" s="1" t="s">
        <v>6135</v>
      </c>
      <c r="BL1228" s="1" t="s">
        <v>1875</v>
      </c>
      <c r="BM1228" s="1" t="s">
        <v>6136</v>
      </c>
      <c r="BN1228" s="1" t="s">
        <v>1877</v>
      </c>
      <c r="BO1228" s="2" t="s">
        <v>6137</v>
      </c>
    </row>
    <row r="1229" spans="1:67" ht="126" x14ac:dyDescent="0.45">
      <c r="A1229" s="5">
        <v>1228</v>
      </c>
      <c r="B1229" s="8" t="s">
        <v>966</v>
      </c>
      <c r="C1229" s="6" t="s">
        <v>1816</v>
      </c>
      <c r="D1229" s="7" t="s">
        <v>9752</v>
      </c>
      <c r="E1229" s="1" t="s">
        <v>4309</v>
      </c>
      <c r="F1229" s="1" t="s">
        <v>6138</v>
      </c>
      <c r="G1229" s="1"/>
      <c r="J1229" s="1" t="s">
        <v>9753</v>
      </c>
      <c r="K1229" s="3" t="s">
        <v>6139</v>
      </c>
      <c r="L1229" s="3" t="s">
        <v>9682</v>
      </c>
      <c r="M1229" s="1" t="s">
        <v>12127</v>
      </c>
      <c r="P1229" s="7" t="s">
        <v>1241</v>
      </c>
      <c r="Q1229" s="13" t="str">
        <f>INDEX($L:$L, MATCH("depend", $B:$B, 0))</f>
        <v>&lt;span class="w"&gt;&lt;b&gt;【36.depend：頼る, ～次第である】&lt;/b&gt;&lt;/span&gt;
&lt;span class="ml"&gt;ラテン語に由来する語で、以下の2つの要素から成る。
&lt;span class="spacer"&gt;&lt;/span&gt;de（下に）
pendere（ぶら下がる）
&lt;span class="spacer"&gt;&lt;/span&gt;このまま日本語にすると「下にぶら下がる」となる。ある対象をつかんでぶら下がる
というイメージから、対象に「頼る」という意味になる。
&lt;span class="spacer"&gt;&lt;/span&gt;対象頼みということは、ぶら下がっている対象によってその後どうなるかが決まる。そのため「～次第である」という意味になる。
&lt;div class="sample_image depend"&gt;&lt;/div&gt;&lt;/span&gt;</v>
      </c>
      <c r="R1229" s="13" t="str">
        <f>INDEX($L:$L, MATCH("independent", $B:$B, 0))</f>
        <v>&lt;span class="w"&gt;&lt;b&gt;【295.independent：独立している】&lt;/b&gt;&lt;/span&gt;
&lt;span class="ml"&gt;近代英語にできた語で、以下の2つの要素から成る。
&lt;span class="spacer"&gt;&lt;/span&gt;in（否定）
dependent（依存している）
&lt;span class="spacer"&gt;&lt;/span&gt;independentは「相手にぶら下がっていない」というイメージ。相手に依存せず自分で立っている、つまり「独立している」という意味になる。&lt;/span&gt;</v>
      </c>
      <c r="S1229" s="13" t="str">
        <f>INDEX($L:$L, MATCH("expense", $B:$B, 0))</f>
        <v>&lt;span class="w"&gt;&lt;b&gt;【545.expense：経費, 費用, 犠牲】&lt;/b&gt;&lt;/span&gt;
&lt;span class="ml"&gt;ラテン語に由来する語で、以下の2つの要素から成る。
&lt;span class="spacer"&gt;&lt;/span&gt;ex（外に）
pendere（吊るす）
&lt;span class="spacer"&gt;&lt;/span&gt;このまま日本語にすると「外に吊るすもの」となる。当時はお金を天秤に吊るし、重さを量ることで支払いが行われたことから、外に吊るすものは支払われるものを表す。ここから「費用, 経費」という意味になった。
&lt;span class="spacer"&gt;&lt;/span&gt;また、お金を支払うことから意味が広がり、時間や労力、健康などの目に見えない価値あるものを支払うことから「犠牲」という意味にもなった。
&lt;span class="spacer"&gt;&lt;/span&gt;expenseから生まれた形容詞がexpensive（高価な）なので、関連させて覚えるとよい。&lt;/span&gt;</v>
      </c>
      <c r="T1229" s="13" t="str">
        <f>INDEX($L:$L, MATCH("pension", $B:$B, 0))</f>
        <v>&lt;span class="w"&gt;&lt;b&gt;【1246.pension：年金】&lt;/b&gt;&lt;/span&gt;
&lt;span class="ml"&gt;ラテン語に由来する語で、以下の2つの要素から成る。
&lt;span class="spacer"&gt;&lt;/span&gt;pendere（吊るす, 量る, 支払う）
io（名詞化）
&lt;span class="spacer"&gt;&lt;/span&gt;このまま日本語にすると「吊るすこと」となる。古代ローマでは、現代のようにお金に書かれた金額を信じるのではなく、金貨や銀貨などを天秤に吊るし、その重さで価値を決めて支払っていた。そこから吊るすという行為が、支払うという行為につながった。
&lt;span class="spacer"&gt;&lt;/span&gt;当初は報酬や手当といった定期的な支払いを表したが、時代が下り、過去の勤務や奉仕に対する定期的な支払い、すなわち「年金」という意味になった。
&lt;div class="sample_image pension"&gt;&lt;/div&gt;&lt;/span&gt;</v>
      </c>
      <c r="U1229" s="13" t="str">
        <f>INDEX($L:$L, MATCH("compensate", $B:$B, 0))</f>
        <v>&lt;span class="w"&gt;&lt;b&gt;【1338.compensate：補償する, 埋め合わせる】&lt;/b&gt;&lt;/span&gt;
&lt;span class="ml"&gt;ラテン語に由来する語で、以下の2つの要素から成る。
&lt;span class="spacer"&gt;&lt;/span&gt;com（共に）
pendere（吊るす, 重さを量る, 支払う）
&lt;span class="spacer"&gt;&lt;/span&gt;このまま日本語にすると「共に吊るす」となる。これは、天秤の両側に物を載せて釣り合わせ、重さを量るイメージ。そこから、誰かが被った損失や被害（マイナス）を天秤の片方に載せ、もう片方に、それと釣り合うだけの金銭や代替物（プラス）を載せてバランスをとる、すなわち何かに対して「補償する, 埋め合わせる」という意味になった。
&lt;div class="sample_image compensate"&gt;&lt;/div&gt;&lt;/span&gt;</v>
      </c>
      <c r="V1229" s="13" t="str">
        <f>INDEX($L:$L, MATCH("indispensable", $B:$B, 0))</f>
        <v>&lt;span class="w"&gt;&lt;b&gt;【1383.indispensable：不可欠な】&lt;/b&gt;&lt;/span&gt;
&lt;span class="ml"&gt;ラテン語に由来する語で、以下の3つの要素から成る。
&lt;span class="spacer"&gt;&lt;/span&gt;in（否定）
dispensare（免除を与える）
bilis（～できる）
&lt;span class="spacer"&gt;&lt;/span&gt;indispensableの意味を理解するには、まず動詞dispense（配る, なしで済ませる）から覚える必要がある。
&lt;span class="spacer"&gt;&lt;/span&gt;&lt;strong&gt;［dispenseの語源］&lt;/strong&gt;
英語dispense（配る, なしで済ませる）の語源であるラテン語dispensare（免除の許可を与える）は、dis（離れて）＋pendere（吊るす）に由来する。
&lt;span class="spacer"&gt;&lt;/span&gt;昔はお金を支払う際、天秤にお金を吊るして重さを量り、必要な分を分けて与えていたため、ラテン語dispensareは、お金を支払うこと・何かを管理して分け与えることを表した。それが英語dispenseには「配る」という意味で残っている。
&lt;span class="spacer"&gt;&lt;/span&gt;また、管理して何かを分け与えるという意味が、当時の教会や法律の文脈において、対象に義務や罰からの免除を与えるという意味で使われるようになった。そのため、英語dispenseは「なしで済ませる」という意味を持っている。
&lt;span class="spacer"&gt;&lt;/span&gt;&lt;strong&gt;［dispensableとindispensableへ］&lt;/strong&gt;
ラテン語dispensare （免除を与える）にbills（〜できる）が付くことで、免除を与えることができる、つまり「何かをなしで済ませることができる」となる（英語dispensable）。
&lt;span class="spacer"&gt;&lt;/span&gt;さらにそこにin（否定）が付くことで、免除できない、すなわち「それなしでは済ませられない」＝「不可欠な」という意味になる（英語indispensable）。&lt;/span&gt;</v>
      </c>
      <c r="AU1229" s="15"/>
      <c r="AV1229" s="1" t="s">
        <v>38</v>
      </c>
      <c r="BG1229" s="7" t="s">
        <v>1242</v>
      </c>
      <c r="BH1229" s="1" t="s">
        <v>1947</v>
      </c>
      <c r="BI1229" s="2" t="s">
        <v>9683</v>
      </c>
      <c r="BJ1229" s="1" t="s">
        <v>1959</v>
      </c>
      <c r="BK1229" s="2" t="s">
        <v>6140</v>
      </c>
      <c r="BL1229" s="1" t="s">
        <v>1875</v>
      </c>
      <c r="BM1229" s="2" t="s">
        <v>6141</v>
      </c>
      <c r="BN1229" s="1" t="s">
        <v>1877</v>
      </c>
      <c r="BO1229" s="2" t="s">
        <v>6142</v>
      </c>
    </row>
    <row r="1230" spans="1:67" ht="252" x14ac:dyDescent="0.45">
      <c r="A1230" s="5">
        <v>1229</v>
      </c>
      <c r="B1230" s="6" t="s">
        <v>967</v>
      </c>
      <c r="C1230" s="6" t="s">
        <v>1816</v>
      </c>
      <c r="D1230" s="7" t="s">
        <v>9752</v>
      </c>
      <c r="E1230" s="1" t="s">
        <v>967</v>
      </c>
      <c r="F1230" s="1"/>
      <c r="G1230" s="1"/>
      <c r="J1230" s="1" t="s">
        <v>9753</v>
      </c>
      <c r="K1230" s="1" t="s">
        <v>9684</v>
      </c>
      <c r="L1230" s="2" t="s">
        <v>9685</v>
      </c>
      <c r="P1230" s="7" t="s">
        <v>1241</v>
      </c>
      <c r="AU1230" s="15"/>
      <c r="AV1230" s="1" t="s">
        <v>38</v>
      </c>
      <c r="BG1230" s="7" t="s">
        <v>1242</v>
      </c>
      <c r="BH1230" s="1" t="s">
        <v>1875</v>
      </c>
      <c r="BI1230" s="2" t="s">
        <v>6143</v>
      </c>
      <c r="BJ1230" s="1" t="s">
        <v>1877</v>
      </c>
      <c r="BK1230" s="2" t="s">
        <v>6144</v>
      </c>
    </row>
    <row r="1231" spans="1:67" ht="126" x14ac:dyDescent="0.45">
      <c r="A1231" s="5">
        <v>1230</v>
      </c>
      <c r="B1231" s="6" t="s">
        <v>968</v>
      </c>
      <c r="C1231" s="6" t="s">
        <v>1816</v>
      </c>
      <c r="D1231" s="7" t="s">
        <v>9752</v>
      </c>
      <c r="E1231" s="1" t="s">
        <v>5375</v>
      </c>
      <c r="F1231" s="1" t="s">
        <v>6145</v>
      </c>
      <c r="G1231" s="1"/>
      <c r="J1231" s="1" t="s">
        <v>9753</v>
      </c>
      <c r="L1231" s="2" t="s">
        <v>9686</v>
      </c>
      <c r="P1231" s="7" t="s">
        <v>1241</v>
      </c>
      <c r="AU1231" s="15"/>
      <c r="AV1231" s="1" t="s">
        <v>38</v>
      </c>
      <c r="BG1231" s="7" t="s">
        <v>1242</v>
      </c>
      <c r="BH1231" s="1" t="s">
        <v>1872</v>
      </c>
      <c r="BI1231" s="2" t="s">
        <v>6146</v>
      </c>
      <c r="BJ1231" s="1" t="s">
        <v>1875</v>
      </c>
      <c r="BK1231" s="1" t="s">
        <v>6147</v>
      </c>
    </row>
    <row r="1232" spans="1:67" ht="144" x14ac:dyDescent="0.45">
      <c r="A1232" s="5">
        <v>1231</v>
      </c>
      <c r="B1232" s="8" t="s">
        <v>969</v>
      </c>
      <c r="C1232" s="6" t="s">
        <v>1816</v>
      </c>
      <c r="D1232" s="7" t="s">
        <v>9752</v>
      </c>
      <c r="E1232" s="1" t="s">
        <v>1251</v>
      </c>
      <c r="F1232" s="1" t="s">
        <v>6148</v>
      </c>
      <c r="G1232" s="1"/>
      <c r="J1232" s="1" t="s">
        <v>9753</v>
      </c>
      <c r="L1232" s="3" t="s">
        <v>9687</v>
      </c>
      <c r="M1232" s="1" t="s">
        <v>12133</v>
      </c>
      <c r="P1232" s="7" t="s">
        <v>1241</v>
      </c>
      <c r="Q1232" s="13" t="str">
        <f>INDEX($L:$L, MATCH("view", $B:$B, 0))</f>
        <v>&lt;span class="w"&gt;&lt;b&gt;【54.view：眺め, 見解】&lt;/b&gt;&lt;/span&gt;
&lt;span class="ml"&gt;ラテン語videre（見る）に由来する。
&lt;span class="spacer"&gt;&lt;/span&gt;見るという動詞から「眺め」という名詞になった。また視覚的に見えるものから発展して「見解, 考え」という意味になる。
&lt;span class="spacer"&gt;&lt;/span&gt;日本語でも考え方や思考力が独特な人に対して「見ている世界が違う」と表現することがあるように、視覚と思考は密接に結びついている。
&lt;span class="spacer"&gt;&lt;/span&gt;印欧祖語*weid-（見る）から生まれた語は、おおむね視覚系の意味と思考系の意味に分かれる。
&lt;span class="spacer"&gt;&lt;/span&gt;視覚系：video, visit, vision, evidence
&lt;span class="spacer"&gt;&lt;/span&gt;思考系：wise, wisdom, wit, advice
&lt;span class="spacer"&gt;&lt;/span&gt;しかし完全にどちらかに分かれるわけではく、viewのように視覚系の意味「眺め」と、思考系の意味「見解」を持つことがある。
&lt;span class="spacer"&gt;&lt;/span&gt;視覚と思考が結びついていることは、see（見る）とI see（なるほど, 理解）からもわかる。&lt;/span&gt;</v>
      </c>
      <c r="R1232" s="13" t="str">
        <f>INDEX($L:$L, MATCH("review", $B:$B, 0))</f>
        <v>&lt;span class="w"&gt;&lt;b&gt;【454.review：論評, 復習】&lt;/b&gt;&lt;/span&gt;
&lt;span class="ml"&gt;ラテン語に由来する語で、以下の2つの要素から成る。
&lt;span class="spacer"&gt;&lt;/span&gt;re（再び）
videre（見る）
&lt;span class="spacer"&gt;&lt;/span&gt;このまま日本語にすると「再び見る」となる。15世紀半ばには、軍事において、訓練を繰り返し見てその有効性を評価することを表した。そこから書籍や何かを評価すること＝「論評」という意味になる。
&lt;span class="spacer"&gt;&lt;/span&gt;また過去を繰り返し振り返ることから「復習」という意味にもなる。&lt;/span&gt;</v>
      </c>
      <c r="S1232" s="13" t="str">
        <f>INDEX($L:$L, MATCH("advise", $B:$B, 0))</f>
        <v>&lt;span class="w"&gt;&lt;b&gt;【620.advise：〜に/を助言（忠告）する】&lt;/b&gt;&lt;/span&gt;
&lt;span class="ml"&gt;ラテン語videre（見る）から派生した名詞visum（見解）に由来する。
&lt;span class="spacer"&gt;&lt;/span&gt;「見る」ことから「見解」という思考系の意味に派生することは、seeとI see.（なるほど）の関係からわかる。見ることと知ることは密接に結びついている。
&lt;span class="spacer"&gt;&lt;/span&gt;「見解」から自分の見解を出すという行為になって、「助言する, 忠告する」という意味になった。&lt;/span&gt;</v>
      </c>
      <c r="T1232" s="13" t="str">
        <f>INDEX($L:$L, MATCH("visible", $B:$B, 0))</f>
        <v>&lt;span class="w"&gt;&lt;b&gt;【593.visible：目に見える】&lt;/b&gt;&lt;/span&gt;
&lt;span class="ml"&gt;ラテン語に由来する語で、以下の2つの要素から成る。
&lt;span class="spacer"&gt;&lt;/span&gt;videre（見る）
bilis（できる）
&lt;span class="spacer"&gt;&lt;/span&gt;このまま日本語にすると「見ることができる」つまり「目に見える」という意味になる。&lt;/span&gt;</v>
      </c>
      <c r="U1232" s="13" t="str">
        <f>INDEX($L:$L, MATCH("visual", $B:$B, 0))</f>
        <v>&lt;span class="w"&gt;&lt;b&gt;【393.visual：視覚の, 目に見える】&lt;/b&gt;&lt;/span&gt;
&lt;span class="ml"&gt;ラテン語に由来する語で、以下の2つの要素から成る。
&lt;span class="spacer"&gt;&lt;/span&gt;videre（見る）
alis（形容詞化）
&lt;span class="spacer"&gt;&lt;/span&gt;見るという視覚に関する形容詞となり、「視覚の, 目に見える」という意味になる。&lt;/span&gt;</v>
      </c>
      <c r="V1232" s="13" t="str">
        <f>INDEX($L:$L, MATCH("evidence", $B:$B, 0))</f>
        <v>&lt;span class="w"&gt;&lt;b&gt;【74.evidence：証拠】&lt;/b&gt;&lt;/span&gt;
&lt;span class="ml"&gt;ラテン語に由来する語で、以下の2つの要素から成る。
&lt;span class="spacer"&gt;&lt;/span&gt;ex（外へ）
videre（見る）
&lt;span class="spacer"&gt;&lt;/span&gt;このまま日本語にすると「外に見える」となる。つまり隠れているのではなく「はっきり目に見える」というイメージ。ここからはっきり見える物＝明らかな物＝「証拠」という意味になる。
&lt;span class="spacer"&gt;&lt;/span&gt;「はっきり目に見える」というイメージを持っておくと、形容詞evidentが「明らかな」という意味になることも理解できる。&lt;/span&gt;</v>
      </c>
      <c r="W1232" s="13" t="str">
        <f>INDEX($L:$L, MATCH("survey", $B:$B, 0))</f>
        <v>&lt;span class="w"&gt;&lt;b&gt;【207.survey：～を調査する, ～を概観する】&lt;/b&gt;&lt;/span&gt;
&lt;span class="ml"&gt;ラテン語に由来する語で、以下の2つの要素から成る。
&lt;span class="spacer"&gt;&lt;/span&gt;super（上に, 超えて）
videre（見る）
&lt;span class="spacer"&gt;&lt;/span&gt;このまま日本語にすると「上から見る」となる。俯瞰視点で全体に目を配ることから「調査する, 概観する」という意味になる。
&lt;div class="sample_image survey"&gt;&lt;/div&gt;&lt;/span&gt;</v>
      </c>
      <c r="AU1232" s="15"/>
      <c r="AV1232" s="1" t="s">
        <v>38</v>
      </c>
      <c r="BG1232" s="7" t="s">
        <v>1242</v>
      </c>
      <c r="BH1232" s="1" t="s">
        <v>1947</v>
      </c>
      <c r="BI1232" s="2" t="s">
        <v>6149</v>
      </c>
      <c r="BJ1232" s="1" t="s">
        <v>1959</v>
      </c>
      <c r="BK1232" s="2" t="s">
        <v>6150</v>
      </c>
      <c r="BL1232" s="1" t="s">
        <v>1877</v>
      </c>
      <c r="BM1232" s="2" t="s">
        <v>6151</v>
      </c>
    </row>
    <row r="1233" spans="1:69" ht="144" x14ac:dyDescent="0.45">
      <c r="A1233" s="5">
        <v>1232</v>
      </c>
      <c r="B1233" s="6" t="s">
        <v>970</v>
      </c>
      <c r="C1233" s="6" t="s">
        <v>1816</v>
      </c>
      <c r="D1233" s="7" t="s">
        <v>9752</v>
      </c>
      <c r="E1233" s="1" t="s">
        <v>1251</v>
      </c>
      <c r="F1233" s="1" t="s">
        <v>6152</v>
      </c>
      <c r="G1233" s="1"/>
      <c r="J1233" s="1" t="s">
        <v>9753</v>
      </c>
      <c r="K1233" s="1" t="s">
        <v>9688</v>
      </c>
      <c r="L1233" s="2" t="s">
        <v>9689</v>
      </c>
      <c r="P1233" s="7" t="s">
        <v>1241</v>
      </c>
      <c r="Q1233" s="13" t="str">
        <f>INDEX($L:$L, MATCH("create", $B:$B, 0))</f>
        <v>&lt;span class="w"&gt;&lt;b&gt;【1.create：～を創造する, ～を引き起こす】&lt;/b&gt;&lt;/span&gt;
&lt;span class="ml"&gt;ラテン語creare（作る, 育てる, 生産する, 引き起こす）に由来する。
&lt;span class="spacer"&gt;&lt;/span&gt;ラテン語から意味の変化はほとんどなく、createは「何かを作り出す, 何かを引き起こす」という意味になる。&lt;/span&gt;</v>
      </c>
      <c r="R1233" s="13" t="str">
        <f>INDEX($L:$L, MATCH("increase", $B:$B, 0))</f>
        <v>&lt;span class="w"&gt;&lt;b&gt;【2.increase：増加する, ～を増やす】&lt;/b&gt;&lt;/span&gt;
&lt;span class="ml"&gt;ラテン語に由来する語で、以下の2つの要素から成る。
&lt;span class="spacer"&gt;&lt;/span&gt;in（中に）
crescere（成長する）
&lt;span class="spacer"&gt;&lt;/span&gt;このまま日本語にすると「中に成長する」となる。これは木の芽（の内部）が膨らんで大きくなっていくことをイメージしてほしい。この成長して膨らんで大きくなっていくことから、大きさや数が膨れあがる＝「増加する, 増やす」という意味になる。
&lt;div class="sample_image increase"&gt;&lt;/div&gt;&lt;/span&gt;</v>
      </c>
      <c r="S1233" s="13" t="str">
        <f>INDEX($L:$L, MATCH("decrease", $B:$B, 0))</f>
        <v>&lt;span class="w"&gt;&lt;b&gt;【223.decrease：減少する, ～を減らす】&lt;/b&gt;&lt;/span&gt;
&lt;span class="ml"&gt;ラテン語に由来する語で、以下の2つの要素から成る。
&lt;span class="spacer"&gt;&lt;/span&gt;de（離れて）
crescere（成長する）
&lt;span class="spacer"&gt;&lt;/span&gt;このまま日本語にすると「成長から離れる」となる。成長せず低下するイメージから「減少する, 減らす」という意味になる。&lt;/span&gt;</v>
      </c>
      <c r="T1233" s="13" t="str">
        <f>INDEX($L:$L, MATCH("cereal", $B:$B, 0))</f>
        <v>&lt;span class="w"&gt;&lt;b&gt;【1456.cereal：穀物, シリアル（穀物加工食品）】&lt;/b&gt;&lt;/span&gt;
&lt;span class="ml"&gt;ラテン語に由来する語で、以下の2つの要素から成る。
&lt;span class="spacer"&gt;&lt;/span&gt;Ceres（ローマ神話の農業や穀物の女神ケレス）
alis（形容詞化）
&lt;span class="spacer"&gt;&lt;/span&gt;もともとは、ローマ神話における農業や穀物の女神ケレスを表した。そこから「穀物」そのものや、穀物から作られる加工食品「シリアル」という意味になった。
&lt;div class="sample_image cereal"&gt;&lt;/div&gt;&lt;/span&gt;</v>
      </c>
      <c r="U1233" s="13" t="str">
        <f>INDEX($L:$L, MATCH("concrete", $B:$B, 0))</f>
        <v>&lt;span class="w"&gt;&lt;b&gt;【783.concrete：具体的な】&lt;/b&gt;&lt;/span&gt;
&lt;span class="ml"&gt;ラテン語に由来する語で、以下の2つの要素から成る。
&lt;span class="spacer"&gt;&lt;/span&gt;con（共に）
crescere（成長する）
&lt;span class="spacer"&gt;&lt;/span&gt;このまま日本語にすると「共に成長する」となる。これは、複数のものが一緒に成長して固まるというイメージ。そこから、抽象的ではなく実体がある＝「具体的な」という意味になった。名詞のコンクリートもぎゅっと固まるイメージを表している。
&lt;div class="sample_image concrete"&gt;&lt;/div&gt;&lt;/span&gt;</v>
      </c>
      <c r="AV1233" s="1" t="s">
        <v>38</v>
      </c>
      <c r="BG1233" s="7" t="s">
        <v>1242</v>
      </c>
      <c r="BH1233" s="1" t="s">
        <v>1947</v>
      </c>
      <c r="BI1233" s="1" t="s">
        <v>6153</v>
      </c>
      <c r="BJ1233" s="1" t="s">
        <v>1959</v>
      </c>
      <c r="BK1233" s="2" t="s">
        <v>6154</v>
      </c>
      <c r="BL1233" s="1" t="s">
        <v>1996</v>
      </c>
      <c r="BM1233" s="2" t="s">
        <v>6155</v>
      </c>
      <c r="BN1233" s="1" t="s">
        <v>1877</v>
      </c>
      <c r="BO1233" s="2" t="s">
        <v>6156</v>
      </c>
    </row>
    <row r="1234" spans="1:69" ht="126" x14ac:dyDescent="0.45">
      <c r="A1234" s="5">
        <v>1233</v>
      </c>
      <c r="B1234" s="6" t="s">
        <v>971</v>
      </c>
      <c r="C1234" s="6" t="s">
        <v>1816</v>
      </c>
      <c r="D1234" s="7" t="s">
        <v>9752</v>
      </c>
      <c r="E1234" s="6" t="s">
        <v>971</v>
      </c>
      <c r="F1234" s="1"/>
      <c r="G1234" s="1"/>
      <c r="J1234" s="1" t="s">
        <v>9753</v>
      </c>
      <c r="K1234" s="1" t="s">
        <v>9690</v>
      </c>
      <c r="L1234" s="3" t="s">
        <v>9691</v>
      </c>
      <c r="P1234" s="7" t="s">
        <v>1241</v>
      </c>
      <c r="AV1234" s="1" t="s">
        <v>38</v>
      </c>
      <c r="BG1234" s="7" t="s">
        <v>1242</v>
      </c>
      <c r="BH1234" s="1" t="s">
        <v>1976</v>
      </c>
      <c r="BI1234" s="1" t="s">
        <v>6157</v>
      </c>
      <c r="BJ1234" s="1" t="s">
        <v>1872</v>
      </c>
      <c r="BK1234" s="1" t="s">
        <v>6158</v>
      </c>
      <c r="BL1234" s="1" t="s">
        <v>1875</v>
      </c>
      <c r="BM1234" s="2" t="s">
        <v>6159</v>
      </c>
      <c r="BN1234" s="1" t="s">
        <v>1877</v>
      </c>
      <c r="BO1234" s="2" t="s">
        <v>6160</v>
      </c>
    </row>
    <row r="1235" spans="1:69" ht="126" x14ac:dyDescent="0.45">
      <c r="A1235" s="5">
        <v>1234</v>
      </c>
      <c r="B1235" s="6" t="s">
        <v>972</v>
      </c>
      <c r="C1235" s="6" t="s">
        <v>1816</v>
      </c>
      <c r="D1235" s="7" t="s">
        <v>9752</v>
      </c>
      <c r="E1235" s="6" t="s">
        <v>972</v>
      </c>
      <c r="F1235" s="1"/>
      <c r="G1235" s="1"/>
      <c r="J1235" s="1" t="s">
        <v>9753</v>
      </c>
      <c r="L1235" s="2" t="s">
        <v>9692</v>
      </c>
      <c r="P1235" s="7" t="s">
        <v>1241</v>
      </c>
      <c r="AV1235" s="1" t="s">
        <v>38</v>
      </c>
      <c r="BG1235" s="7" t="s">
        <v>1242</v>
      </c>
      <c r="BH1235" s="1" t="s">
        <v>1959</v>
      </c>
      <c r="BI1235" s="1" t="s">
        <v>6161</v>
      </c>
      <c r="BJ1235" s="1" t="s">
        <v>1875</v>
      </c>
      <c r="BK1235" s="2" t="s">
        <v>6162</v>
      </c>
    </row>
    <row r="1236" spans="1:69" ht="72" x14ac:dyDescent="0.45">
      <c r="A1236" s="5">
        <v>1235</v>
      </c>
      <c r="B1236" s="6" t="s">
        <v>973</v>
      </c>
      <c r="C1236" s="6" t="s">
        <v>1816</v>
      </c>
      <c r="D1236" s="7" t="s">
        <v>9752</v>
      </c>
      <c r="E1236" s="1" t="s">
        <v>973</v>
      </c>
      <c r="F1236" s="1"/>
      <c r="G1236" s="1"/>
      <c r="J1236" s="1" t="s">
        <v>9753</v>
      </c>
      <c r="L1236" s="2" t="s">
        <v>9693</v>
      </c>
      <c r="P1236" s="7" t="s">
        <v>1241</v>
      </c>
      <c r="AV1236" s="1" t="s">
        <v>38</v>
      </c>
      <c r="BG1236" s="7" t="s">
        <v>1242</v>
      </c>
      <c r="BH1236" s="1" t="s">
        <v>1872</v>
      </c>
      <c r="BI1236" s="1" t="s">
        <v>6163</v>
      </c>
      <c r="BJ1236" s="1" t="s">
        <v>1875</v>
      </c>
      <c r="BK1236" s="2" t="s">
        <v>6164</v>
      </c>
    </row>
    <row r="1237" spans="1:69" ht="108" x14ac:dyDescent="0.45">
      <c r="A1237" s="5">
        <v>1236</v>
      </c>
      <c r="B1237" s="6" t="s">
        <v>974</v>
      </c>
      <c r="C1237" s="6" t="s">
        <v>1816</v>
      </c>
      <c r="D1237" s="7" t="s">
        <v>9752</v>
      </c>
      <c r="E1237" s="1" t="s">
        <v>1941</v>
      </c>
      <c r="F1237" s="1" t="s">
        <v>1728</v>
      </c>
      <c r="G1237" s="1"/>
      <c r="J1237" s="1" t="s">
        <v>9753</v>
      </c>
      <c r="K1237" s="1" t="s">
        <v>6165</v>
      </c>
      <c r="L1237" s="2" t="s">
        <v>9694</v>
      </c>
      <c r="P1237" s="7" t="s">
        <v>1241</v>
      </c>
      <c r="AU1237" s="15"/>
      <c r="AV1237" s="1" t="s">
        <v>38</v>
      </c>
      <c r="BG1237" s="7" t="s">
        <v>1242</v>
      </c>
      <c r="BH1237" s="1" t="s">
        <v>1875</v>
      </c>
      <c r="BI1237" s="2" t="s">
        <v>6166</v>
      </c>
    </row>
    <row r="1238" spans="1:69" ht="216" x14ac:dyDescent="0.45">
      <c r="A1238" s="5">
        <v>1237</v>
      </c>
      <c r="B1238" s="8" t="s">
        <v>975</v>
      </c>
      <c r="C1238" s="6" t="s">
        <v>1816</v>
      </c>
      <c r="D1238" s="7" t="s">
        <v>9752</v>
      </c>
      <c r="E1238" s="1" t="s">
        <v>1413</v>
      </c>
      <c r="F1238" s="1" t="s">
        <v>6167</v>
      </c>
      <c r="G1238" s="1"/>
      <c r="J1238" s="1" t="s">
        <v>9753</v>
      </c>
      <c r="L1238" s="3" t="s">
        <v>9695</v>
      </c>
      <c r="M1238" s="1" t="s">
        <v>12155</v>
      </c>
      <c r="P1238" s="7" t="s">
        <v>1241</v>
      </c>
      <c r="Q1238" s="13" t="str">
        <f>INDEX($L:$L, MATCH("apply", $B:$B, 0))</f>
        <v>&lt;span class="w"&gt;&lt;b&gt;【127.apply：～を適用する, 申し込む】&lt;/b&gt;&lt;/span&gt;
&lt;span class="ml"&gt;ラテン語に由来する語で、以下の2つの要素から成る。
&lt;span class="spacer"&gt;&lt;/span&gt;ad（～へ）
plicare（折る）
&lt;span class="spacer"&gt;&lt;/span&gt;このまま日本語にすると「〜へ折り重ねる」となる。apply A to Bは、AをBにぴったり折り重ねるイメージから「AをBに適用する」となる。
&lt;span class="spacer"&gt;&lt;/span&gt;同様に、
S apply for 求めるもの
S apply to 求める相手
これでSを求めるものや求める相手に折り重ねるイメージから「Sは〜に申し込む」という意味になる。
&lt;div class="sample_image apply"&gt;&lt;/div&gt;&lt;/span&gt;</v>
      </c>
      <c r="R1238" s="13" t="str">
        <f>INDEX($L:$L, MATCH("imply", $B:$B, 0))</f>
        <v>&lt;span class="w"&gt;&lt;b&gt;【423.imply：〜を暗に意味する】&lt;/b&gt;&lt;/span&gt;
&lt;span class="ml"&gt;ラテン語に由来する語で、以下の2つの要素から成る。
&lt;span class="spacer"&gt;&lt;/span&gt;in（中に）
plicare（折る, 畳む）
&lt;span class="spacer"&gt;&lt;/span&gt;このまま日本語にすると「中に折る」となる。これは、何かを中に入れた状態で折りたたんで包み込むイメージ。そこから、言葉の中に直接は言わない意味を包み込むことを表し、「暗に意味する」という意味になる。
&lt;div class="sample_image imply"&gt;&lt;/div&gt;&lt;/span&gt;</v>
      </c>
      <c r="S1238" s="13" t="str">
        <f>INDEX($L:$L, MATCH("employ", $B:$B, 0))</f>
        <v>&lt;span class="w"&gt;&lt;b&gt;【517.employ：〜を雇う】&lt;/b&gt;&lt;/span&gt;
&lt;span class="ml"&gt;ラテン語に由来する語で、以下の2つの要素から成る。
&lt;span class="spacer"&gt;&lt;/span&gt;in（中に）
plicare（折る）
&lt;span class="spacer"&gt;&lt;/span&gt;このまま日本語にすると「中に折る」となる。これは、中に入れた状態で折りたたむイメージ。そこから、何らかの目的に巻き込む、事業に巻き込むことへと発展し、「雇う」という意味になった。
&lt;div class="sample_image employ"&gt;&lt;/div&gt;
&lt;span class="spacer"&gt;&lt;/span&gt;employは、implyと同じ語源にさかのぼる。
imply（暗に意味する）は中に折り込むという元のイメージをより保っている。
&lt;span class="spacer"&gt;&lt;/span&gt;employは元のイメージから発展して事業に巻き込む＝「雇う」になった。&lt;/span&gt;</v>
      </c>
      <c r="T1238" s="13" t="str">
        <f>INDEX($L:$L, MATCH("display", $B:$B, 0))</f>
        <v>&lt;span class="w"&gt;&lt;b&gt;【230.display：～を示す, ～を展示する】&lt;/b&gt;&lt;/span&gt;
&lt;span class="ml"&gt;ラテン語に由来する語で、以下の2つの要素から成る。
&lt;span class="spacer"&gt;&lt;/span&gt;dis（離れて）
plicare（折る）
&lt;span class="spacer"&gt;&lt;/span&gt;このまま日本語にすると「折られたものを離す」となる。折り紙を広げるようなイメージから、何かを展開する＝広げて見せる＝「展示する, 示す」という意味になる。&lt;/span&gt;</v>
      </c>
      <c r="U1238" s="13" t="str">
        <f>INDEX($L:$L, MATCH("complicate", $B:$B, 0))</f>
        <v>&lt;span class="w"&gt;&lt;b&gt;【1036.complicate：複雑にする】&lt;/b&gt;&lt;/span&gt;
&lt;span class="ml"&gt;ラテン語に由来する語で、以下の2つの要素から成る。
&lt;span class="spacer"&gt;&lt;/span&gt;com（共に）
plicare（折る）
&lt;span class="spacer"&gt;&lt;/span&gt;このまま日本語にすると「共に折る」となる。様々なものを一緒にして折り込むことで単純ではなく「複雑にする」という意味になる。&lt;/span&gt;</v>
      </c>
      <c r="V1238" s="13" t="str">
        <f>INDEX($L:$L, MATCH("complex", $B:$B, 0))</f>
        <v>&lt;span class="w"&gt;&lt;b&gt;【181.complex：複雑な】&lt;/b&gt;&lt;/span&gt;
&lt;span class="ml"&gt;ラテン語に由来する語で、以下の2つの要素から成る。
&lt;span class="spacer"&gt;&lt;/span&gt;com（共に）
plectere（編む）
&lt;span class="spacer"&gt;&lt;/span&gt;このまま日本語にすると「共に編む」となる。複数の要素が編み込まれて入り組んでいるイメージから「複雑な」という意味になる。
&lt;div class="sample_image complex"&gt;&lt;/div&gt;&lt;/span&gt;</v>
      </c>
      <c r="W1238" s="13" t="str">
        <f>INDEX($L:$L, MATCH("multiple", $B:$B, 0))</f>
        <v>&lt;span class="w"&gt;&lt;b&gt;【479.multiple：多様な】&lt;/b&gt;&lt;/span&gt;
&lt;span class="ml"&gt;ラテン語に由来する語で、以下の2つの要素から成る。
&lt;span class="spacer"&gt;&lt;/span&gt;multi（多数の）
plus（n倍, n重）
&lt;span class="spacer"&gt;&lt;/span&gt;このまま日本語にすると「多重の」となる。たくさん折り重なっているイメージから「多様な」という意味になる。
&lt;span class="spacer"&gt;&lt;/span&gt;-plus（n倍の, n重の）はラテン語plicare（折る, 重ねる）と関係がある。折り重ねることからn重という意味になる。ラテン語-plusは、以下の英語にも見られる。
&lt;span class="spacer"&gt;&lt;/span&gt;double（2倍, 2重）
dou（2）ble（-plus）
&lt;span class="spacer"&gt;&lt;/span&gt;triple（3倍, 3重）
tri（3）ple（-plus）&lt;/span&gt;</v>
      </c>
      <c r="AU1238" s="15"/>
      <c r="AV1238" s="1" t="s">
        <v>38</v>
      </c>
      <c r="BG1238" s="7" t="s">
        <v>1242</v>
      </c>
      <c r="BH1238" s="1" t="s">
        <v>1947</v>
      </c>
      <c r="BI1238" s="2" t="s">
        <v>6168</v>
      </c>
      <c r="BJ1238" s="1" t="s">
        <v>1959</v>
      </c>
      <c r="BK1238" s="2" t="s">
        <v>6169</v>
      </c>
      <c r="BL1238" s="1" t="s">
        <v>1875</v>
      </c>
      <c r="BM1238" s="2" t="s">
        <v>6170</v>
      </c>
      <c r="BN1238" s="1" t="s">
        <v>1877</v>
      </c>
      <c r="BO1238" s="2" t="s">
        <v>6171</v>
      </c>
    </row>
    <row r="1239" spans="1:69" ht="180" x14ac:dyDescent="0.45">
      <c r="A1239" s="5">
        <v>1238</v>
      </c>
      <c r="B1239" s="8" t="s">
        <v>976</v>
      </c>
      <c r="C1239" s="6" t="s">
        <v>1816</v>
      </c>
      <c r="D1239" s="7" t="s">
        <v>9752</v>
      </c>
      <c r="E1239" s="1" t="s">
        <v>29</v>
      </c>
      <c r="F1239" s="1" t="s">
        <v>5886</v>
      </c>
      <c r="G1239" s="1" t="s">
        <v>1517</v>
      </c>
      <c r="J1239" s="1" t="s">
        <v>9753</v>
      </c>
      <c r="L1239" s="3" t="s">
        <v>9696</v>
      </c>
      <c r="M1239" s="1" t="s">
        <v>12130</v>
      </c>
      <c r="P1239" s="7" t="s">
        <v>1241</v>
      </c>
      <c r="Q1239" s="13" t="str">
        <f>INDEX($L:$L, MATCH("supply", $B:$B, 0))</f>
        <v>&lt;span class="w"&gt;&lt;b&gt;【120.supply：～を供給する】&lt;/b&gt;&lt;/span&gt;
&lt;span class="ml"&gt;ラテン語に由来する語で、以下の2つの要素から成る。
&lt;span class="spacer"&gt;&lt;/span&gt;sub（下から）
plere（満たす）
&lt;span class="spacer"&gt;&lt;/span&gt;このまま日本語にすると「下から満たす」となる。減った分を下から補充して満たしていくイメージから、必要なものを「供給する」という意味になる。
&lt;div class="sample_image supply"&gt;&lt;/div&gt;
&lt;span class="spacer"&gt;&lt;/span&gt;supplyは不足している物資・資源・商品・エネルギーなどの補給で、ルートや方法が体系的に決まっているイメージ。&lt;/span&gt;</v>
      </c>
      <c r="R1239" s="13" t="str">
        <f>INDEX($L:$L, MATCH("supplement", $B:$B, 0))</f>
        <v>&lt;span class="w"&gt;&lt;b&gt;【1158.supplement：サプリメント, 栄養補助剤, 補足】&lt;/b&gt;&lt;/span&gt;
&lt;span class="ml"&gt;ラテン語に由来する語で、以下の3つの要素から成る。
&lt;span class="spacer"&gt;&lt;/span&gt;sub（下から上へ）
plere（満たす）
mentum（名詞化）
&lt;span class="spacer"&gt;&lt;/span&gt;このまま日本語にすると「満たすもの」となる。そこから足りない部分を満たす「サプリメント, 補足」という意味になった。&lt;/span&gt;</v>
      </c>
      <c r="S1239" s="13" t="str">
        <f>INDEX($L:$L, MATCH("complete", $B:$B, 0))</f>
        <v>&lt;span class="w"&gt;&lt;b&gt;【40.complete：～を完成させる】&lt;/b&gt;&lt;/span&gt;
&lt;span class="ml"&gt;ラテン語に由来する語で、以下の2つの要素から成る。
&lt;span class="spacer"&gt;&lt;/span&gt;com（強意）
plere（満たす）
&lt;span class="spacer"&gt;&lt;/span&gt;このまま日本語にすると「完全に満たす」となる。不足や欠陥などが一切なく完全に満たすイメージから「完成させる」という意味になる。&lt;/span&gt;</v>
      </c>
      <c r="T1239" s="13" t="str">
        <f>INDEX($L:$L, MATCH("accomplish", $B:$B, 0))</f>
        <v>&lt;span class="w"&gt;&lt;b&gt;【740.accomplish：〜を成し遂げる, 〜を達成する】&lt;/b&gt;&lt;/span&gt;
&lt;span class="ml"&gt;ラテン語に由来する語で、以下の3つの要素から成る。
&lt;span class="spacer"&gt;&lt;/span&gt;ad（〜へ）
com（強意）
plere（満たす）
&lt;span class="spacer"&gt;&lt;/span&gt;このまま日本語にすると「〜へ完全に満たす」となる。物理的に何かを完全に満たすことから発展して、最後までやり切って目標を果たす、つまり「成し遂げる, 達成する」という意味になる。&lt;/span&gt;</v>
      </c>
      <c r="U1239" s="13" t="str">
        <f>INDEX($L:$L, MATCH("compliment", $B:$B, 0))</f>
        <v>&lt;span class="w"&gt;&lt;b&gt;【1045.compliment：賛辞, お世辞, 表敬】&lt;/b&gt;&lt;/span&gt;
&lt;span class="ml"&gt;ラテン語に由来する語で、以下の3つの要素から成る。
&lt;span class="spacer"&gt;&lt;/span&gt;com（強意）
plere（満たす）
mentum（名詞化）
&lt;span class="spacer"&gt;&lt;/span&gt;このまま日本語にすると「完全に満たすこと」となる。これがヨーロッパの宮廷文化において、礼儀上の作法や社交上の要求を完全に満たすことを指すようになり、そこから相手に対して敬意を表すこと＝「表敬」、純粋な敬意の表現＝「賛辞」、形だけは敬意を表すが、実際は思ってもいないことを含む＝「お世辞」といった意味になった。
&lt;div class="sample_image compliment"&gt;&lt;/div&gt;&lt;/span&gt;</v>
      </c>
      <c r="AU1239" s="15"/>
      <c r="AV1239" s="1" t="s">
        <v>38</v>
      </c>
      <c r="BG1239" s="7" t="s">
        <v>1242</v>
      </c>
      <c r="BH1239" s="1" t="s">
        <v>1947</v>
      </c>
      <c r="BI1239" s="2" t="s">
        <v>6172</v>
      </c>
      <c r="BJ1239" s="1" t="s">
        <v>2036</v>
      </c>
      <c r="BK1239" s="2" t="s">
        <v>6173</v>
      </c>
      <c r="BL1239" s="1" t="s">
        <v>1875</v>
      </c>
      <c r="BM1239" s="2" t="s">
        <v>6174</v>
      </c>
      <c r="BN1239" s="1" t="s">
        <v>1877</v>
      </c>
      <c r="BO1239" s="2" t="s">
        <v>6175</v>
      </c>
    </row>
    <row r="1240" spans="1:69" ht="198" x14ac:dyDescent="0.45">
      <c r="A1240" s="5">
        <v>1239</v>
      </c>
      <c r="B1240" s="8" t="s">
        <v>977</v>
      </c>
      <c r="C1240" s="6" t="s">
        <v>1816</v>
      </c>
      <c r="D1240" s="7" t="s">
        <v>9752</v>
      </c>
      <c r="E1240" s="1" t="s">
        <v>27</v>
      </c>
      <c r="F1240" s="1" t="s">
        <v>6176</v>
      </c>
      <c r="G1240" s="1"/>
      <c r="J1240" s="1" t="s">
        <v>9753</v>
      </c>
      <c r="L1240" s="3" t="s">
        <v>9697</v>
      </c>
      <c r="M1240" s="1" t="s">
        <v>12158</v>
      </c>
      <c r="P1240" s="7" t="s">
        <v>1241</v>
      </c>
      <c r="Q1240" s="13" t="str">
        <f>INDEX($L:$L, MATCH("contact", $B:$B, 0))</f>
        <v>&lt;span class="w"&gt;&lt;b&gt;【131.contact：〜と連絡を取る, 接触する】&lt;/b&gt;&lt;/span&gt;
&lt;span class="ml"&gt;ラテン語に由来する語で、以下の2つの要素から成る。
&lt;span class="spacer"&gt;&lt;/span&gt;com（共に）
tangere（触れる）
&lt;span class="spacer"&gt;&lt;/span&gt;このまま日本語にすると「共に触れる」となる。誰かと誰かが直接触れるなら「接触する」となり、離れていたら「連絡を取る」となる。&lt;/span&gt;</v>
      </c>
      <c r="R1240" s="13" t="str">
        <f>INDEX($L:$L, MATCH("entire", $B:$B, 0))</f>
        <v>&lt;span class="w"&gt;&lt;b&gt;【285.entire：全体の, 全部の, 完全な】&lt;/b&gt;&lt;/span&gt;
&lt;span class="ml"&gt;ラテン語に由来する語で、以下の2つの要素から成る。
&lt;span class="spacer"&gt;&lt;/span&gt;in（否定）
tangere（触れる）
&lt;span class="spacer"&gt;&lt;/span&gt;このまま日本語にすると「触れられていない」となる。誰も触っていないから汚れておらず、何も失われていない完全な状態。ここから「全体の, 全部の, 完全な」という意味になる。&lt;/span&gt;</v>
      </c>
      <c r="S1240" s="13" t="str">
        <f>INDEX($L:$L, MATCH("attain", $B:$B, 0))</f>
        <v>&lt;span class="w"&gt;&lt;b&gt;【1406.attain：〜を達成する, 獲得する】&lt;/b&gt;&lt;/span&gt;
&lt;span class="ml"&gt;ラテン語に由来する語で、以下の2つの要素から成る。
&lt;span class="spacer"&gt;&lt;/span&gt;ad（〜へ）
tangere（触れる）
&lt;span class="spacer"&gt;&lt;/span&gt;このまま日本語にすると「何かへ触れる」となる。目標へ向かって手を伸ばして、ついに触れるというイメージから、何かを「獲得する」や目標を「達成する」という意味になる。
&lt;span class="spacer"&gt;&lt;/span&gt;obtain, contain, maintain, retainは、ラテン語tenere（保つ）に由来する。tainというスペルだが語源が異なる。
&lt;div class="sample_image attain"&gt;&lt;/div&gt;&lt;/span&gt;</v>
      </c>
      <c r="AU1240" s="15"/>
      <c r="AV1240" s="1" t="s">
        <v>38</v>
      </c>
      <c r="BG1240" s="7" t="s">
        <v>1242</v>
      </c>
      <c r="BH1240" s="1" t="s">
        <v>1947</v>
      </c>
      <c r="BI1240" s="2" t="s">
        <v>6177</v>
      </c>
      <c r="BJ1240" s="1" t="s">
        <v>1877</v>
      </c>
      <c r="BK1240" s="2" t="s">
        <v>6178</v>
      </c>
    </row>
    <row r="1241" spans="1:69" ht="162" x14ac:dyDescent="0.45">
      <c r="A1241" s="5">
        <v>1240</v>
      </c>
      <c r="B1241" s="8" t="s">
        <v>978</v>
      </c>
      <c r="C1241" s="6" t="s">
        <v>1816</v>
      </c>
      <c r="D1241" s="7" t="s">
        <v>9752</v>
      </c>
      <c r="E1241" s="1" t="s">
        <v>27</v>
      </c>
      <c r="F1241" s="1" t="s">
        <v>6179</v>
      </c>
      <c r="G1241" s="1"/>
      <c r="J1241" s="1" t="s">
        <v>9753</v>
      </c>
      <c r="L1241" s="2" t="s">
        <v>9698</v>
      </c>
      <c r="P1241" s="7" t="s">
        <v>1241</v>
      </c>
      <c r="Q1241" s="13" t="str">
        <f>INDEX($L:$L, MATCH("corporation", $B:$B, 0))</f>
        <v>&lt;span class="w"&gt;&lt;b&gt;【555.corporation：（大）企業, 法人】&lt;/b&gt;&lt;/span&gt;
&lt;span class="ml"&gt;ラテン語に由来する語で、以下の2つの要素から成る。
&lt;span class="spacer"&gt;&lt;/span&gt;corpus（身体）から派生した動詞corporare（形あるものにする）
io（名詞化）
&lt;span class="spacer"&gt;&lt;/span&gt;複数の人々が「一つの身体」のようにまとまることから、もともとは人々が集まって作られた単一の団体を指した。
&lt;span class="spacer"&gt;&lt;/span&gt;近代になって大規模な事業組織が登場すると、法律上まるで「身体を持つ一個人」のように扱われる組織、すなわち法的に人格を認められた「法人」や「（大）企業」を意味するようになった。&lt;/span&gt;</v>
      </c>
      <c r="AU1241" s="15"/>
      <c r="AV1241" s="1" t="s">
        <v>38</v>
      </c>
      <c r="BG1241" s="7" t="s">
        <v>1242</v>
      </c>
      <c r="BH1241" s="1" t="s">
        <v>1947</v>
      </c>
      <c r="BI1241" s="2" t="s">
        <v>6180</v>
      </c>
      <c r="BJ1241" s="1" t="s">
        <v>2036</v>
      </c>
      <c r="BK1241" s="2" t="s">
        <v>6181</v>
      </c>
      <c r="BL1241" s="1" t="s">
        <v>1875</v>
      </c>
      <c r="BM1241" s="2" t="s">
        <v>6182</v>
      </c>
      <c r="BN1241" s="1" t="s">
        <v>1877</v>
      </c>
      <c r="BO1241" s="2" t="s">
        <v>6183</v>
      </c>
    </row>
    <row r="1242" spans="1:69" ht="162" x14ac:dyDescent="0.45">
      <c r="A1242" s="5">
        <v>1241</v>
      </c>
      <c r="B1242" s="6" t="s">
        <v>979</v>
      </c>
      <c r="C1242" s="6" t="s">
        <v>6850</v>
      </c>
      <c r="D1242" s="7" t="s">
        <v>9752</v>
      </c>
      <c r="E1242" s="1" t="s">
        <v>31</v>
      </c>
      <c r="F1242" s="1" t="s">
        <v>810</v>
      </c>
      <c r="G1242" s="1"/>
      <c r="J1242" s="1" t="s">
        <v>9753</v>
      </c>
      <c r="K1242" s="1" t="s">
        <v>9703</v>
      </c>
      <c r="L1242" s="2" t="s">
        <v>9704</v>
      </c>
      <c r="P1242" s="7" t="s">
        <v>1241</v>
      </c>
      <c r="AV1242" s="1" t="s">
        <v>38</v>
      </c>
      <c r="BG1242" s="7" t="s">
        <v>1242</v>
      </c>
      <c r="BH1242" s="1" t="s">
        <v>1947</v>
      </c>
      <c r="BI1242" s="1" t="s">
        <v>6184</v>
      </c>
      <c r="BJ1242" s="1" t="s">
        <v>2036</v>
      </c>
      <c r="BK1242" s="1" t="s">
        <v>6185</v>
      </c>
      <c r="BL1242" s="1" t="s">
        <v>3565</v>
      </c>
      <c r="BM1242" s="2" t="s">
        <v>9705</v>
      </c>
      <c r="BN1242" s="1" t="s">
        <v>1877</v>
      </c>
      <c r="BO1242" s="2" t="s">
        <v>6186</v>
      </c>
    </row>
    <row r="1243" spans="1:69" ht="144" x14ac:dyDescent="0.45">
      <c r="A1243" s="5">
        <v>1242</v>
      </c>
      <c r="B1243" s="8" t="s">
        <v>980</v>
      </c>
      <c r="C1243" s="6" t="s">
        <v>6850</v>
      </c>
      <c r="D1243" s="7" t="s">
        <v>9752</v>
      </c>
      <c r="E1243" s="1" t="s">
        <v>1329</v>
      </c>
      <c r="F1243" s="1" t="s">
        <v>6187</v>
      </c>
      <c r="G1243" s="1"/>
      <c r="J1243" s="1" t="s">
        <v>9753</v>
      </c>
      <c r="L1243" s="3" t="s">
        <v>9724</v>
      </c>
      <c r="P1243" s="7" t="s">
        <v>1241</v>
      </c>
      <c r="Q1243" s="13" t="str">
        <f>INDEX($L:$L, MATCH("repeat", $B:$B, 0))</f>
        <v>&lt;span class="w"&gt;&lt;b&gt;【319.repeat：～を繰り返す, 〜を復唱する】&lt;/b&gt;&lt;/span&gt;
&lt;span class="ml"&gt;ラテン語に由来する語で、以下の2つの要素から成る。
&lt;span class="spacer"&gt;&lt;/span&gt;re（再び）
petere（向かう, 求める）
&lt;span class="spacer"&gt;&lt;/span&gt;このまま日本語にすると「再び向かう, 再び求める」となる。同じ行為を何度も行うことから、何かを「繰り返す, 復唱する」という意味になる。&lt;/span&gt;</v>
      </c>
      <c r="R1243" s="13" t="str">
        <f>INDEX($L:$L, MATCH("compete", $B:$B, 0))</f>
        <v>&lt;span class="w"&gt;&lt;b&gt;【428.compete：競う, 匹敵する】&lt;/b&gt;&lt;/span&gt;
&lt;span class="ml"&gt;ラテン語に由来する語で、以下の2つの要素から成る。
&lt;span class="spacer"&gt;&lt;/span&gt;com（共に）
petere（求める, 目指す）
&lt;span class="spacer"&gt;&lt;/span&gt;このまま日本語にすると「共に求める」となる。同じ目標を持つ人同士が争うことから「競う」という意味になる。また競い合えるということは、両者は同じレベルなので「匹敵する」という意味にもなる。&lt;/span&gt;</v>
      </c>
      <c r="S1243" s="13" t="str">
        <f>INDEX($L:$L, MATCH("competent", $B:$B, 0))</f>
        <v>&lt;span class="w"&gt;&lt;b&gt;【1280.competent：有能な, 適任の】&lt;/b&gt;&lt;/span&gt;
&lt;span class="ml"&gt;ラテン語に由来する語で、以下の2つの要素から成る。
&lt;span class="spacer"&gt;&lt;/span&gt;com（共に）
petere（求める, 向かう）
&lt;span class="spacer"&gt;&lt;/span&gt;このまま日本語にすると「共に求める」となる。これは、仕事などで求められている基準と、その人の持つ能力がピタリと一致するイメージ。そこから要件を十分に満たしている状態を表して「適任の, 有能な」という意味になる。
&lt;div class="sample_image competent"&gt;&lt;/div&gt;&lt;/span&gt;</v>
      </c>
      <c r="AU1243" s="15"/>
      <c r="AV1243" s="1" t="s">
        <v>38</v>
      </c>
      <c r="BG1243" s="7" t="s">
        <v>1242</v>
      </c>
      <c r="BH1243" s="1" t="s">
        <v>1947</v>
      </c>
      <c r="BI1243" s="2" t="s">
        <v>6188</v>
      </c>
      <c r="BJ1243" s="1" t="s">
        <v>1959</v>
      </c>
      <c r="BK1243" s="1" t="s">
        <v>6189</v>
      </c>
      <c r="BL1243" s="1" t="s">
        <v>2114</v>
      </c>
      <c r="BM1243" s="1" t="s">
        <v>6190</v>
      </c>
      <c r="BN1243" s="1" t="s">
        <v>1875</v>
      </c>
      <c r="BO1243" s="2" t="s">
        <v>6191</v>
      </c>
    </row>
    <row r="1244" spans="1:69" ht="126" x14ac:dyDescent="0.45">
      <c r="A1244" s="5">
        <v>1243</v>
      </c>
      <c r="B1244" s="8" t="s">
        <v>981</v>
      </c>
      <c r="C1244" s="6" t="s">
        <v>6850</v>
      </c>
      <c r="D1244" s="7" t="s">
        <v>9752</v>
      </c>
      <c r="E1244" s="1" t="s">
        <v>29</v>
      </c>
      <c r="F1244" s="1" t="s">
        <v>6192</v>
      </c>
      <c r="G1244" s="1"/>
      <c r="J1244" s="1" t="s">
        <v>9753</v>
      </c>
      <c r="L1244" s="2" t="s">
        <v>9706</v>
      </c>
      <c r="P1244" s="7" t="s">
        <v>1241</v>
      </c>
      <c r="Q1244" s="13" t="str">
        <f>INDEX($L:$L, MATCH("appeal", $B:$B, 0))</f>
        <v>&lt;span class="w"&gt;&lt;b&gt;【426.appeal：訴える, 抗議する, 上訴する】&lt;/b&gt;&lt;/span&gt;
&lt;span class="ml"&gt;ラテン語に由来する語で、以下の2つの要素から成る。
&lt;span class="spacer"&gt;&lt;/span&gt;ad（〜へ）
pellere（打つ, 押す）
&lt;span class="spacer"&gt;&lt;/span&gt;このまま日本語にすると「〜へ押す」となる。これは、相手へ向かって強く働きかけるイメージ。そこから、人に向かって訴えかけることを表し、何かを「訴える, 抗議する, 上訴する」という意味になった。&lt;/span&gt;</v>
      </c>
      <c r="R1244" s="13" t="str">
        <f>INDEX($L:$L, MATCH("compel", $B:$B, 0))</f>
        <v>&lt;span class="w"&gt;&lt;b&gt;【1304.compel：〜に強いる】&lt;/b&gt;&lt;/span&gt;
&lt;span class="ml"&gt;ラテン語に由来する語で、以下の2つの要素から成る。
&lt;span class="spacer"&gt;&lt;/span&gt;com（共に）
pellere（駆り立てる）
&lt;span class="spacer"&gt;&lt;/span&gt;このまま日本語にすると「一緒に駆り立てる」となる。もともとは、家畜の群れをを一箇所に追い立てることを表した。そこから、次第に人に対して使われるようになり、人がやりたくないことを力や権威によって「強いる」という心理的・社会的な強制力を表す意味になった。
&lt;div class="sample_image compel"&gt;&lt;/div&gt;&lt;/span&gt;</v>
      </c>
      <c r="S1244" s="13" t="str">
        <f>INDEX($L:$L, MATCH("compulsory", $B:$B, 0))</f>
        <v>&lt;span class="w"&gt;&lt;b&gt;【1384.compulsory：義務的な, 強制的な】&lt;/b&gt;&lt;/span&gt;
&lt;span class="ml"&gt;ラテン語に由来する語で、以下の3つの要素から成る。
&lt;span class="spacer"&gt;&lt;/span&gt;com（共に）
pellere（追う, 駆り立てる）
orius（形容詞化）
&lt;span class="spacer"&gt;&lt;/span&gt;これは動詞compel（強制する）が形容詞になったと覚えればよい。
&lt;span class="spacer"&gt;&lt;/span&gt;［動詞compel］
家畜の群れを一箇所に追い立てて集める様子から、人がやりたくないことを力や権威によって「強いる」という意味になった。
&lt;span class="spacer"&gt;&lt;/span&gt;［形容詞compulsory］
そして強制するという動詞が形容詞となって「義務的な, 強制的な」という意味になった。&lt;/span&gt;</v>
      </c>
      <c r="AU1244" s="15"/>
      <c r="AV1244" s="1" t="s">
        <v>38</v>
      </c>
      <c r="BG1244" s="7" t="s">
        <v>1242</v>
      </c>
      <c r="BH1244" s="1" t="s">
        <v>1947</v>
      </c>
      <c r="BI1244" s="2" t="s">
        <v>6193</v>
      </c>
      <c r="BJ1244" s="1" t="s">
        <v>1875</v>
      </c>
      <c r="BK1244" s="2" t="s">
        <v>6194</v>
      </c>
      <c r="BL1244" s="1" t="s">
        <v>1877</v>
      </c>
      <c r="BM1244" s="2" t="s">
        <v>6195</v>
      </c>
    </row>
    <row r="1245" spans="1:69" ht="90" x14ac:dyDescent="0.45">
      <c r="A1245" s="5">
        <v>1244</v>
      </c>
      <c r="B1245" s="8" t="s">
        <v>982</v>
      </c>
      <c r="C1245" s="6" t="s">
        <v>6850</v>
      </c>
      <c r="D1245" s="7" t="s">
        <v>9752</v>
      </c>
      <c r="E1245" s="1" t="s">
        <v>982</v>
      </c>
      <c r="F1245" s="1"/>
      <c r="G1245" s="1"/>
      <c r="J1245" s="1" t="s">
        <v>9753</v>
      </c>
      <c r="K1245" s="1" t="s">
        <v>9707</v>
      </c>
      <c r="L1245" s="2" t="s">
        <v>9708</v>
      </c>
      <c r="M1245" s="1" t="s">
        <v>12119</v>
      </c>
      <c r="P1245" s="7" t="s">
        <v>1241</v>
      </c>
      <c r="Q1245" s="13" t="str">
        <f>INDEX($L:$L, MATCH("describe", $B:$B, 0))</f>
        <v>&lt;span class="w"&gt;&lt;b&gt;【18.describe：～を述べる, ～を説明する】&lt;/b&gt;&lt;/span&gt;
&lt;span class="ml"&gt;ラテン語に由来する語で、以下の2つの要素から成る。
&lt;span class="spacer"&gt;&lt;/span&gt;de（下に）
scribere（書く）
&lt;span class="spacer"&gt;&lt;/span&gt;このまま日本語にすると「下に書く」となる。何かを下に書いておくことから、「記述する」という意味になる。さらに文字にして書くことに限らず、言葉にして「説明する, 表現する」という意味になる。
&lt;div class="sample_image describe"&gt;&lt;/div&gt;&lt;/span&gt;</v>
      </c>
      <c r="AU1245" s="15"/>
      <c r="AV1245" s="1" t="s">
        <v>38</v>
      </c>
      <c r="BG1245" s="7" t="s">
        <v>1242</v>
      </c>
      <c r="BH1245" s="1" t="s">
        <v>1947</v>
      </c>
      <c r="BI1245" s="2" t="s">
        <v>6196</v>
      </c>
      <c r="BJ1245" s="1" t="s">
        <v>1959</v>
      </c>
      <c r="BK1245" s="1" t="s">
        <v>6197</v>
      </c>
      <c r="BL1245" s="1" t="s">
        <v>2114</v>
      </c>
      <c r="BM1245" s="1" t="s">
        <v>6198</v>
      </c>
      <c r="BN1245" s="1" t="s">
        <v>1875</v>
      </c>
      <c r="BO1245" s="2" t="s">
        <v>6199</v>
      </c>
      <c r="BP1245" s="1" t="s">
        <v>1877</v>
      </c>
      <c r="BQ1245" s="2" t="s">
        <v>6200</v>
      </c>
    </row>
    <row r="1246" spans="1:69" ht="144" x14ac:dyDescent="0.45">
      <c r="A1246" s="5">
        <v>1245</v>
      </c>
      <c r="B1246" s="8" t="s">
        <v>983</v>
      </c>
      <c r="C1246" s="6" t="s">
        <v>6850</v>
      </c>
      <c r="D1246" s="7" t="s">
        <v>9752</v>
      </c>
      <c r="E1246" s="1" t="s">
        <v>6201</v>
      </c>
      <c r="F1246" s="1" t="s">
        <v>6202</v>
      </c>
      <c r="G1246" s="1" t="s">
        <v>1541</v>
      </c>
      <c r="J1246" s="1" t="s">
        <v>9753</v>
      </c>
      <c r="K1246" s="2" t="s">
        <v>9709</v>
      </c>
      <c r="L1246" s="2" t="s">
        <v>9710</v>
      </c>
      <c r="M1246" s="1" t="s">
        <v>12186</v>
      </c>
      <c r="P1246" s="7" t="s">
        <v>1241</v>
      </c>
      <c r="Q1246" s="13" t="str">
        <f>INDEX($L:$L, MATCH("universal", $B:$B, 0))</f>
        <v>&lt;span class="w"&gt;&lt;b&gt;【282.universal：普遍的な, 宇宙の】&lt;/b&gt;&lt;/span&gt;
&lt;span class="ml"&gt;ラテン語に由来する語で、以下の3つの要素から成る。
&lt;span class="spacer"&gt;&lt;/span&gt;unus（1つ）
vertere（回す, 向きを変える）
alis（形容詞化）
&lt;span class="spacer"&gt;&lt;/span&gt;このまま日本語にすると「ひとつに回す」となる。回転することで中心に巻き込まれていって全体がひとつになるイメージから、世界全体や宇宙全体に関わる＝「普遍的な, 宇宙の」という意味になる。
普遍的とは広く全体に当てはまるということ。&lt;/span&gt;</v>
      </c>
      <c r="R1246" s="13" t="str">
        <f>INDEX($L:$L, MATCH("advertise", $B:$B, 0))</f>
        <v>&lt;span class="w"&gt;&lt;b&gt;【414.advertise：〜を宣伝する】&lt;/b&gt;&lt;/span&gt;
&lt;span class="ml"&gt;ラテン語に由来する語で、以下の2つの要素から成る。
&lt;span class="spacer"&gt;&lt;/span&gt;ad（〜へ）
vertere（回す, 向ける）
&lt;span class="spacer"&gt;&lt;/span&gt;この語の核は「注意をある方向へ向けさせる」ということ。人の注意を特定の対象に向けさせることから、商品などに目を向けさせる＝「何かを宣伝する」という意味になる。
&lt;div class="sample_image advertise"&gt;&lt;/div&gt;&lt;/span&gt;</v>
      </c>
      <c r="S1246" s="13" t="str">
        <f>INDEX($L:$L, MATCH("diversity", $B:$B, 0))</f>
        <v>&lt;span class="w"&gt;&lt;b&gt;【456.diversity：多様性, 相違点】&lt;/b&gt;&lt;/span&gt;
&lt;span class="ml"&gt;ラテン語に由来する語で、以下の3つの要素から成る。
&lt;span class="spacer"&gt;&lt;/span&gt;dis（離れて）
vertere（回す, 向ける）
tas（名詞化）
&lt;span class="spacer"&gt;&lt;/span&gt;このまま日本語にすると「離れた（異なる）方向に向けること」となる。これは、それぞれが異なる方向を向いているイメージ。そこから、物事がさまざまに分かれている状態を表し、「多様性, 相違点」という意味になる。&lt;/span&gt;</v>
      </c>
      <c r="T1246" s="13" t="str">
        <f>INDEX($L:$L, MATCH("reverse", $B:$B, 0))</f>
        <v>&lt;span class="w"&gt;&lt;b&gt;【726.reverse：〜を逆転させる, 〜を反対にする】&lt;/b&gt;&lt;/span&gt;
&lt;span class="ml"&gt;ラテン語に由来する語で、以下の2つの要素から成る。
&lt;span class="spacer"&gt;&lt;/span&gt;re（再び, 後ろへ）
vertere（回す, 向ける）
&lt;span class="spacer"&gt;&lt;/span&gt;このまま日本語にすると「後ろへ向ける」や「再び回す」となる。このような向きを変える、ひっくり返す動きから、何かを「逆転させる, 反対にする」という意味になる。&lt;/span&gt;</v>
      </c>
      <c r="U1246" s="13" t="str">
        <f>INDEX($L:$L, MATCH("divorce", $B:$B, 0))</f>
        <v>&lt;span class="w"&gt;&lt;b&gt;【764.divorce：離婚, 分離】&lt;/b&gt;&lt;/span&gt;
&lt;span class="ml"&gt;ラテン語に由来する語で、以下の2つの要素から成る。
&lt;span class="spacer"&gt;&lt;/span&gt;dis（離れて）
vertere（向ける）
&lt;span class="spacer"&gt;&lt;/span&gt;このまま日本語にすると「離れた方向に向ける」となる。もともとは何かの「分離」を意味した。そして、人生という道を共にする夫婦が離れた方を向いて行くことから「離婚」という意味になった。
&lt;div class="sample_image divorce"&gt;&lt;/div&gt;&lt;/span&gt;</v>
      </c>
      <c r="V1246" s="13" t="str">
        <f>INDEX($L:$L, MATCH("controversy", $B:$B, 0))</f>
        <v>&lt;span class="w"&gt;&lt;b&gt;【1152.controversy：論争】&lt;/b&gt;&lt;/span&gt;
&lt;span class="ml"&gt;ラテン語に由来する語で、以下の3つの要素から成る。
&lt;span class="spacer"&gt;&lt;/span&gt;contra（反対に）
versus（〜の方に向けられた)
ia（名詞化）
&lt;span class="spacer"&gt;&lt;/span&gt;この語の核は「相手と同じ方向ではなく反対に向いていること、向き合っていること」。つまり考えや立場が対立して争っていることを表し、そこから 「論争」という意味になる。
&lt;div class="sample_image controversy"&gt;&lt;/div&gt;&lt;/span&gt;</v>
      </c>
      <c r="W1246" s="13" t="str">
        <f>INDEX($L:$L, MATCH("version", $B:$B, 0))</f>
        <v>&lt;span class="w"&gt;&lt;b&gt;【364.version：〜版】&lt;/b&gt;&lt;/span&gt;
&lt;span class="ml"&gt;ラテン語に由来する語で、以下の2つの要素から成る。
&lt;span class="spacer"&gt;&lt;/span&gt;vertere（回す, 向ける）
io（名詞化）
&lt;span class="spacer"&gt;&lt;/span&gt;このまま日本語にすると「回すこと, 向けること」となる。あるものの向きを別の方へ変えるイメージから、既にあるものを元に別の形へ変えること＝「〜版」という意味になる。&lt;/span&gt;</v>
      </c>
      <c r="X1246" s="13" t="str">
        <f>INDEX($L:$L, MATCH("versus", $B:$B, 0))</f>
        <v>&lt;span class="w"&gt;&lt;b&gt;【1100.versus：（A versus B）A対B】&lt;/b&gt;&lt;/span&gt;
&lt;span class="ml"&gt;ラテン語vertere（回す, 向ける）の過去分詞versus（〜の方に向けられた, 〜に対して）に由来する。
&lt;span class="spacer"&gt;&lt;/span&gt;何かの方に向けられていることから「対する, A対B」という意味になる。A versus BはAがBの方に向けられているというイメージ。&lt;/span&gt;</v>
      </c>
      <c r="Y1246" s="13" t="str">
        <f>INDEX($L:$L, MATCH("vertical", $B:$B, 0))</f>
        <v>&lt;span class="w"&gt;&lt;b&gt;【1188.vertical：垂直の】&lt;/b&gt;&lt;/span&gt;
&lt;span class="ml"&gt;ラテン語に由来する語で、以下の2つの要素から成る。
&lt;span class="spacer"&gt;&lt;/span&gt;vertere（回す）から派生したvertex（回転, 渦, 頂点）
alis（形容詞化）
&lt;span class="spacer"&gt;&lt;/span&gt;この語の核は「回転」。物体の回転や天体の回転、水の渦、髪の渦（つむじ）など、あらゆる回転には中心を通る上下に伸びる軸がある。たとえば天体の回転も、観察者の真上に中心があり、そこを軸として空全体が回転しているように見える。
&lt;span class="spacer"&gt;&lt;/span&gt;そこから、天頂から地平線に対してまっすぐ下ろした線、つまり真上にある頂点から真下へと直角に交わる線へと繋がって「垂直な」という意味になった。
&lt;div class="sample_image vertical"&gt;&lt;/div&gt;&lt;/span&gt;</v>
      </c>
      <c r="Z1246" s="13" t="str">
        <f>INDEX($L:$L, MATCH("convert", $B:$B, 0))</f>
        <v>&lt;span class="w"&gt;&lt;b&gt;【820.convert：～を変える, 改宗させる】&lt;/b&gt;&lt;/span&gt;
&lt;span class="ml"&gt;ラテン語に由来する語で、以下の2つの要素から成る。
&lt;span class="spacer"&gt;&lt;/span&gt;com（共に）
vertere（向ける）
&lt;span class="spacer"&gt;&lt;/span&gt;このまま日本語にすると「共に向ける」となる。これは、みんなを同じ方に向けるイメージ。そこから宗教において、同じ対象を信仰するように「改宗させる」という意味になる。また宗教に限らず、形式や用途などを人為的に「変える」という意味になる。
&lt;div class="sample_image convert"&gt;&lt;/div&gt;&lt;/span&gt;</v>
      </c>
      <c r="AA1246" s="13" t="str">
        <f>INDEX($L:$L, MATCH("annual", $B:$B, 0))</f>
        <v>&lt;span class="w"&gt;&lt;b&gt;【486.annual：年1回の, 1年の】&lt;/b&gt;&lt;/span&gt;
&lt;span class="ml"&gt;ラテン語に由来する語で、以下の2つの要素から成る。
&lt;span class="spacer"&gt;&lt;/span&gt;annus（年）
alis（形容詞化）
&lt;span class="spacer"&gt;&lt;/span&gt;このまま日本語にすると「年の」、つまり「1年の, 年1回の」という意味になる。
&lt;span class="spacer"&gt;&lt;/span&gt;［紀元前B.C.と紀元後A.D.］
Before Christ：キリスト誕生以前という英語
Anno Domini：主の年に＝キリスト誕生の年というラテン語
&lt;span class="spacer"&gt;&lt;/span&gt;A.D.のAnno（年）は、annualの語源でもある。
&lt;span class="spacer"&gt;&lt;/span&gt;anniversary（周年）のanniは、ラテン語annus（年）に由来する。&lt;/span&gt;</v>
      </c>
      <c r="AB1246" s="13" t="str">
        <f>INDEX($L:$L, MATCH("millennium", $B:$B, 0))</f>
        <v>&lt;span class="w"&gt;&lt;b&gt;【1146.millennium：千年間】&lt;/b&gt;&lt;/span&gt;
&lt;span class="ml"&gt;ラテン語に由来する語で、以下の2つの要素から成る。
&lt;span class="spacer"&gt;&lt;/span&gt;mille（千）
annus（年）
&lt;span class="spacer"&gt;&lt;/span&gt;このまま日本語にすれば「1000年間」という意味になる。&lt;/span&gt;</v>
      </c>
      <c r="AU1246" s="15"/>
      <c r="AV1246" s="1" t="s">
        <v>38</v>
      </c>
      <c r="BG1246" s="7" t="s">
        <v>1242</v>
      </c>
      <c r="BH1246" s="1" t="s">
        <v>1947</v>
      </c>
      <c r="BI1246" s="2" t="s">
        <v>6203</v>
      </c>
      <c r="BJ1246" s="1" t="s">
        <v>1967</v>
      </c>
      <c r="BK1246" s="2" t="s">
        <v>6204</v>
      </c>
      <c r="BL1246" s="1" t="s">
        <v>1875</v>
      </c>
      <c r="BM1246" s="2" t="s">
        <v>6205</v>
      </c>
    </row>
    <row r="1247" spans="1:69" ht="216" x14ac:dyDescent="0.45">
      <c r="A1247" s="5">
        <v>1246</v>
      </c>
      <c r="B1247" s="8" t="s">
        <v>984</v>
      </c>
      <c r="C1247" s="6" t="s">
        <v>6850</v>
      </c>
      <c r="D1247" s="7" t="s">
        <v>9752</v>
      </c>
      <c r="E1247" s="1" t="s">
        <v>6206</v>
      </c>
      <c r="F1247" s="1" t="s">
        <v>1584</v>
      </c>
      <c r="G1247" s="1"/>
      <c r="J1247" s="1" t="s">
        <v>9753</v>
      </c>
      <c r="L1247" s="3" t="s">
        <v>9711</v>
      </c>
      <c r="M1247" s="1" t="s">
        <v>12127</v>
      </c>
      <c r="P1247" s="7" t="s">
        <v>1241</v>
      </c>
      <c r="Q1247" s="13" t="str">
        <f>INDEX($L:$L, MATCH("depend", $B:$B, 0))</f>
        <v>&lt;span class="w"&gt;&lt;b&gt;【36.depend：頼る, ～次第である】&lt;/b&gt;&lt;/span&gt;
&lt;span class="ml"&gt;ラテン語に由来する語で、以下の2つの要素から成る。
&lt;span class="spacer"&gt;&lt;/span&gt;de（下に）
pendere（ぶら下がる）
&lt;span class="spacer"&gt;&lt;/span&gt;このまま日本語にすると「下にぶら下がる」となる。ある対象をつかんでぶら下がる
というイメージから、対象に「頼る」という意味になる。
&lt;span class="spacer"&gt;&lt;/span&gt;対象頼みということは、ぶら下がっている対象によってその後どうなるかが決まる。そのため「～次第である」という意味になる。
&lt;div class="sample_image depend"&gt;&lt;/div&gt;&lt;/span&gt;</v>
      </c>
      <c r="R1247" s="13" t="str">
        <f>INDEX($L:$L, MATCH("independent", $B:$B, 0))</f>
        <v>&lt;span class="w"&gt;&lt;b&gt;【295.independent：独立している】&lt;/b&gt;&lt;/span&gt;
&lt;span class="ml"&gt;近代英語にできた語で、以下の2つの要素から成る。
&lt;span class="spacer"&gt;&lt;/span&gt;in（否定）
dependent（依存している）
&lt;span class="spacer"&gt;&lt;/span&gt;independentは「相手にぶら下がっていない」というイメージ。相手に依存せず自分で立っている、つまり「独立している」という意味になる。&lt;/span&gt;</v>
      </c>
      <c r="S1247" s="13" t="str">
        <f>INDEX($L:$L, MATCH("suspend", $B:$B, 0))</f>
        <v>&lt;span class="w"&gt;&lt;b&gt;【1228.suspend：〜を一時的に停止する】&lt;/b&gt;&lt;/span&gt;
&lt;span class="ml"&gt;ラテン語に由来する語で、以下の2つの要素から成る。
&lt;span class="spacer"&gt;&lt;/span&gt;sub（下から）
pendere（吊るす）
&lt;span class="spacer"&gt;&lt;/span&gt;このまま日本語にすると「下から吊るす」となる。下から何かを吊ってぶら下げることから「一時的に停止する」という意味になる。
&lt;div class="sample_image suspend"&gt;&lt;/div&gt;&lt;/span&gt;</v>
      </c>
      <c r="T1247" s="13" t="str">
        <f>INDEX($L:$L, MATCH("expense", $B:$B, 0))</f>
        <v>&lt;span class="w"&gt;&lt;b&gt;【545.expense：経費, 費用, 犠牲】&lt;/b&gt;&lt;/span&gt;
&lt;span class="ml"&gt;ラテン語に由来する語で、以下の2つの要素から成る。
&lt;span class="spacer"&gt;&lt;/span&gt;ex（外に）
pendere（吊るす）
&lt;span class="spacer"&gt;&lt;/span&gt;このまま日本語にすると「外に吊るすもの」となる。当時はお金を天秤に吊るし、重さを量ることで支払いが行われたことから、外に吊るすものは支払われるものを表す。ここから「費用, 経費」という意味になった。
&lt;span class="spacer"&gt;&lt;/span&gt;また、お金を支払うことから意味が広がり、時間や労力、健康などの目に見えない価値あるものを支払うことから「犠牲」という意味にもなった。
&lt;span class="spacer"&gt;&lt;/span&gt;expenseから生まれた形容詞がexpensive（高価な）なので、関連させて覚えるとよい。&lt;/span&gt;</v>
      </c>
      <c r="U1247" s="13" t="str">
        <f>INDEX($L:$L, MATCH("compensate", $B:$B, 0))</f>
        <v>&lt;span class="w"&gt;&lt;b&gt;【1338.compensate：補償する, 埋め合わせる】&lt;/b&gt;&lt;/span&gt;
&lt;span class="ml"&gt;ラテン語に由来する語で、以下の2つの要素から成る。
&lt;span class="spacer"&gt;&lt;/span&gt;com（共に）
pendere（吊るす, 重さを量る, 支払う）
&lt;span class="spacer"&gt;&lt;/span&gt;このまま日本語にすると「共に吊るす」となる。これは、天秤の両側に物を載せて釣り合わせ、重さを量るイメージ。そこから、誰かが被った損失や被害（マイナス）を天秤の片方に載せ、もう片方に、それと釣り合うだけの金銭や代替物（プラス）を載せてバランスをとる、すなわち何かに対して「補償する, 埋め合わせる」という意味になった。
&lt;div class="sample_image compensate"&gt;&lt;/div&gt;&lt;/span&gt;</v>
      </c>
      <c r="V1247" s="13" t="str">
        <f>INDEX($L:$L, MATCH("indispensable", $B:$B, 0))</f>
        <v>&lt;span class="w"&gt;&lt;b&gt;【1383.indispensable：不可欠な】&lt;/b&gt;&lt;/span&gt;
&lt;span class="ml"&gt;ラテン語に由来する語で、以下の3つの要素から成る。
&lt;span class="spacer"&gt;&lt;/span&gt;in（否定）
dispensare（免除を与える）
bilis（～できる）
&lt;span class="spacer"&gt;&lt;/span&gt;indispensableの意味を理解するには、まず動詞dispense（配る, なしで済ませる）から覚える必要がある。
&lt;span class="spacer"&gt;&lt;/span&gt;&lt;strong&gt;［dispenseの語源］&lt;/strong&gt;
英語dispense（配る, なしで済ませる）の語源であるラテン語dispensare（免除の許可を与える）は、dis（離れて）＋pendere（吊るす）に由来する。
&lt;span class="spacer"&gt;&lt;/span&gt;昔はお金を支払う際、天秤にお金を吊るして重さを量り、必要な分を分けて与えていたため、ラテン語dispensareは、お金を支払うこと・何かを管理して分け与えることを表した。それが英語dispenseには「配る」という意味で残っている。
&lt;span class="spacer"&gt;&lt;/span&gt;また、管理して何かを分け与えるという意味が、当時の教会や法律の文脈において、対象に義務や罰からの免除を与えるという意味で使われるようになった。そのため、英語dispenseは「なしで済ませる」という意味を持っている。
&lt;span class="spacer"&gt;&lt;/span&gt;&lt;strong&gt;［dispensableとindispensableへ］&lt;/strong&gt;
ラテン語dispensare （免除を与える）にbills（〜できる）が付くことで、免除を与えることができる、つまり「何かをなしで済ませることができる」となる（英語dispensable）。
&lt;span class="spacer"&gt;&lt;/span&gt;さらにそこにin（否定）が付くことで、免除できない、すなわち「それなしでは済ませられない」＝「不可欠な」という意味になる（英語indispensable）。&lt;/span&gt;</v>
      </c>
      <c r="AU1247" s="15"/>
      <c r="AV1247" s="1" t="s">
        <v>38</v>
      </c>
      <c r="BG1247" s="7" t="s">
        <v>1242</v>
      </c>
      <c r="BH1247" s="1" t="s">
        <v>1947</v>
      </c>
      <c r="BI1247" s="2" t="s">
        <v>6207</v>
      </c>
      <c r="BJ1247" s="1" t="s">
        <v>1959</v>
      </c>
      <c r="BK1247" s="2" t="s">
        <v>6208</v>
      </c>
      <c r="BL1247" s="1" t="s">
        <v>1875</v>
      </c>
      <c r="BM1247" s="2" t="s">
        <v>6209</v>
      </c>
      <c r="BN1247" s="1" t="s">
        <v>1877</v>
      </c>
      <c r="BO1247" s="2" t="s">
        <v>6210</v>
      </c>
    </row>
    <row r="1248" spans="1:69" ht="162" x14ac:dyDescent="0.45">
      <c r="A1248" s="5">
        <v>1247</v>
      </c>
      <c r="B1248" s="6" t="s">
        <v>985</v>
      </c>
      <c r="C1248" s="6" t="s">
        <v>6850</v>
      </c>
      <c r="D1248" s="7" t="s">
        <v>9752</v>
      </c>
      <c r="E1248" s="1" t="s">
        <v>985</v>
      </c>
      <c r="F1248" s="1"/>
      <c r="G1248" s="1"/>
      <c r="J1248" s="1" t="s">
        <v>9753</v>
      </c>
      <c r="L1248" s="2" t="s">
        <v>9712</v>
      </c>
      <c r="P1248" s="7" t="s">
        <v>1241</v>
      </c>
      <c r="AV1248" s="1" t="s">
        <v>38</v>
      </c>
      <c r="BG1248" s="7" t="s">
        <v>1242</v>
      </c>
      <c r="BH1248" s="1" t="s">
        <v>1947</v>
      </c>
      <c r="BI1248" s="1" t="s">
        <v>6211</v>
      </c>
      <c r="BJ1248" s="1" t="s">
        <v>1872</v>
      </c>
      <c r="BK1248" s="1" t="s">
        <v>6212</v>
      </c>
      <c r="BL1248" s="1" t="s">
        <v>1875</v>
      </c>
      <c r="BM1248" s="2" t="s">
        <v>6213</v>
      </c>
      <c r="BN1248" s="1" t="s">
        <v>1877</v>
      </c>
      <c r="BO1248" s="2" t="s">
        <v>6214</v>
      </c>
    </row>
    <row r="1249" spans="1:69" ht="126" x14ac:dyDescent="0.45">
      <c r="A1249" s="5">
        <v>1248</v>
      </c>
      <c r="B1249" s="6" t="s">
        <v>986</v>
      </c>
      <c r="C1249" s="6" t="s">
        <v>6850</v>
      </c>
      <c r="D1249" s="7" t="s">
        <v>9752</v>
      </c>
      <c r="E1249" s="1" t="s">
        <v>986</v>
      </c>
      <c r="F1249" s="1"/>
      <c r="G1249" s="1"/>
      <c r="J1249" s="1" t="s">
        <v>9753</v>
      </c>
      <c r="L1249" s="3" t="s">
        <v>9713</v>
      </c>
      <c r="P1249" s="7" t="s">
        <v>1241</v>
      </c>
      <c r="AV1249" s="1" t="s">
        <v>38</v>
      </c>
      <c r="BG1249" s="7" t="s">
        <v>1242</v>
      </c>
      <c r="BH1249" s="1" t="s">
        <v>1947</v>
      </c>
      <c r="BI1249" s="1" t="s">
        <v>6215</v>
      </c>
      <c r="BJ1249" s="1" t="s">
        <v>1877</v>
      </c>
      <c r="BK1249" s="2" t="s">
        <v>6216</v>
      </c>
    </row>
    <row r="1250" spans="1:69" ht="126" x14ac:dyDescent="0.45">
      <c r="A1250" s="5">
        <v>1249</v>
      </c>
      <c r="B1250" s="6" t="s">
        <v>987</v>
      </c>
      <c r="C1250" s="6" t="s">
        <v>6850</v>
      </c>
      <c r="D1250" s="7" t="s">
        <v>9752</v>
      </c>
      <c r="E1250" s="1" t="s">
        <v>6217</v>
      </c>
      <c r="F1250" s="1" t="s">
        <v>6218</v>
      </c>
      <c r="G1250" s="1"/>
      <c r="J1250" s="1" t="s">
        <v>9753</v>
      </c>
      <c r="K1250" s="2" t="s">
        <v>9714</v>
      </c>
      <c r="L1250" s="2" t="s">
        <v>9715</v>
      </c>
      <c r="P1250" s="7" t="s">
        <v>1241</v>
      </c>
      <c r="AU1250" s="15"/>
      <c r="AV1250" s="1" t="s">
        <v>38</v>
      </c>
      <c r="BG1250" s="7" t="s">
        <v>1242</v>
      </c>
      <c r="BH1250" s="1" t="s">
        <v>2458</v>
      </c>
      <c r="BI1250" s="2" t="s">
        <v>6219</v>
      </c>
      <c r="BJ1250" s="1" t="s">
        <v>5893</v>
      </c>
      <c r="BK1250" s="1" t="s">
        <v>6220</v>
      </c>
      <c r="BL1250" s="1" t="s">
        <v>1877</v>
      </c>
      <c r="BM1250" s="2" t="s">
        <v>6221</v>
      </c>
    </row>
    <row r="1251" spans="1:69" ht="306" x14ac:dyDescent="0.45">
      <c r="A1251" s="5">
        <v>1250</v>
      </c>
      <c r="B1251" s="6" t="s">
        <v>988</v>
      </c>
      <c r="C1251" s="6" t="s">
        <v>6850</v>
      </c>
      <c r="D1251" s="7" t="s">
        <v>9752</v>
      </c>
      <c r="E1251" s="1" t="s">
        <v>988</v>
      </c>
      <c r="F1251" s="1"/>
      <c r="G1251" s="1"/>
      <c r="J1251" s="1" t="s">
        <v>9753</v>
      </c>
      <c r="K1251" s="1" t="s">
        <v>9716</v>
      </c>
      <c r="L1251" s="2" t="s">
        <v>9717</v>
      </c>
      <c r="P1251" s="7" t="s">
        <v>1241</v>
      </c>
      <c r="AV1251" s="1" t="s">
        <v>38</v>
      </c>
      <c r="BG1251" s="7" t="s">
        <v>1242</v>
      </c>
      <c r="BH1251" s="1" t="s">
        <v>2458</v>
      </c>
      <c r="BI1251" s="1" t="s">
        <v>9718</v>
      </c>
      <c r="BJ1251" s="1" t="s">
        <v>2036</v>
      </c>
      <c r="BK1251" s="1" t="s">
        <v>6222</v>
      </c>
      <c r="BL1251" s="1" t="s">
        <v>1959</v>
      </c>
      <c r="BM1251" s="1" t="s">
        <v>6223</v>
      </c>
      <c r="BN1251" s="1" t="s">
        <v>1875</v>
      </c>
      <c r="BO1251" s="2" t="s">
        <v>6224</v>
      </c>
      <c r="BP1251" s="1" t="s">
        <v>1877</v>
      </c>
      <c r="BQ1251" s="2" t="s">
        <v>6225</v>
      </c>
    </row>
    <row r="1252" spans="1:69" ht="198" x14ac:dyDescent="0.45">
      <c r="A1252" s="5">
        <v>1251</v>
      </c>
      <c r="B1252" s="6" t="s">
        <v>989</v>
      </c>
      <c r="C1252" s="6" t="s">
        <v>6850</v>
      </c>
      <c r="D1252" s="7" t="s">
        <v>9752</v>
      </c>
      <c r="E1252" s="1" t="s">
        <v>6226</v>
      </c>
      <c r="F1252" s="1" t="s">
        <v>6227</v>
      </c>
      <c r="G1252" s="1" t="s">
        <v>1522</v>
      </c>
      <c r="J1252" s="1" t="s">
        <v>9753</v>
      </c>
      <c r="K1252" s="1" t="s">
        <v>6228</v>
      </c>
      <c r="L1252" s="2" t="s">
        <v>9719</v>
      </c>
      <c r="M1252" s="1" t="s">
        <v>12216</v>
      </c>
      <c r="P1252" s="7" t="s">
        <v>1241</v>
      </c>
      <c r="Q1252" s="13" t="str">
        <f>INDEX($L:$L, MATCH("usage", $B:$B, 0))</f>
        <v>&lt;span class="w"&gt;&lt;b&gt;【776.usage：使われ方, 語法, 慣習】&lt;/b&gt;&lt;/span&gt;
&lt;span class="ml"&gt;ラテン語に由来する語で、以下の2つの要素から成る。
uti（使う：useの語源）
&lt;span class="obsolete"&gt;age（〜すること）はフランス語段階で付いた&lt;/span&gt;
&lt;span class="spacer"&gt;&lt;/span&gt;このまま日本語にすると「使うこと」となる。もともとは、人々が繰り返し使うことによって作り上げられる「慣習」を意味した。
&lt;span class="spacer"&gt;&lt;/span&gt;そこから、繰り返し使われることで確立された言葉の使い方＝「語法」や、言葉に限らず様々なものの日常的な「使われ方」、データや資源などの「使用量」などの意味になった。&lt;/span&gt;</v>
      </c>
      <c r="R1252" s="13" t="str">
        <f>INDEX($L:$L, MATCH("abuse", $B:$B, 0))</f>
        <v>&lt;span class="w"&gt;&lt;b&gt;【952.abuse：乱用, 虐待】&lt;/b&gt;&lt;/span&gt;
&lt;span class="ml"&gt;ラテン語に由来する語で、以下の2つの要素から成る。
&lt;span class="spacer"&gt;&lt;/span&gt;ab（離れて）
uti（使う：useの語源）
&lt;span class="spacer"&gt;&lt;/span&gt;この語の核は「本来の使用法から離れた使用」。そこから何かの「乱用」や、本来の子育てのあり方から離れた「虐待」という意味になった。&lt;/span&gt;</v>
      </c>
      <c r="S1252" s="13" t="str">
        <f>INDEX($L:$L, MATCH("utilize", $B:$B, 0))</f>
        <v>&lt;span class="w"&gt;&lt;b&gt;【1324.utilize：〜を利用する, 〜を活用する】&lt;/b&gt;&lt;/span&gt;
&lt;span class="ml"&gt;ラテン語に由来する語で、以下の3つの要素から成る。
&lt;span class="spacer"&gt;&lt;/span&gt;uti（使う）
ilis（形容詞化）
&lt;span class="obsolete"&gt;ize（動詞化）はイタリア語やフランス語段階で付いた&lt;/span&gt;
&lt;span class="spacer"&gt;&lt;/span&gt;utilizeは、utilにizeが付くことで動詞となっているが、ityが付けばutility（実用性, 公共事業）となる。つまりutil部分の核は「実用面で役立つ」であり、動詞utilizeは「役立つ状態にする」が根本にある。
&lt;span class="spacer"&gt;&lt;/span&gt;役に立つようにすることから「利用する, 活用する」という意味になる。&lt;/span&gt;</v>
      </c>
      <c r="AU1252" s="15"/>
      <c r="AV1252" s="1" t="s">
        <v>38</v>
      </c>
      <c r="BG1252" s="7" t="s">
        <v>1242</v>
      </c>
      <c r="BH1252" s="1" t="s">
        <v>1947</v>
      </c>
      <c r="BI1252" s="2" t="s">
        <v>6229</v>
      </c>
      <c r="BJ1252" s="1" t="s">
        <v>1959</v>
      </c>
      <c r="BK1252" s="2" t="s">
        <v>6230</v>
      </c>
      <c r="BL1252" s="1" t="s">
        <v>1875</v>
      </c>
      <c r="BM1252" s="2" t="s">
        <v>6231</v>
      </c>
      <c r="BN1252" s="1" t="s">
        <v>3496</v>
      </c>
      <c r="BO1252" s="1" t="s">
        <v>6232</v>
      </c>
    </row>
    <row r="1253" spans="1:69" ht="216" x14ac:dyDescent="0.45">
      <c r="A1253" s="5">
        <v>1252</v>
      </c>
      <c r="B1253" s="6" t="s">
        <v>990</v>
      </c>
      <c r="C1253" s="6" t="s">
        <v>6850</v>
      </c>
      <c r="D1253" s="7" t="s">
        <v>9752</v>
      </c>
      <c r="E1253" s="1" t="s">
        <v>990</v>
      </c>
      <c r="F1253" s="1"/>
      <c r="G1253" s="1"/>
      <c r="J1253" s="1" t="s">
        <v>9753</v>
      </c>
      <c r="L1253" s="3" t="s">
        <v>9720</v>
      </c>
      <c r="P1253" s="7" t="s">
        <v>1241</v>
      </c>
      <c r="Q1253" s="13" t="str">
        <f>INDEX($L:$L, MATCH("achieve", $B:$B, 0))</f>
        <v>&lt;span class="w"&gt;&lt;b&gt;【118.achieve：～を達成する】&lt;/b&gt;&lt;/span&gt;
&lt;span class="ml"&gt;ラテン語に由来する語で、以下の3つの要素から成る。
&lt;span class="spacer"&gt;&lt;/span&gt;ad（～へ）
capt（頭）
venire（来る）
&lt;span class="spacer"&gt;&lt;/span&gt;このまま日本語にすると「頭へ来る」となる。頭は動物の体の端にあることから、端へ来る＝終わりに到達する＝何かを「達成する」という意味になる。
&lt;span class="spacer"&gt;&lt;/span&gt;ラテン語capt（頭）はcaptain（キャプテン）の語源でもある。&lt;/span&gt;</v>
      </c>
      <c r="R1253" s="13" t="str">
        <f>INDEX($L:$L, MATCH("capital", $B:$B, 0))</f>
        <v>&lt;span class="w"&gt;&lt;b&gt;【451.capital：資本, 首都, 大文字】&lt;/b&gt;&lt;/span&gt;
&lt;span class="ml"&gt;ラテン語に由来する語で、以下の2つの要素から成る。
&lt;span class="spacer"&gt;&lt;/span&gt;caput（頭）
alis（形容詞化）
&lt;span class="spacer"&gt;&lt;/span&gt;この語の核は「頭のように最も上にあり、中心となるもの」ということ。金銭面では活動基盤となる「資本」、都市に関しては国の中心となる「首都」、文に関しては先頭に置かれる「大文字」という意味になる。&lt;/span&gt;</v>
      </c>
      <c r="AU1253" s="15"/>
      <c r="AV1253" s="1" t="s">
        <v>38</v>
      </c>
      <c r="BG1253" s="7" t="s">
        <v>1242</v>
      </c>
      <c r="BH1253" s="1" t="s">
        <v>1947</v>
      </c>
      <c r="BI1253" s="2" t="s">
        <v>6233</v>
      </c>
      <c r="BJ1253" s="1" t="s">
        <v>1967</v>
      </c>
      <c r="BK1253" s="1" t="s">
        <v>6234</v>
      </c>
      <c r="BL1253" s="1" t="s">
        <v>2114</v>
      </c>
      <c r="BM1253" s="1" t="s">
        <v>6235</v>
      </c>
      <c r="BN1253" s="1" t="s">
        <v>1875</v>
      </c>
      <c r="BO1253" s="2" t="s">
        <v>6236</v>
      </c>
      <c r="BP1253" s="1" t="s">
        <v>1877</v>
      </c>
      <c r="BQ1253" s="2" t="s">
        <v>6237</v>
      </c>
    </row>
    <row r="1254" spans="1:69" ht="108" x14ac:dyDescent="0.45">
      <c r="A1254" s="5">
        <v>1253</v>
      </c>
      <c r="B1254" s="6" t="s">
        <v>991</v>
      </c>
      <c r="C1254" s="6" t="s">
        <v>6850</v>
      </c>
      <c r="D1254" s="7" t="s">
        <v>9752</v>
      </c>
      <c r="E1254" s="1" t="s">
        <v>991</v>
      </c>
      <c r="F1254" s="1"/>
      <c r="G1254" s="1"/>
      <c r="J1254" s="1" t="s">
        <v>9753</v>
      </c>
      <c r="L1254" s="3" t="s">
        <v>9721</v>
      </c>
      <c r="P1254" s="7" t="s">
        <v>1241</v>
      </c>
      <c r="AV1254" s="1" t="s">
        <v>38</v>
      </c>
      <c r="BG1254" s="7" t="s">
        <v>1242</v>
      </c>
      <c r="BH1254" s="1" t="s">
        <v>1872</v>
      </c>
      <c r="BI1254" s="1" t="s">
        <v>6238</v>
      </c>
      <c r="BJ1254" s="1" t="s">
        <v>1875</v>
      </c>
      <c r="BK1254" s="2" t="s">
        <v>6239</v>
      </c>
    </row>
    <row r="1255" spans="1:69" ht="144" x14ac:dyDescent="0.45">
      <c r="A1255" s="5">
        <v>1254</v>
      </c>
      <c r="B1255" s="8" t="s">
        <v>992</v>
      </c>
      <c r="C1255" s="6" t="s">
        <v>6850</v>
      </c>
      <c r="D1255" s="7" t="s">
        <v>9752</v>
      </c>
      <c r="E1255" s="1" t="s">
        <v>6240</v>
      </c>
      <c r="F1255" s="1" t="s">
        <v>1853</v>
      </c>
      <c r="G1255" s="1"/>
      <c r="J1255" s="1" t="s">
        <v>9753</v>
      </c>
      <c r="K1255" s="2" t="s">
        <v>9722</v>
      </c>
      <c r="L1255" s="2" t="s">
        <v>9723</v>
      </c>
      <c r="M1255" s="1" t="s">
        <v>12132</v>
      </c>
      <c r="P1255" s="7" t="s">
        <v>1241</v>
      </c>
      <c r="Q1255" s="13" t="str">
        <f>INDEX($L:$L, MATCH("flow", $B:$B, 0))</f>
        <v>&lt;span class="w"&gt;&lt;b&gt;【334.flow：流れる, 生じる】&lt;/b&gt;&lt;/span&gt;
&lt;span class="ml"&gt;印欧祖語*pleu-（流れる, 流動する）に由来する。
&lt;span class="spacer"&gt;&lt;/span&gt;印欧祖語から意味の変化はほとんどない。&lt;/span&gt;</v>
      </c>
      <c r="R1255" s="13" t="str">
        <f>INDEX($L:$L, MATCH("float", $B:$B, 0))</f>
        <v>&lt;span class="w"&gt;&lt;b&gt;【908.float：漂う, 浮かぶ, 〜を浮かべる】&lt;/b&gt;&lt;/span&gt;
&lt;span class="ml"&gt;古英語flotian（水面に浮かぶ）にさかのぼる。
&lt;span class="spacer"&gt;&lt;/span&gt;fl-で始まる単語は、flow / fly / flee / floodなど、風や水にふわりと乗って動いていくイメージ。ここから「漂う, 浮かぶ, 浮かべる」という意味になる。&lt;/span&gt;</v>
      </c>
      <c r="S1255" s="13" t="str">
        <f>INDEX($L:$L, MATCH("flee", $B:$B, 0))</f>
        <v>&lt;span class="w"&gt;&lt;b&gt;【1312.flee：逃げる】&lt;/b&gt;&lt;/span&gt;
&lt;span class="ml"&gt;印欧祖語*pleu-（流れる）にさかのぼる。
&lt;span class="spacer"&gt;&lt;/span&gt;この印欧祖語からはflyやflowも生まれている。この語の核は「流れるような素早い動き」。流れるようにスッと危険や脅威から離れることから「逃げる」という意味になった。&lt;/span&gt;</v>
      </c>
      <c r="T1255" s="13" t="str">
        <f>INDEX($L:$L, MATCH("fluent", $B:$B, 0))</f>
        <v>&lt;span class="w"&gt;&lt;b&gt;【988.fluent：流ちょうな】&lt;/b&gt;&lt;/span&gt;
&lt;span class="ml"&gt;ラテン語fluere（流れる, 流れ出る）に由来する。
&lt;span class="spacer"&gt;&lt;/span&gt;もともとは物理的な流れるという意味だったが、そこから水が流れるように言葉が出てくることから「流ちょうな」という意味になった。
&lt;span class="spacer"&gt;&lt;/span&gt;このfl部分の「流れる」というイメージは、fluid（液体）やinfluence（影響）、インフルエンザのfluにも見られる。&lt;/span&gt;</v>
      </c>
      <c r="U1255" s="13" t="str">
        <f>INDEX($L:$L, MATCH("influence", $B:$B, 0))</f>
        <v>&lt;span class="w"&gt;&lt;b&gt;【49.influence：影響力】&lt;/b&gt;&lt;/span&gt;
&lt;span class="ml"&gt;ラテン語に由来する語で、以下の2つの要素から成る。
&lt;span class="spacer"&gt;&lt;/span&gt;in（中に）
fluere（流れる）
&lt;span class="spacer"&gt;&lt;/span&gt;このまま日本語にすると「中に流れる」となる。昔は占星術の用語として使われ、星から出る人格や運命に作用する力を意味した。ここから占星術に限定されず、一般的な目に見えない力＝「影響力」という意味になる。&lt;/span&gt;</v>
      </c>
      <c r="AU1255" s="15"/>
      <c r="AV1255" s="1" t="s">
        <v>38</v>
      </c>
      <c r="BG1255" s="7" t="s">
        <v>1242</v>
      </c>
      <c r="BH1255" s="1" t="s">
        <v>1947</v>
      </c>
      <c r="BI1255" s="2" t="s">
        <v>6241</v>
      </c>
      <c r="BJ1255" s="1" t="s">
        <v>1959</v>
      </c>
      <c r="BK1255" s="2" t="s">
        <v>6242</v>
      </c>
      <c r="BL1255" s="1" t="s">
        <v>1875</v>
      </c>
      <c r="BM1255" s="2" t="s">
        <v>6243</v>
      </c>
      <c r="BN1255" s="1" t="s">
        <v>1877</v>
      </c>
      <c r="BO1255" s="2" t="s">
        <v>6244</v>
      </c>
    </row>
    <row r="1256" spans="1:69" ht="216" x14ac:dyDescent="0.45">
      <c r="A1256" s="5">
        <v>1255</v>
      </c>
      <c r="B1256" s="6" t="s">
        <v>993</v>
      </c>
      <c r="C1256" s="6" t="s">
        <v>6850</v>
      </c>
      <c r="D1256" s="7" t="s">
        <v>9752</v>
      </c>
      <c r="E1256" s="1" t="s">
        <v>993</v>
      </c>
      <c r="F1256" s="1"/>
      <c r="G1256" s="1"/>
      <c r="J1256" s="1" t="s">
        <v>9753</v>
      </c>
      <c r="L1256" s="2" t="s">
        <v>9725</v>
      </c>
      <c r="P1256" s="7" t="s">
        <v>1241</v>
      </c>
      <c r="AV1256" s="1" t="s">
        <v>38</v>
      </c>
      <c r="BG1256" s="7" t="s">
        <v>1242</v>
      </c>
      <c r="BH1256" s="1" t="s">
        <v>1947</v>
      </c>
      <c r="BI1256" s="1" t="s">
        <v>6245</v>
      </c>
      <c r="BJ1256" s="1" t="s">
        <v>1959</v>
      </c>
      <c r="BK1256" s="1" t="s">
        <v>6246</v>
      </c>
      <c r="BL1256" s="1" t="s">
        <v>1875</v>
      </c>
      <c r="BM1256" s="2" t="s">
        <v>6247</v>
      </c>
    </row>
    <row r="1257" spans="1:69" ht="108" x14ac:dyDescent="0.45">
      <c r="A1257" s="5">
        <v>1256</v>
      </c>
      <c r="B1257" s="6" t="s">
        <v>994</v>
      </c>
      <c r="C1257" s="6" t="s">
        <v>6850</v>
      </c>
      <c r="D1257" s="7" t="s">
        <v>9752</v>
      </c>
      <c r="E1257" s="1" t="s">
        <v>994</v>
      </c>
      <c r="F1257" s="1"/>
      <c r="G1257" s="1"/>
      <c r="J1257" s="1" t="s">
        <v>9753</v>
      </c>
      <c r="L1257" s="2" t="s">
        <v>9726</v>
      </c>
      <c r="P1257" s="7" t="s">
        <v>1241</v>
      </c>
      <c r="AU1257" s="15"/>
      <c r="AV1257" s="1" t="s">
        <v>38</v>
      </c>
      <c r="BG1257" s="7" t="s">
        <v>1242</v>
      </c>
      <c r="BH1257" s="1" t="s">
        <v>2458</v>
      </c>
      <c r="BI1257" s="2" t="s">
        <v>6248</v>
      </c>
      <c r="BJ1257" s="1" t="s">
        <v>2036</v>
      </c>
      <c r="BK1257" s="1" t="s">
        <v>6249</v>
      </c>
      <c r="BL1257" s="1" t="s">
        <v>2026</v>
      </c>
      <c r="BM1257" s="1" t="s">
        <v>6250</v>
      </c>
      <c r="BN1257" s="1" t="s">
        <v>1872</v>
      </c>
      <c r="BO1257" s="1" t="s">
        <v>6251</v>
      </c>
      <c r="BP1257" s="1" t="s">
        <v>1875</v>
      </c>
      <c r="BQ1257" s="1" t="s">
        <v>6252</v>
      </c>
    </row>
    <row r="1258" spans="1:69" ht="216" x14ac:dyDescent="0.45">
      <c r="A1258" s="5">
        <v>1257</v>
      </c>
      <c r="B1258" s="8" t="s">
        <v>995</v>
      </c>
      <c r="C1258" s="6" t="s">
        <v>6850</v>
      </c>
      <c r="D1258" s="7" t="s">
        <v>9752</v>
      </c>
      <c r="E1258" s="1" t="s">
        <v>1346</v>
      </c>
      <c r="F1258" s="1" t="s">
        <v>6253</v>
      </c>
      <c r="G1258" s="1" t="s">
        <v>1809</v>
      </c>
      <c r="J1258" s="1" t="s">
        <v>9753</v>
      </c>
      <c r="L1258" s="2" t="s">
        <v>9727</v>
      </c>
      <c r="P1258" s="7" t="s">
        <v>1241</v>
      </c>
      <c r="Q1258" s="13" t="str">
        <f>INDEX($L:$L, MATCH("knowledge", $B:$B, 0))</f>
        <v>&lt;span class="w"&gt;&lt;b&gt;【58.knowledge：知識, 認識】&lt;/b&gt;&lt;/span&gt;
&lt;span class="ml"&gt;knowledgeは「knowの名詞」と覚えればよい。
&lt;span class="spacer"&gt;&lt;/span&gt;知っているという動詞から知っていること＝「知識, 認識」という名詞になる。&lt;/span&gt;</v>
      </c>
      <c r="R1258" s="13" t="str">
        <f>INDEX($L:$L, MATCH("acknowledge", $B:$B, 0))</f>
        <v>&lt;span class="w"&gt;&lt;b&gt;【717.acknowledge：〜を認める】&lt;/b&gt;&lt;/span&gt;
&lt;span class="ml"&gt;以下の中英語の2語がひとつになってできた語。
&lt;span class="spacer"&gt;&lt;/span&gt;aknowen（知っていることを認める）
knowlechen（認める）
&lt;span class="spacer"&gt;&lt;/span&gt;この語は、対象を示すac（〜に）とknow（知っている）が合わさったと考えればよい。「何かに対して知っていると認める」というイメージで覚える。&lt;/span&gt;</v>
      </c>
      <c r="S1258" s="13" t="str">
        <f>INDEX($L:$L, MATCH("unknown", $B:$B, 0))</f>
        <v>&lt;span class="w"&gt;&lt;b&gt;【492.unknown：不明の, 知られていない】&lt;/b&gt;&lt;/span&gt;
&lt;span class="ml"&gt;中英語にさかのぼり、以下の2つの要素から成る。
&lt;span class="spacer"&gt;&lt;/span&gt;un（否定）
knowの過去分詞known
&lt;span class="spacer"&gt;&lt;/span&gt;このまま「知られていない」という意味になる。&lt;/span&gt;</v>
      </c>
      <c r="T1258" s="13" t="str">
        <f>INDEX($L:$L, MATCH("notice", $B:$B, 0))</f>
        <v>&lt;span class="w"&gt;&lt;b&gt;【101.notice：（動）～に気づく, （名）通知】&lt;/b&gt;&lt;/span&gt;
&lt;span class="ml"&gt;印欧祖語*gno-（知る）から生まれたラテン語(g)nōscere（知るようになる, 認識する）
&lt;span class="spacer"&gt;&lt;/span&gt;「知るようになる」から知られるきっかけである「通知, 知らせ」という名詞になる。そして知らせによって何かを認識するので、「気づく」という動詞になる。&lt;/span&gt;</v>
      </c>
      <c r="U1258" s="13" t="str">
        <f>INDEX($L:$L, MATCH("notion", $B:$B, 0))</f>
        <v>&lt;span class="w"&gt;&lt;b&gt;【453.notion：概念, 考え】&lt;/b&gt;&lt;/span&gt;
&lt;span class="ml"&gt;ラテン語に由来する語で、以下の2つの要素から成る。
&lt;span class="spacer"&gt;&lt;/span&gt;noscere（知る）
io（名詞化）
&lt;span class="spacer"&gt;&lt;/span&gt;この語の核は「知られているもの」。ここから頭の中にある「考え, 概念」という意味になる。&lt;/span&gt;</v>
      </c>
      <c r="V1258" s="13" t="str">
        <f>INDEX($L:$L, MATCH("noble", $B:$B, 0))</f>
        <v>&lt;span class="w"&gt;&lt;b&gt;【1184.noble：高貴な, 高潔な, 気高い】&lt;/b&gt;&lt;/span&gt;
&lt;span class="ml"&gt;ラテン語に由来する語で、以下の2つの要素から成る。
&lt;span class="spacer"&gt;&lt;/span&gt;gnoscere（知る）
bilis（できる）
&lt;span class="spacer"&gt;&lt;/span&gt;この語の核は「皆によく知られている＝知名度が高い」。当時の社会で、世間によく知られているということは身分が高い家、つまり貴族ということになる。そこから「高貴な」という意味になった。
&lt;span class="spacer"&gt;&lt;/span&gt;また高貴な人々にふさわしいとされる道徳心や立派な振る舞いから「高潔な, 気高い」という意味にもなった。
&lt;div class="sample_image noble"&gt;&lt;/div&gt;&lt;/span&gt;</v>
      </c>
      <c r="W1258" s="13" t="str">
        <f>INDEX($L:$L, MATCH("ignore", $B:$B, 0))</f>
        <v>&lt;span class="w"&gt;&lt;b&gt;【224.ignore：～を無視する】&lt;/b&gt;&lt;/span&gt;
&lt;span class="ml"&gt;ラテン語に由来する語で、以下の2つの要素から成る。
&lt;span class="spacer"&gt;&lt;/span&gt;in（否定）
gnarus（知っている）
&lt;span class="spacer"&gt;&lt;/span&gt;このまま日本語にすると「知らない」となる。気に留めることなく知らないふりをすることから、「無視する」という意味になった。
&lt;span class="spacer"&gt;&lt;/span&gt;形容詞ignorant（無知な）,や名詞ignorance（無知）もセットで覚えておく。&lt;/span&gt;</v>
      </c>
      <c r="X1258" s="13" t="str">
        <f>INDEX($L:$L, MATCH("cognitive", $B:$B, 0))</f>
        <v>&lt;span class="w"&gt;&lt;b&gt;【279.cognitive：認知の】&lt;/b&gt;&lt;/span&gt;
&lt;span class="ml"&gt;ラテン語に由来する語で、以下の2つの要素から成る。
&lt;span class="spacer"&gt;&lt;/span&gt;com（共に）
gnoscere（知る）
&lt;span class="obsolete"&gt;ive（形容詞化）は英語段階で付いた&lt;/span&gt;
&lt;span class="spacer"&gt;&lt;/span&gt;このまま日本語にすると「共に知る」となる。互いに認知することから「認知の」という意味になる。&lt;/span&gt;</v>
      </c>
      <c r="Y1258" s="13" t="str">
        <f>INDEX($L:$L, MATCH("recognize", $B:$B, 0))</f>
        <v>&lt;span class="w"&gt;&lt;b&gt;【106.recognize：～を認識する, ～を識別する】&lt;/b&gt;&lt;/span&gt;
&lt;span class="ml"&gt;ラテン語に由来する語で、以下の3つの要素から成る。
&lt;span class="spacer"&gt;&lt;/span&gt;re（再び）
com（強意）
gnoscere（知る）
&lt;span class="spacer"&gt;&lt;/span&gt;このまま日本語にすると「再びしっかり知る」となる。目の前の情報Aを既にある知識と照らし合わせ、情報Aは知識の中の情報Bと同一であると再び知る。つまり、情報Aは情報Bであると「識別する, 認識する」という意味になる。
&lt;div class="sample_image recognize"&gt;&lt;/div&gt;&lt;/span&gt;</v>
      </c>
      <c r="Z1258" s="13" t="str">
        <f>INDEX($L:$L, MATCH("diagnose", $B:$B, 0))</f>
        <v>&lt;span class="w"&gt;&lt;b&gt;【1419.diagnose：診断する】&lt;/b&gt;&lt;/span&gt;
&lt;span class="ml"&gt;ギリシャ語に由来する語で、以下の2つの要素から成る。
&lt;span class="spacer"&gt;&lt;/span&gt;dia（間に）
gignōskein（学ぶ, 知るようになる）
&lt;span class="spacer"&gt;&lt;/span&gt;もともとは、様々な物事の間にある差異を知り、それぞれを区別する、識別することを表した。そこから医学において、症状を見分けて病名を特定することを意味するようになり、「診断する」という意味になった。
&lt;div class="sample_image diagnose"&gt;&lt;/div&gt;
&lt;span class="spacer"&gt;&lt;/span&gt;さらに現代では、医学に限らず、機械や技術、ビジネス、教育など様々な分野において「問題分析をする」という意味でも使われる。&lt;/span&gt;</v>
      </c>
      <c r="AV1258" s="1" t="s">
        <v>38</v>
      </c>
      <c r="BG1258" s="7" t="s">
        <v>1242</v>
      </c>
      <c r="BH1258" s="1" t="s">
        <v>1976</v>
      </c>
      <c r="BI1258" s="1" t="s">
        <v>3355</v>
      </c>
      <c r="BJ1258" s="1" t="s">
        <v>1947</v>
      </c>
      <c r="BK1258" s="2" t="s">
        <v>6254</v>
      </c>
      <c r="BL1258" s="1" t="s">
        <v>2026</v>
      </c>
      <c r="BM1258" s="1" t="s">
        <v>6255</v>
      </c>
      <c r="BN1258" s="1" t="s">
        <v>1959</v>
      </c>
      <c r="BO1258" s="2" t="s">
        <v>6256</v>
      </c>
      <c r="BP1258" s="1" t="s">
        <v>1875</v>
      </c>
      <c r="BQ1258" s="2" t="s">
        <v>6257</v>
      </c>
    </row>
    <row r="1259" spans="1:69" ht="180" x14ac:dyDescent="0.45">
      <c r="A1259" s="5">
        <v>1258</v>
      </c>
      <c r="B1259" s="6" t="s">
        <v>996</v>
      </c>
      <c r="C1259" s="6" t="s">
        <v>6850</v>
      </c>
      <c r="D1259" s="7" t="s">
        <v>9752</v>
      </c>
      <c r="E1259" s="1" t="s">
        <v>6258</v>
      </c>
      <c r="F1259" s="1" t="s">
        <v>6259</v>
      </c>
      <c r="G1259" s="1"/>
      <c r="J1259" s="1" t="s">
        <v>9753</v>
      </c>
      <c r="L1259" s="2" t="s">
        <v>9728</v>
      </c>
      <c r="P1259" s="7" t="s">
        <v>1241</v>
      </c>
      <c r="AU1259" s="15"/>
      <c r="AV1259" s="1" t="s">
        <v>38</v>
      </c>
      <c r="BG1259" s="7" t="s">
        <v>1242</v>
      </c>
      <c r="BH1259" s="1" t="s">
        <v>1872</v>
      </c>
      <c r="BI1259" s="2" t="s">
        <v>6260</v>
      </c>
    </row>
    <row r="1260" spans="1:69" ht="72" x14ac:dyDescent="0.45">
      <c r="A1260" s="5">
        <v>1259</v>
      </c>
      <c r="B1260" s="6" t="s">
        <v>997</v>
      </c>
      <c r="C1260" s="6" t="s">
        <v>6850</v>
      </c>
      <c r="D1260" s="7" t="s">
        <v>9752</v>
      </c>
      <c r="E1260" s="1" t="s">
        <v>9729</v>
      </c>
      <c r="F1260" s="1" t="s">
        <v>1758</v>
      </c>
      <c r="G1260" s="1"/>
      <c r="J1260" s="1" t="s">
        <v>9753</v>
      </c>
      <c r="L1260" s="2" t="s">
        <v>9730</v>
      </c>
      <c r="P1260" s="7" t="s">
        <v>1241</v>
      </c>
      <c r="AV1260" s="1" t="s">
        <v>38</v>
      </c>
      <c r="BG1260" s="7" t="s">
        <v>1242</v>
      </c>
      <c r="BH1260" s="1" t="s">
        <v>1947</v>
      </c>
      <c r="BI1260" s="1" t="s">
        <v>6261</v>
      </c>
      <c r="BJ1260" s="1" t="s">
        <v>2026</v>
      </c>
      <c r="BK1260" s="1" t="s">
        <v>6262</v>
      </c>
      <c r="BL1260" s="1" t="s">
        <v>1959</v>
      </c>
      <c r="BM1260" s="2" t="s">
        <v>6263</v>
      </c>
      <c r="BN1260" s="1" t="s">
        <v>1875</v>
      </c>
      <c r="BO1260" s="2" t="s">
        <v>6264</v>
      </c>
    </row>
    <row r="1261" spans="1:69" ht="126" x14ac:dyDescent="0.45">
      <c r="A1261" s="5">
        <v>1260</v>
      </c>
      <c r="B1261" s="6" t="s">
        <v>998</v>
      </c>
      <c r="C1261" s="6" t="s">
        <v>6850</v>
      </c>
      <c r="D1261" s="7" t="s">
        <v>9752</v>
      </c>
      <c r="E1261" s="1" t="s">
        <v>1327</v>
      </c>
      <c r="F1261" s="1" t="s">
        <v>6265</v>
      </c>
      <c r="G1261" s="1" t="s">
        <v>6266</v>
      </c>
      <c r="J1261" s="1" t="s">
        <v>9753</v>
      </c>
      <c r="K1261" s="1" t="s">
        <v>6267</v>
      </c>
      <c r="L1261" s="2" t="s">
        <v>9731</v>
      </c>
      <c r="P1261" s="7" t="s">
        <v>1241</v>
      </c>
      <c r="AU1261" s="15"/>
      <c r="AV1261" s="1" t="s">
        <v>38</v>
      </c>
      <c r="BG1261" s="7" t="s">
        <v>1242</v>
      </c>
      <c r="BH1261" s="1" t="s">
        <v>1877</v>
      </c>
      <c r="BI1261" s="2" t="s">
        <v>6268</v>
      </c>
    </row>
    <row r="1262" spans="1:69" ht="108" x14ac:dyDescent="0.45">
      <c r="A1262" s="5">
        <v>1261</v>
      </c>
      <c r="B1262" s="6" t="s">
        <v>999</v>
      </c>
      <c r="C1262" s="6" t="s">
        <v>6850</v>
      </c>
      <c r="D1262" s="7" t="s">
        <v>9752</v>
      </c>
      <c r="E1262" s="1" t="s">
        <v>999</v>
      </c>
      <c r="F1262" s="1"/>
      <c r="G1262" s="1"/>
      <c r="J1262" s="1" t="s">
        <v>9753</v>
      </c>
      <c r="L1262" s="2" t="s">
        <v>9732</v>
      </c>
      <c r="P1262" s="7" t="s">
        <v>1241</v>
      </c>
      <c r="AV1262" s="1" t="s">
        <v>38</v>
      </c>
      <c r="BG1262" s="7" t="s">
        <v>1242</v>
      </c>
      <c r="BH1262" s="1" t="s">
        <v>1947</v>
      </c>
      <c r="BI1262" s="1" t="s">
        <v>6269</v>
      </c>
      <c r="BJ1262" s="1" t="s">
        <v>2036</v>
      </c>
      <c r="BK1262" s="1" t="s">
        <v>6270</v>
      </c>
      <c r="BL1262" s="1" t="s">
        <v>1967</v>
      </c>
      <c r="BM1262" s="1" t="s">
        <v>6271</v>
      </c>
      <c r="BN1262" s="1" t="s">
        <v>1959</v>
      </c>
      <c r="BO1262" s="1" t="s">
        <v>6272</v>
      </c>
      <c r="BP1262" s="1" t="s">
        <v>1875</v>
      </c>
      <c r="BQ1262" s="2" t="s">
        <v>6273</v>
      </c>
    </row>
    <row r="1263" spans="1:69" ht="162" x14ac:dyDescent="0.45">
      <c r="A1263" s="5">
        <v>1262</v>
      </c>
      <c r="B1263" s="8" t="s">
        <v>1000</v>
      </c>
      <c r="C1263" s="6" t="s">
        <v>6850</v>
      </c>
      <c r="D1263" s="7" t="s">
        <v>9752</v>
      </c>
      <c r="E1263" s="1" t="s">
        <v>1467</v>
      </c>
      <c r="F1263" s="1" t="s">
        <v>6274</v>
      </c>
      <c r="G1263" s="1" t="s">
        <v>1474</v>
      </c>
      <c r="J1263" s="1" t="s">
        <v>9753</v>
      </c>
      <c r="L1263" s="2" t="s">
        <v>9733</v>
      </c>
      <c r="M1263" s="1" t="s">
        <v>12165</v>
      </c>
      <c r="P1263" s="7" t="s">
        <v>1241</v>
      </c>
      <c r="Q1263" s="13" t="str">
        <f>INDEX($L:$L, MATCH("mode", $B:$B, 0))</f>
        <v>&lt;span class="w"&gt;&lt;b&gt;【844.mode：方式, 形態, モード】&lt;/b&gt;&lt;/span&gt;
&lt;span class="ml"&gt;ラテン語modus（尺度, 方法）に由来する。
&lt;span class="spacer"&gt;&lt;/span&gt;尺度とは物事を測るための基準であり、その基準に従って行動すると、自然と一定のやり方（方法）が定まってくる。その「基準に沿ったやり方」が固定化されて「方式, 形態」といった意味になる。&lt;/span&gt;</v>
      </c>
      <c r="R1263" s="13" t="str">
        <f>INDEX($L:$L, MATCH("model", $B:$B, 0))</f>
        <v>&lt;span class="w"&gt;&lt;b&gt;【149.model：型, 模型, 模範】&lt;/b&gt;&lt;/span&gt;
&lt;span class="ml"&gt;ラテン語に由来する語で、以下の2つの要素から成る。
&lt;span class="spacer"&gt;&lt;/span&gt;modus（尺度）
ulus（小さいことを表す）
&lt;span class="spacer"&gt;&lt;/span&gt;このまま日本語にすると「小さな尺度」となる。小さな尺度とは、元のサイズから小さくした形の基準となるもの、つまり「型, 模型」のこと。何かのあり方の型なら「模範」という訳になる。&lt;/span&gt;</v>
      </c>
      <c r="S1263" s="13" t="str">
        <f>INDEX($L:$L, MATCH("modest", $B:$B, 0))</f>
        <v>&lt;span class="w"&gt;&lt;b&gt;【998.modest：謙虚な, 適度な, 質素な】&lt;/b&gt;&lt;/span&gt;
&lt;span class="ml"&gt;ラテン語に由来する語で、以下の2つの要素から成る。
&lt;span class="spacer"&gt;&lt;/span&gt;modus（尺度, 方法）
tus（形容詞化）
&lt;span class="spacer"&gt;&lt;/span&gt;この語の核は「尺度の中に収まっている」。出過ぎることなくちょうどよい感じから「謙虚な, 適度な, 質素な」という意味になる。ラテン語modusは英語modelの語源でもあるため、モデル（基準）の中に収まっていて出過ぎていない、とイメージしてもよい。&lt;/span&gt;</v>
      </c>
      <c r="T1263" s="13" t="str">
        <f>INDEX($L:$L, MATCH("moderate", $B:$B, 0))</f>
        <v>&lt;span class="w"&gt;&lt;b&gt;【1082.moderate：適度な, 穏健な】&lt;/b&gt;&lt;/span&gt;
&lt;span class="ml"&gt;ラテン語moderari（尺度を定める, 尺度内にとどめる）に由来する。
&lt;span class="spacer"&gt;&lt;/span&gt;この語の核は「尺度内にとどめる」。そこから程度が過度ではなく「適度な」という意味になる。また人の立場や考え方が過激でなく「穏健な」という意味にもなる。&lt;/span&gt;</v>
      </c>
      <c r="U1263" s="13" t="str">
        <f>INDEX($L:$L, MATCH("modify", $B:$B, 0))</f>
        <v>&lt;span class="w"&gt;&lt;b&gt;【839.modify：～を修正する, ～を調整する】&lt;/b&gt;&lt;/span&gt;
&lt;span class="ml"&gt;ラテン語に由来する語で、以下の2つの要素から成る。
&lt;span class="spacer"&gt;&lt;/span&gt;modus（尺度）
facere（行う, 作る）
&lt;span class="spacer"&gt;&lt;/span&gt;この語の核は「一定の尺度に収まるようにする」。ラテン語modusは、英語model（モデル）の語源でもあるので「一定のモデル（基準）に収まるようにする」と考えてもよい。
&lt;span class="spacer"&gt;&lt;/span&gt;基準の中に収めるので、はみ出した部分があれば基準に合うように「調整する」という意味になる。また基準が変われば、それに収めるためにで部分的に「修正する」という意味にもなる。
&lt;div class="sample_image modify"&gt;&lt;/div&gt;&lt;/span&gt;</v>
      </c>
      <c r="AU1263" s="15"/>
      <c r="AV1263" s="1" t="s">
        <v>38</v>
      </c>
      <c r="BG1263" s="7" t="s">
        <v>1242</v>
      </c>
      <c r="BH1263" s="1" t="s">
        <v>1947</v>
      </c>
      <c r="BI1263" s="2" t="s">
        <v>9734</v>
      </c>
      <c r="BJ1263" s="1" t="s">
        <v>1959</v>
      </c>
      <c r="BK1263" s="2" t="s">
        <v>6275</v>
      </c>
      <c r="BL1263" s="1" t="s">
        <v>1875</v>
      </c>
      <c r="BM1263" s="2" t="s">
        <v>6276</v>
      </c>
    </row>
    <row r="1264" spans="1:69" ht="144" x14ac:dyDescent="0.45">
      <c r="A1264" s="5">
        <v>1263</v>
      </c>
      <c r="B1264" s="8" t="s">
        <v>1001</v>
      </c>
      <c r="C1264" s="6" t="s">
        <v>6850</v>
      </c>
      <c r="D1264" s="7" t="s">
        <v>9752</v>
      </c>
      <c r="E1264" s="1" t="s">
        <v>1001</v>
      </c>
      <c r="F1264" s="1"/>
      <c r="G1264" s="1"/>
      <c r="J1264" s="1" t="s">
        <v>9753</v>
      </c>
      <c r="K1264" s="2"/>
      <c r="L1264" s="2" t="s">
        <v>9735</v>
      </c>
      <c r="M1264" s="1" t="s">
        <v>12207</v>
      </c>
      <c r="P1264" s="7" t="s">
        <v>1241</v>
      </c>
      <c r="Q1264" s="13" t="str">
        <f>INDEX($L:$L, MATCH("inform", $B:$B, 0))</f>
        <v>&lt;span class="w"&gt;&lt;b&gt;【508.inform：〜に知らせる, 情報を提供する】&lt;/b&gt;&lt;/span&gt;
&lt;span class="ml"&gt;ラテン語に由来する語で、以下の2つの要素から成る。
&lt;span class="spacer"&gt;&lt;/span&gt;in（中に）
formare（形作る）
&lt;span class="spacer"&gt;&lt;/span&gt;このまま日本語にすると「内側に形作る」となる。これは、相手の頭の中に知識を形成するというイメージ。ここから、教育によって教えることへとつながる。そして教育することから情報の伝達が意味の中心となり、相手に「情報を与える, 知らせる」という意味になった。&lt;/span&gt;</v>
      </c>
      <c r="R1264" s="13" t="str">
        <f>INDEX($L:$L, MATCH("transform", $B:$B, 0))</f>
        <v>&lt;span class="w"&gt;&lt;b&gt;【519.transform：〜を変える】&lt;/b&gt;&lt;/span&gt;
&lt;span class="ml"&gt;ラテン語に由来する語で、以下の2つの要素から成る。
&lt;span class="spacer"&gt;&lt;/span&gt;trans（越えて）
forma（形）から派生したformare（形作る）
&lt;span class="spacer"&gt;&lt;/span&gt;このまま日本語にすると「越えて形作る」となる。これは、今ある状態から別の状態へと形を変えるイメージで、形や質を「変える」という意味になる。&lt;/span&gt;</v>
      </c>
      <c r="S1264" s="13" t="str">
        <f>INDEX($L:$L, MATCH("reform", $B:$B, 0))</f>
        <v>&lt;span class="w"&gt;&lt;b&gt;【735.reform：〜を改革する, 〜を改心させる】&lt;/b&gt;&lt;/span&gt;
&lt;span class="ml"&gt;ラテン語に由来する語で、以下の2つの要素から成る。
&lt;span class="spacer"&gt;&lt;/span&gt;re（再び）
formare（形作る）
&lt;span class="spacer"&gt;&lt;/span&gt;このまま日本語にすると「再び形作る」となる。これは、前よりも良い形に変えることを表し、人を「改心させる」や政府や制度を「改革する」という意味になる。&lt;/span&gt;</v>
      </c>
      <c r="T1264" s="13" t="str">
        <f>INDEX($L:$L, MATCH("platform", $B:$B, 0))</f>
        <v>&lt;span class="w"&gt;&lt;b&gt;【771.platform：プラットフォーム, 演壇, 舞台】&lt;/b&gt;&lt;/span&gt;
&lt;span class="ml"&gt;古フランス語に由来する語で、以下の2つの要素から成る。
&lt;span class="spacer"&gt;&lt;/span&gt;plat（平らな, 水平な）
forme（形）
&lt;span class="spacer"&gt;&lt;/span&gt;このまま日本語にすると「平らな形」となる。最初は建物の平面図や地形の平らな場所を指したが、そこから物理的な一段高くなった台、つまり「駅のホーム」や「演壇, 舞台」といった意味になった。
&lt;span class="spacer"&gt;&lt;/span&gt;さらにその後、意見や方針を発表するための基盤＝政党の綱領や現代のITプラットフォームなどといった抽象的な意味にも広がった。&lt;/span&gt;</v>
      </c>
      <c r="U1264" s="13" t="str">
        <f>INDEX($L:$L, MATCH("formation", $B:$B, 0))</f>
        <v>&lt;span class="w"&gt;&lt;b&gt;【942.formation：形成】&lt;/b&gt;&lt;/span&gt;
&lt;span class="ml"&gt;ラテン語に由来する語で、以下の2つの要素から成る。
&lt;span class="spacer"&gt;&lt;/span&gt;
forma（形, 姿）から派生した動詞formare（形作る）
io（名詞化）
&lt;span class="spacer"&gt;&lt;/span&gt;このまま日本語にすると「形作ること, 形成」という意味になる。&lt;/span&gt;</v>
      </c>
      <c r="V1264" s="13" t="str">
        <f>INDEX($L:$L, MATCH("informal", $B:$B, 0))</f>
        <v>&lt;span class="w"&gt;&lt;b&gt;【982.informal：形式ばらない】&lt;/b&gt;&lt;/span&gt;
&lt;span class="ml"&gt;ラテン語に由来する語で、以下の3つの要素から成る。
&lt;span class="spacer"&gt;&lt;/span&gt;&lt;span class="obsolete"&gt;in（否定）は英語段階で付いた&lt;/span&gt;
forma（形, 型）
alis（形容詞化）
&lt;span class="spacer"&gt;&lt;/span&gt;形や型を表すformから、決まった型があるformalになる。そしてそれを否定したinformalは「型がない, 形式ばらない」という意味になる。&lt;/span&gt;</v>
      </c>
      <c r="W1264" s="13" t="str">
        <f>INDEX($L:$L, MATCH("formula", $B:$B, 0))</f>
        <v>&lt;span class="w"&gt;&lt;b&gt;【1366.formula：方法, 公式】&lt;/b&gt;&lt;/span&gt;
&lt;span class="ml"&gt;ラテン語
forma（形, 型）
ula（小さいことを表す）
&lt;span class="spacer"&gt;&lt;/span&gt;このまま日本語にすると「小さな型（フォーム）」となり、もともとは同じものを量産するためのひな型を表した。ひな型に材料を流し込めば必ず同じ形ができるように、同じ手順を踏めば同じ結果になるという考えから、決まった型通りの「方法」や数学の「公式」という意味になった。&lt;/span&gt;</v>
      </c>
      <c r="AU1264" s="15"/>
      <c r="AV1264" s="1" t="s">
        <v>38</v>
      </c>
      <c r="BG1264" s="7" t="s">
        <v>1242</v>
      </c>
      <c r="BH1264" s="1" t="s">
        <v>1947</v>
      </c>
      <c r="BI1264" s="2" t="s">
        <v>6277</v>
      </c>
      <c r="BJ1264" s="1" t="s">
        <v>3408</v>
      </c>
      <c r="BK1264" s="2" t="s">
        <v>6278</v>
      </c>
      <c r="BL1264" s="1" t="s">
        <v>1996</v>
      </c>
      <c r="BM1264" s="2" t="s">
        <v>6279</v>
      </c>
      <c r="BN1264" s="1" t="s">
        <v>1877</v>
      </c>
      <c r="BO1264" s="2" t="s">
        <v>6280</v>
      </c>
      <c r="BP1264" s="1" t="s">
        <v>3496</v>
      </c>
      <c r="BQ1264" s="2" t="s">
        <v>6281</v>
      </c>
    </row>
    <row r="1265" spans="1:73" ht="180" x14ac:dyDescent="0.45">
      <c r="A1265" s="5">
        <v>1264</v>
      </c>
      <c r="B1265" s="8" t="s">
        <v>1002</v>
      </c>
      <c r="C1265" s="6" t="s">
        <v>6850</v>
      </c>
      <c r="D1265" s="7" t="s">
        <v>9752</v>
      </c>
      <c r="E1265" s="1" t="s">
        <v>1251</v>
      </c>
      <c r="F1265" s="1" t="s">
        <v>6282</v>
      </c>
      <c r="G1265" s="1" t="s">
        <v>1698</v>
      </c>
      <c r="J1265" s="1" t="s">
        <v>9753</v>
      </c>
      <c r="K1265" s="2"/>
      <c r="L1265" s="2" t="s">
        <v>9736</v>
      </c>
      <c r="M1265" s="1" t="s">
        <v>12181</v>
      </c>
      <c r="P1265" s="7" t="s">
        <v>1241</v>
      </c>
      <c r="Q1265" s="13" t="str">
        <f>INDEX($L:$L, MATCH("concept", $B:$B, 0))</f>
        <v>&lt;span class="w"&gt;&lt;b&gt;【241.concept：概念, 考え】&lt;/b&gt;&lt;/span&gt;
&lt;span class="ml"&gt;ラテン語に由来する語で、以下の2つの要素から成る。
&lt;span class="spacer"&gt;&lt;/span&gt;com（強意）
capere（取る）
&lt;span class="spacer"&gt;&lt;/span&gt;このまま日本語にすると「しっかり取る」となる。しっかり取り入れることから頭の中に取り入れられたもの＝「概念, 考え」という意味になる。&lt;/span&gt;</v>
      </c>
      <c r="R1265" s="13" t="str">
        <f>INDEX($L:$L, MATCH("exception", $B:$B, 0))</f>
        <v>&lt;span class="w"&gt;&lt;b&gt;【654.exception：例外】&lt;/b&gt;&lt;/span&gt;
&lt;span class="ml"&gt;ラテン語に由来する語で、以下の3つの要素から成る。
&lt;span class="spacer"&gt;&lt;/span&gt;ex（外に）
capere（取る）
io（名詞化）
&lt;span class="spacer"&gt;&lt;/span&gt;このまま日本語にすると「外に取り出すこと」となる。あるルールや条件の範囲の外に取り出すことから「例外」という意味になる。&lt;/span&gt;</v>
      </c>
      <c r="S1265" s="13" t="str">
        <f>INDEX($L:$L, MATCH("reception", $B:$B, 0))</f>
        <v>&lt;span class="w"&gt;&lt;b&gt;【1446.reception：反応, 受付, 宴会, 受信】&lt;/b&gt;&lt;/span&gt;
&lt;span class="ml"&gt;ラテン語に由来する語で、以下の3つの要素から成る。
&lt;span class="spacer"&gt;&lt;/span&gt;re（再び, 後ろへ）
capere（取る）
io（名詞化）
&lt;span class="spacer"&gt;&lt;/span&gt;このまま日本語にすると「後ろへ（自分の方へ）取ること」となる。この語の核は「何かを受け取ること、受け入れること」。この核をもとに文脈で日本語訳すればよい。
&lt;span class="spacer"&gt;&lt;/span&gt;来客を受け入れることからは「宴会, 受付」、人や作品などが受け入れられることからは「反応, 評判」、電波を受け入れることからは「受信」という意味になる。&lt;/span&gt;</v>
      </c>
      <c r="T1265" s="13" t="str">
        <f>INDEX($L:$L, MATCH("recipe", $B:$B, 0))</f>
        <v>&lt;span class="w"&gt;&lt;b&gt;【870.recipe：調理法, レシピ, 手順】&lt;/b&gt;&lt;/span&gt;
&lt;span class="ml"&gt;ラテン語に由来する語で、以下の2つの要素から成る。
&lt;span class="spacer"&gt;&lt;/span&gt;re（再び）
capere（取る）
&lt;span class="spacer"&gt;&lt;/span&gt;もともとは、医師が薬剤師に渡す処方箋の冒頭に、ラテン語recipe（取りなさい）と書いたことによる。これは処方箋に書かれた材料を取り出しなさいという指示だったが、そこから薬の処方箋そのものを表すようになった。
&lt;span class="spacer"&gt;&lt;/span&gt;処方箋は薬の作り方を書き記したものなので、そこから発展して、何かの「手順」や料理の「調理法, レシピ」という意味になった。&lt;/span&gt;</v>
      </c>
      <c r="AU1265" s="15"/>
      <c r="AV1265" s="1" t="s">
        <v>38</v>
      </c>
      <c r="BG1265" s="7" t="s">
        <v>1242</v>
      </c>
      <c r="BH1265" s="1" t="s">
        <v>1947</v>
      </c>
      <c r="BI1265" s="2" t="s">
        <v>6283</v>
      </c>
      <c r="BJ1265" s="1" t="s">
        <v>1996</v>
      </c>
      <c r="BK1265" s="2" t="s">
        <v>6284</v>
      </c>
      <c r="BL1265" s="1" t="s">
        <v>1877</v>
      </c>
      <c r="BM1265" s="2" t="s">
        <v>6285</v>
      </c>
    </row>
    <row r="1266" spans="1:73" ht="108" x14ac:dyDescent="0.45">
      <c r="A1266" s="5">
        <v>1265</v>
      </c>
      <c r="B1266" s="6" t="s">
        <v>1003</v>
      </c>
      <c r="C1266" s="6" t="s">
        <v>6850</v>
      </c>
      <c r="D1266" s="7" t="s">
        <v>9752</v>
      </c>
      <c r="E1266" s="1" t="s">
        <v>1003</v>
      </c>
      <c r="F1266" s="1"/>
      <c r="G1266" s="1"/>
      <c r="J1266" s="1" t="s">
        <v>9753</v>
      </c>
      <c r="K1266" s="1" t="s">
        <v>6286</v>
      </c>
      <c r="L1266" s="2" t="s">
        <v>9737</v>
      </c>
      <c r="P1266" s="7" t="s">
        <v>1241</v>
      </c>
      <c r="AU1266" s="15"/>
      <c r="AV1266" s="1" t="s">
        <v>38</v>
      </c>
      <c r="BG1266" s="7" t="s">
        <v>1242</v>
      </c>
      <c r="BH1266" s="1" t="s">
        <v>1877</v>
      </c>
      <c r="BI1266" s="2" t="s">
        <v>6287</v>
      </c>
    </row>
    <row r="1267" spans="1:73" ht="126" x14ac:dyDescent="0.45">
      <c r="A1267" s="5">
        <v>1266</v>
      </c>
      <c r="B1267" s="8" t="s">
        <v>1004</v>
      </c>
      <c r="C1267" s="6" t="s">
        <v>6850</v>
      </c>
      <c r="D1267" s="7" t="s">
        <v>9752</v>
      </c>
      <c r="E1267" s="1" t="s">
        <v>27</v>
      </c>
      <c r="F1267" s="1" t="s">
        <v>6288</v>
      </c>
      <c r="G1267" s="1" t="s">
        <v>1522</v>
      </c>
      <c r="J1267" s="1" t="s">
        <v>9753</v>
      </c>
      <c r="L1267" s="2" t="s">
        <v>9738</v>
      </c>
      <c r="M1267" s="1" t="s">
        <v>12193</v>
      </c>
      <c r="P1267" s="7" t="s">
        <v>1241</v>
      </c>
      <c r="Q1267" s="13" t="str">
        <f>INDEX($L:$L, MATCH("enable", $B:$B, 0))</f>
        <v>&lt;span class="w"&gt;&lt;b&gt;【309.enable：可能にする】&lt;/b&gt;&lt;/span&gt;
&lt;span class="ml"&gt;中英語en（動詞化）+able（～できる）にさかのぼる。
&lt;span class="spacer"&gt;&lt;/span&gt;このenはもう一つの要素を動詞化する働きがある。ここではableを動詞化して「可能にする」という意味になる。&lt;/span&gt;</v>
      </c>
      <c r="R1267" s="13" t="str">
        <f>INDEX($L:$L, MATCH("disabled", $B:$B, 0))</f>
        <v>&lt;span class="w"&gt;&lt;b&gt;【1487.disabled：障害のある】&lt;/b&gt;&lt;/span&gt;
&lt;span class="ml"&gt;近代英語に由来する語で、以下の2つの要素から成る。
&lt;span class="spacer"&gt;&lt;/span&gt;dis（否定）
ablen（可能にする）
ed（過去分詞化）
&lt;span class="spacer"&gt;&lt;/span&gt;この語の核は「能力や機能が失われた状態」。そこから身体的・精神的・感覚的な「障害のある」という意味になった。&lt;/span&gt;</v>
      </c>
      <c r="AU1267" s="15"/>
      <c r="AV1267" s="1" t="s">
        <v>38</v>
      </c>
      <c r="BG1267" s="7" t="s">
        <v>1242</v>
      </c>
      <c r="BH1267" s="1" t="s">
        <v>1947</v>
      </c>
      <c r="BI1267" s="2" t="s">
        <v>6289</v>
      </c>
      <c r="BJ1267" s="1" t="s">
        <v>1959</v>
      </c>
      <c r="BK1267" s="1" t="s">
        <v>6290</v>
      </c>
      <c r="BL1267" s="1" t="s">
        <v>1875</v>
      </c>
      <c r="BM1267" s="2" t="s">
        <v>9739</v>
      </c>
      <c r="BN1267" s="1" t="s">
        <v>1877</v>
      </c>
      <c r="BO1267" s="2" t="s">
        <v>6291</v>
      </c>
    </row>
    <row r="1268" spans="1:73" ht="270" x14ac:dyDescent="0.45">
      <c r="A1268" s="5">
        <v>1267</v>
      </c>
      <c r="B1268" s="8" t="s">
        <v>1005</v>
      </c>
      <c r="C1268" s="6" t="s">
        <v>6850</v>
      </c>
      <c r="D1268" s="7" t="s">
        <v>9752</v>
      </c>
      <c r="E1268" s="1" t="s">
        <v>1251</v>
      </c>
      <c r="F1268" s="1" t="s">
        <v>6292</v>
      </c>
      <c r="G1268" s="1"/>
      <c r="J1268" s="1" t="s">
        <v>9753</v>
      </c>
      <c r="L1268" s="2" t="s">
        <v>9740</v>
      </c>
      <c r="P1268" s="7" t="s">
        <v>1241</v>
      </c>
      <c r="Q1268" s="13" t="str">
        <f>INDEX($L:$L, MATCH("publish", $B:$B, 0))</f>
        <v>&lt;span class="w"&gt;&lt;b&gt;【140.publish：〜を出版する, 〜を公にする】&lt;/b&gt;&lt;/span&gt;
&lt;span class="ml"&gt;ラテン語populus（民衆）から派生した動詞publicare（公にする）に由来する。
&lt;span class="spacer"&gt;&lt;/span&gt;民衆という語から情報を民衆に対して広める＝「公にする」という動詞になる。また本や新聞などにして情報を民衆に広めるという場合は「出版する」という意味になる。&lt;/span&gt;</v>
      </c>
      <c r="R1268" s="13" t="str">
        <f>INDEX($L:$L, MATCH("public", $B:$B, 0))</f>
        <v>&lt;span class="w"&gt;&lt;b&gt;【83.public：公の, 公衆の, 公開の】&lt;/b&gt;&lt;/span&gt;
&lt;span class="ml"&gt;ラテン語に由来する語で、以下の2つの要素から成
る。
&lt;span class="spacer"&gt;&lt;/span&gt;populus（民衆：peopleの語源）
icus（形容詞化）
&lt;span class="spacer"&gt;&lt;/span&gt;このまま日本語にすると「民衆の」となる。つまり個人や特定の集団ではなく民衆全体に開かれている＝「公の, 公衆の, 公開の」という意味になる。&lt;/span&gt;</v>
      </c>
      <c r="AU1268" s="15"/>
      <c r="AV1268" s="1" t="s">
        <v>38</v>
      </c>
      <c r="BG1268" s="7" t="s">
        <v>1242</v>
      </c>
      <c r="BH1268" s="1" t="s">
        <v>1947</v>
      </c>
      <c r="BI1268" s="2" t="s">
        <v>6293</v>
      </c>
      <c r="BJ1268" s="1" t="s">
        <v>1996</v>
      </c>
      <c r="BK1268" s="2" t="s">
        <v>6294</v>
      </c>
      <c r="BL1268" s="1" t="s">
        <v>1877</v>
      </c>
      <c r="BM1268" s="2" t="s">
        <v>6295</v>
      </c>
    </row>
    <row r="1269" spans="1:73" ht="198" x14ac:dyDescent="0.45">
      <c r="A1269" s="5">
        <v>1268</v>
      </c>
      <c r="B1269" s="6" t="s">
        <v>1006</v>
      </c>
      <c r="C1269" s="6" t="s">
        <v>6850</v>
      </c>
      <c r="D1269" s="7" t="s">
        <v>9752</v>
      </c>
      <c r="E1269" s="1" t="s">
        <v>1467</v>
      </c>
      <c r="F1269" s="1" t="s">
        <v>6296</v>
      </c>
      <c r="G1269" s="1"/>
      <c r="J1269" s="1" t="s">
        <v>9753</v>
      </c>
      <c r="L1269" s="2" t="s">
        <v>9741</v>
      </c>
      <c r="P1269" s="7" t="s">
        <v>1241</v>
      </c>
      <c r="Q1269" s="13" t="str">
        <f>INDEX($L:$L, MATCH("debate", $B:$B, 0))</f>
        <v>&lt;span class="w"&gt;&lt;b&gt;【264.debate：討論, 論争, 討論会】&lt;/b&gt;&lt;/span&gt;
&lt;span class="ml"&gt;古フランス語に由来する語で、以下の2つの要素から成る。
&lt;span class="spacer"&gt;&lt;/span&gt;de（完全に）
betre（打つ）
&lt;span class="spacer"&gt;&lt;/span&gt;このまま日本語にすると「完全に打つ」となる。戦うイメージから、議論で戦う＝「討論, 論争」という意味になる。またきちんと準備された「討論会」という意味にもなる。&lt;/span&gt;</v>
      </c>
      <c r="AV1269" s="1" t="s">
        <v>38</v>
      </c>
      <c r="BG1269" s="7" t="s">
        <v>1242</v>
      </c>
      <c r="BH1269" s="1" t="s">
        <v>1947</v>
      </c>
      <c r="BI1269" s="1" t="s">
        <v>6297</v>
      </c>
      <c r="BJ1269" s="1" t="s">
        <v>2036</v>
      </c>
      <c r="BK1269" s="2" t="s">
        <v>6298</v>
      </c>
      <c r="BL1269" s="1" t="s">
        <v>1959</v>
      </c>
      <c r="BM1269" s="2" t="s">
        <v>6299</v>
      </c>
      <c r="BN1269" s="1" t="s">
        <v>1877</v>
      </c>
      <c r="BO1269" s="2" t="s">
        <v>6300</v>
      </c>
    </row>
    <row r="1270" spans="1:73" ht="144" x14ac:dyDescent="0.45">
      <c r="A1270" s="5">
        <v>1269</v>
      </c>
      <c r="B1270" s="6" t="s">
        <v>1007</v>
      </c>
      <c r="C1270" s="6" t="s">
        <v>6850</v>
      </c>
      <c r="D1270" s="7" t="s">
        <v>9752</v>
      </c>
      <c r="E1270" s="1" t="s">
        <v>1327</v>
      </c>
      <c r="F1270" s="1" t="s">
        <v>6301</v>
      </c>
      <c r="G1270" s="1"/>
      <c r="J1270" s="1" t="s">
        <v>9753</v>
      </c>
      <c r="L1270" s="2" t="s">
        <v>9742</v>
      </c>
      <c r="P1270" s="7" t="s">
        <v>1241</v>
      </c>
      <c r="AV1270" s="1" t="s">
        <v>38</v>
      </c>
      <c r="BG1270" s="7" t="s">
        <v>1242</v>
      </c>
      <c r="BH1270" s="1" t="s">
        <v>2036</v>
      </c>
      <c r="BI1270" s="1" t="s">
        <v>6302</v>
      </c>
      <c r="BJ1270" s="1" t="s">
        <v>1959</v>
      </c>
      <c r="BK1270" s="2" t="s">
        <v>6303</v>
      </c>
      <c r="BL1270" s="1" t="s">
        <v>1996</v>
      </c>
      <c r="BM1270" s="2" t="s">
        <v>6304</v>
      </c>
      <c r="BN1270" s="1" t="s">
        <v>1877</v>
      </c>
      <c r="BO1270" s="2" t="s">
        <v>6305</v>
      </c>
    </row>
    <row r="1271" spans="1:73" ht="216" x14ac:dyDescent="0.45">
      <c r="A1271" s="5">
        <v>1270</v>
      </c>
      <c r="B1271" s="6" t="s">
        <v>1008</v>
      </c>
      <c r="C1271" s="6" t="s">
        <v>6850</v>
      </c>
      <c r="D1271" s="7" t="s">
        <v>9752</v>
      </c>
      <c r="E1271" s="1" t="s">
        <v>1008</v>
      </c>
      <c r="F1271" s="1"/>
      <c r="G1271" s="1"/>
      <c r="J1271" s="1" t="s">
        <v>9753</v>
      </c>
      <c r="L1271" s="2" t="s">
        <v>9743</v>
      </c>
      <c r="P1271" s="7" t="s">
        <v>1241</v>
      </c>
      <c r="AU1271" s="15"/>
      <c r="AV1271" s="1" t="s">
        <v>38</v>
      </c>
      <c r="BG1271" s="7" t="s">
        <v>1242</v>
      </c>
      <c r="BH1271" s="1" t="s">
        <v>1877</v>
      </c>
      <c r="BI1271" s="2" t="s">
        <v>9744</v>
      </c>
      <c r="BJ1271" s="1" t="s">
        <v>3496</v>
      </c>
      <c r="BK1271" s="2" t="s">
        <v>6306</v>
      </c>
    </row>
    <row r="1272" spans="1:73" ht="252" x14ac:dyDescent="0.45">
      <c r="A1272" s="5">
        <v>1271</v>
      </c>
      <c r="B1272" s="6" t="s">
        <v>1009</v>
      </c>
      <c r="C1272" s="6" t="s">
        <v>6850</v>
      </c>
      <c r="D1272" s="7" t="s">
        <v>9752</v>
      </c>
      <c r="E1272" s="1" t="s">
        <v>6307</v>
      </c>
      <c r="F1272" s="1" t="s">
        <v>1584</v>
      </c>
      <c r="G1272" s="1"/>
      <c r="J1272" s="1" t="s">
        <v>9753</v>
      </c>
      <c r="L1272" s="2" t="s">
        <v>9960</v>
      </c>
      <c r="M1272" s="1" t="s">
        <v>12221</v>
      </c>
      <c r="P1272" s="7" t="s">
        <v>1241</v>
      </c>
      <c r="Q1272" s="13" t="str">
        <f>INDEX($L:$L, MATCH("fragile", $B:$B, 0))</f>
        <v>&lt;span class="w"&gt;&lt;b&gt;【1389.fragile：壊れやすい, 虚弱な】&lt;/b&gt;&lt;/span&gt;
&lt;span class="ml"&gt;ラテン語に由来する語で、以下の2つの要素から成る。
&lt;span class="spacer"&gt;&lt;/span&gt;frangere（壊す）
ilis（形容詞化）
&lt;span class="spacer"&gt;&lt;/span&gt;物理的に「壊れやすい」という意味だけではなく、身体的・精神的な崩れやすさから「虚弱な」という意味もある。
&lt;div class="sample_image fragile"&gt;&lt;/div&gt;
&lt;span class="spacer"&gt;&lt;/span&gt;fragileは、break（壊す）と同じ印欧祖語*bhreg-（壊す）にさかのぼる。
frag (ile)
break
f（フ）＋母音＋g（グ）
b（ブ）＋母音＋k（ク）
&lt;span class="spacer"&gt;&lt;/span&gt;現在でも両者は音の類似性を保持している。&lt;/span&gt;</v>
      </c>
      <c r="R1272" s="13" t="str">
        <f>INDEX($L:$L, MATCH("fragment", $B:$B, 0))</f>
        <v>&lt;span class="w"&gt;&lt;b&gt;【1457.fragment：断片】&lt;/b&gt;&lt;/span&gt;
&lt;span class="ml"&gt;ラテン語に由来する語で、以下の2つの要素から成る。
&lt;span class="spacer"&gt;&lt;/span&gt;frangere（壊す）
mentum（名詞化）
&lt;span class="spacer"&gt;&lt;/span&gt;壊れてバラバラになったものから、その「断片」という意味になる。
&lt;span class="spacer"&gt;&lt;/span&gt;fragmentは、break（壊す）と同じ印欧祖語*bhreg-（壊す）にさかのぼる。
frag (ment)
break
f（フ）＋母音＋g（グ）
b（ブ）＋母音＋k（ク）
&lt;span class="spacer"&gt;&lt;/span&gt;現在でも両者は音の類似性を保持している。&lt;/span&gt;</v>
      </c>
      <c r="S1272" s="13" t="str">
        <f>INDEX($L:$L, MATCH("outbreak", $B:$B, 0))</f>
        <v>&lt;span class="w"&gt;&lt;b&gt;【1351.outbreak：発生, 勃発】&lt;/b&gt;&lt;/span&gt;
&lt;span class="ml"&gt;中英語outbreak（閉じ込められた状態から突発的に外へ出る）にさかのぼる。
&lt;span class="spacer"&gt;&lt;/span&gt;内側に閉じ込められていたものが、突然壁を破って出てくるイメージから「発生, 勃発」という意味になる。&lt;/span&gt;</v>
      </c>
      <c r="T1272" s="13" t="str">
        <f>INDEX($L:$L, MATCH("breakthrough", $B:$B, 0))</f>
        <v>&lt;span class="w"&gt;&lt;b&gt;【1462.breakthrough：大発見, 飛躍的進歩】&lt;/b&gt;&lt;/span&gt;
&lt;span class="ml"&gt;中英語にさかのぼり、以下の2つの要素から成る。
&lt;span class="spacer"&gt;&lt;/span&gt;break（壊す）
through（通って）
&lt;span class="spacer"&gt;&lt;/span&gt;この語の核は「障壁を突き破って通り抜けること」。いままで成長や進展を阻み続けた壁を破壊し、通り抜けてさらに先へ進むことから、「大発見, 飛躍的進歩」といった意味になる。
&lt;div class="sample_image breakthrough"&gt;&lt;/div&gt;&lt;/span&gt;</v>
      </c>
      <c r="AV1272" s="1" t="s">
        <v>38</v>
      </c>
      <c r="BG1272" s="7" t="s">
        <v>1242</v>
      </c>
      <c r="BH1272" s="1" t="s">
        <v>1947</v>
      </c>
      <c r="BI1272" s="1" t="s">
        <v>6308</v>
      </c>
      <c r="BJ1272" s="1" t="s">
        <v>2036</v>
      </c>
      <c r="BK1272" s="2" t="s">
        <v>6309</v>
      </c>
      <c r="BL1272" s="1" t="s">
        <v>1967</v>
      </c>
      <c r="BM1272" s="1" t="s">
        <v>6310</v>
      </c>
      <c r="BN1272" s="1" t="s">
        <v>1959</v>
      </c>
      <c r="BO1272" s="2" t="s">
        <v>6311</v>
      </c>
      <c r="BP1272" s="1" t="s">
        <v>2114</v>
      </c>
      <c r="BQ1272" s="1" t="s">
        <v>6312</v>
      </c>
      <c r="BR1272" s="1" t="s">
        <v>1875</v>
      </c>
      <c r="BS1272" s="2" t="s">
        <v>6313</v>
      </c>
      <c r="BT1272" s="1" t="s">
        <v>1877</v>
      </c>
      <c r="BU1272" s="2" t="s">
        <v>6314</v>
      </c>
    </row>
    <row r="1273" spans="1:73" ht="216" x14ac:dyDescent="0.45">
      <c r="A1273" s="5">
        <v>1272</v>
      </c>
      <c r="B1273" s="8" t="s">
        <v>1010</v>
      </c>
      <c r="C1273" s="6" t="s">
        <v>6850</v>
      </c>
      <c r="D1273" s="7" t="s">
        <v>9752</v>
      </c>
      <c r="E1273" s="1" t="s">
        <v>27</v>
      </c>
      <c r="F1273" s="1" t="s">
        <v>6315</v>
      </c>
      <c r="G1273" s="1"/>
      <c r="J1273" s="1" t="s">
        <v>9753</v>
      </c>
      <c r="L1273" s="2" t="s">
        <v>9745</v>
      </c>
      <c r="M1273" s="1" t="s">
        <v>12175</v>
      </c>
      <c r="P1273" s="7" t="s">
        <v>1241</v>
      </c>
      <c r="Q1273" s="13" t="str">
        <f>INDEX($L:$L, MATCH("indicate", $B:$B, 0))</f>
        <v>&lt;span class="w"&gt;&lt;b&gt;【203.indicate：～を指し示す, ～を述べる】&lt;/b&gt;&lt;/span&gt;
&lt;span class="ml"&gt;ラテン語に由来する語で、以下の2つの要素から成る。
&lt;span class="spacer"&gt;&lt;/span&gt;in（中に）
dicare（宣言する, 示す）
&lt;span class="spacer"&gt;&lt;/span&gt;このまま日本語にすると「何かの中に向かって示す・宣言する」となる。この「中に向かって」は方向性を、「示す・宣言する」は情報の提示を表す。つまりindicateは対象（目的語）＝情報へ向け、その情報を示す役割をする。
&lt;span class="spacer"&gt;&lt;/span&gt;S indicate Oは、SがOの方向に相手を向けてその情報を示す。
&lt;div class="sample_image indicate"&gt;&lt;/div&gt;&lt;/span&gt;</v>
      </c>
      <c r="R1273" s="13" t="str">
        <f>INDEX($L:$L, MATCH("dedicate", $B:$B, 0))</f>
        <v>&lt;span class="w"&gt;&lt;b&gt;【1039.dedicate：〜を捧げる, 〜を献呈する】&lt;/b&gt;&lt;/span&gt;
&lt;span class="ml"&gt;ラテン語に由来する語で、以下の2つの要素から成る。
&lt;span class="spacer"&gt;&lt;/span&gt;de（離れて）
dicare（宣言する）
&lt;span class="spacer"&gt;&lt;/span&gt;もともとは、世間から切り離して神に属するものだと宣言する、宗教的な奉献を表した。そこから宗教に関わらず、一般的な意味として、時間やエネルギーなどを「捧げる」、作品や碑などを「献呈する」という意味になった。
&lt;div class="sample_image dedicate"&gt;&lt;/div&gt;&lt;/span&gt;</v>
      </c>
      <c r="S1273" s="13" t="str">
        <f>INDEX($L:$L, MATCH("predict", $B:$B, 0))</f>
        <v>&lt;span class="w"&gt;&lt;b&gt;【301.predict：～を予言する, ～を予測する】&lt;/b&gt;&lt;/span&gt;
&lt;span class="ml"&gt;ラテン語に由来する語で、以下の2つの要素から成る。
&lt;span class="spacer"&gt;&lt;/span&gt;prae（前に, 以前に）
dicere（言う）
&lt;span class="spacer"&gt;&lt;/span&gt;このまま日本語にすると「前に言う」となる。何かが起こる前に言うことから「予言する, 予測する」という意味になる。
&lt;div class="sample_image predict"&gt;&lt;/div&gt;&lt;/span&gt;</v>
      </c>
      <c r="T1273" s="13" t="str">
        <f>INDEX($L:$L, MATCH("contradict", $B:$B, 0))</f>
        <v>&lt;span class="w"&gt;&lt;b&gt;【1412.contradict：〜と矛盾する, 〜と反対の意見を言う】&lt;/b&gt;&lt;/span&gt;
&lt;span class="ml"&gt;ラテン語に由来する語で、以下の2つの要素から成る。
&lt;span class="spacer"&gt;&lt;/span&gt;contra（〜に対して）
dicere（言う, 話す）
&lt;span class="spacer"&gt;&lt;/span&gt;相手に反対して話すことから「反対の意見を言う」という意味に、発言や事実と反対のことを言うことから「矛盾する」という意味になる。
&lt;div class="sample_image contradict"&gt;&lt;/div&gt;&lt;/span&gt;</v>
      </c>
      <c r="U1273" s="13" t="str">
        <f>INDEX($L:$L, MATCH("judge", $B:$B, 0))</f>
        <v>&lt;span class="w"&gt;&lt;b&gt;【310.judge：～を判断する, 判決を下す】&lt;/b&gt;&lt;/span&gt;
&lt;span class="ml"&gt;ラテン語に由来する語で、以下の2つの要素から成る。
&lt;span class="spacer"&gt;&lt;/span&gt;ius（法）
dicere（宣言する, 示す）
&lt;span class="spacer"&gt;&lt;/span&gt;このまま日本語にすると「法を宣言する」となる。ここから法を宣言する人＝裁判官という意味を経て「判決を下す」という意味になる。また法とは関係なく、自分で考えて「判断する」となる。&lt;/span&gt;</v>
      </c>
      <c r="V1273" s="13" t="str">
        <f>INDEX($L:$L, MATCH("prejudice", $B:$B, 0))</f>
        <v>&lt;span class="w"&gt;&lt;b&gt;【768.prejudice：偏見】&lt;/b&gt;&lt;/span&gt;
&lt;span class="ml"&gt;ラテン語に由来する語で、以下の2つの要素から成る。
&lt;span class="spacer"&gt;&lt;/span&gt;prae（前もって）
iudexから派生したiudicium（判断）
&lt;span class="spacer"&gt;&lt;/span&gt;このまま日本語にすると「前もって行われる判断」となる。そこから先入観となり、特に否定的な意味での「偏見」という意味になった。
&lt;span class="spacer"&gt;&lt;/span&gt;ラテン語iudexはjudgeの語源でもある。そのためprejudiceは、前もって（pre）行われるジャッジ（判断）というイメージで覚えればよい。&lt;/span&gt;</v>
      </c>
      <c r="AU1273" s="15"/>
      <c r="AV1273" s="1" t="s">
        <v>38</v>
      </c>
      <c r="BG1273" s="7" t="s">
        <v>1242</v>
      </c>
      <c r="BH1273" s="1" t="s">
        <v>1947</v>
      </c>
      <c r="BI1273" s="2" t="s">
        <v>9746</v>
      </c>
      <c r="BJ1273" s="1" t="s">
        <v>1875</v>
      </c>
      <c r="BK1273" s="2" t="s">
        <v>6316</v>
      </c>
      <c r="BL1273" s="1" t="s">
        <v>1877</v>
      </c>
      <c r="BM1273" s="2" t="s">
        <v>6317</v>
      </c>
    </row>
    <row r="1274" spans="1:73" ht="198" x14ac:dyDescent="0.45">
      <c r="A1274" s="5">
        <v>1273</v>
      </c>
      <c r="B1274" s="6" t="s">
        <v>6318</v>
      </c>
      <c r="C1274" s="6" t="s">
        <v>6850</v>
      </c>
      <c r="D1274" s="7" t="s">
        <v>9752</v>
      </c>
      <c r="E1274" s="1" t="s">
        <v>27</v>
      </c>
      <c r="F1274" s="1" t="s">
        <v>6319</v>
      </c>
      <c r="G1274" s="1" t="s">
        <v>1584</v>
      </c>
      <c r="J1274" s="1" t="s">
        <v>9753</v>
      </c>
      <c r="L1274" s="2" t="s">
        <v>9747</v>
      </c>
      <c r="P1274" s="7" t="s">
        <v>1241</v>
      </c>
      <c r="Q1274" s="13" t="str">
        <f>INDEX($L:$L, MATCH("tuition", $B:$B, 0))</f>
        <v>&lt;span class="w"&gt;&lt;b&gt;【1367.tuition：授業料】&lt;/b&gt;&lt;/span&gt;
&lt;span class="ml"&gt;ラテン語に由来する語で、以下の2つの要素から成る。
&lt;span class="spacer"&gt;&lt;/span&gt;tueri（見守る）
io（名詞化）
&lt;span class="spacer"&gt;&lt;/span&gt;このまま日本語にすると「見守ること」となる。もともとは子どもを後ろから見守る、保護することを表したが、同じラテン語から生まれたtutor（家庭教師, チューター）と関連して、保護の一環として行われる教育や指導を表すようになった。（現在でもイギリスでは個別指導や少人数指導という意味で使われる。）
&lt;span class="spacer"&gt;&lt;/span&gt;その後、おそらくその教育に支払われるお金tuition feeからfeeが省略されて、教育に対して支払われる「授業料」という意味になった。
&lt;div class="sample_image tuition"&gt;&lt;/div&gt;&lt;/span&gt;</v>
      </c>
      <c r="AU1274" s="15"/>
      <c r="AV1274" s="1" t="s">
        <v>38</v>
      </c>
      <c r="BG1274" s="7" t="s">
        <v>1242</v>
      </c>
      <c r="BH1274" s="1" t="s">
        <v>1947</v>
      </c>
      <c r="BI1274" s="2" t="s">
        <v>6320</v>
      </c>
      <c r="BJ1274" s="1" t="s">
        <v>1875</v>
      </c>
      <c r="BK1274" s="2" t="s">
        <v>6321</v>
      </c>
    </row>
    <row r="1275" spans="1:73" ht="108" x14ac:dyDescent="0.45">
      <c r="A1275" s="5">
        <v>1274</v>
      </c>
      <c r="B1275" s="8" t="s">
        <v>1011</v>
      </c>
      <c r="C1275" s="6" t="s">
        <v>6850</v>
      </c>
      <c r="D1275" s="7" t="s">
        <v>9752</v>
      </c>
      <c r="E1275" s="1" t="s">
        <v>4346</v>
      </c>
      <c r="F1275" s="1" t="s">
        <v>1528</v>
      </c>
      <c r="G1275" s="1"/>
      <c r="J1275" s="1" t="s">
        <v>9753</v>
      </c>
      <c r="L1275" s="2" t="s">
        <v>9748</v>
      </c>
      <c r="M1275" s="1" t="s">
        <v>12166</v>
      </c>
      <c r="P1275" s="7" t="s">
        <v>1241</v>
      </c>
      <c r="Q1275" s="13" t="str">
        <f>INDEX($L:$L, MATCH("motion", $B:$B, 0))</f>
        <v>&lt;span class="w"&gt;&lt;b&gt;【565.motion：動き, 運動】&lt;/b&gt;&lt;/span&gt;
&lt;span class="ml"&gt;ラテン語に由来する語で、以下の2つの要素から成る。
&lt;span class="spacer"&gt;&lt;/span&gt;movere（動かす）
io（名詞化）
&lt;span class="spacer"&gt;&lt;/span&gt;このまま日本語にすると「動かすこと」となり、そのまま「動き, 運動」という意味になる。&lt;/span&gt;</v>
      </c>
      <c r="R1275" s="13" t="str">
        <f>INDEX($L:$L, MATCH("emotion", $B:$B, 0))</f>
        <v>&lt;span class="w"&gt;&lt;b&gt;【153.emotion：感情, 情動】&lt;/b&gt;&lt;/span&gt;
&lt;span class="ml"&gt;ラテン語に由来する語で、以下の2つの要素から成る。
&lt;span class="spacer"&gt;&lt;/span&gt;ex（外に）
movere（動かす：moveの語源）
&lt;span class="spacer"&gt;&lt;/span&gt;このまま日本語にすると「外に動かす」となる。外に動く＝揺れ動くというイメージから心が揺れ動く＝「感情, 情動」となる。&lt;/span&gt;</v>
      </c>
      <c r="S1275" s="13" t="str">
        <f>INDEX($L:$L, MATCH("promote", $B:$B, 0))</f>
        <v>&lt;span class="w"&gt;&lt;b&gt;【213.promote：～を促進する, （受け身で）昇進する】&lt;/b&gt;&lt;/span&gt;
&lt;span class="ml"&gt;ラテン語に由来する語で、以下の2つの要素から成る。
&lt;span class="spacer"&gt;&lt;/span&gt;pro（前へ）
movere（動かす：moveの語源）
&lt;span class="spacer"&gt;&lt;/span&gt;このまま日本語にすると「前へ動かす」となる。ここから「促進する, 昇進させる」という意味になる。
&lt;span class="spacer"&gt;&lt;/span&gt;&lt;span class="obsolete"&gt;promoteは古フランス語経由で英語に入ったため、英語では動詞となっている。
remoteはラテン語から直接英語に入ったため、英語でも形容詞となっている。&lt;/span&gt;&lt;/span&gt;</v>
      </c>
      <c r="T1275" s="13" t="str">
        <f>INDEX($L:$L, MATCH("remove", $B:$B, 0))</f>
        <v>&lt;span class="w"&gt;&lt;b&gt;【234.remove：～を取り除く, ～を解雇する】&lt;/b&gt;&lt;/span&gt;
&lt;span class="ml"&gt;ラテン語に由来する語で、以下の2つの要素から成る。
&lt;span class="spacer"&gt;&lt;/span&gt;re（後ろへ）
movere（動かす：moveの語源）
&lt;span class="spacer"&gt;&lt;/span&gt;このまま日本語にすると「後ろへ動かす」となる。いまある場所から後ろに引っ込めて視界から外すイメージから「取り除く, 解雇する」という意味になる。&lt;/span&gt;</v>
      </c>
      <c r="U1275" s="13" t="str">
        <f>INDEX($L:$L, MATCH("remote", $B:$B, 0))</f>
        <v>&lt;span class="w"&gt;&lt;b&gt;【682.remote：遠く離れた】&lt;/b&gt;&lt;/span&gt;
&lt;span class="ml"&gt;ラテン語に由来する語で、以下の2つの要素から成る。
&lt;span class="spacer"&gt;&lt;/span&gt;re（後ろへ）
movere（動かす）
&lt;span class="spacer"&gt;&lt;/span&gt;このまま日本語にすると「後ろへ動かす, 遠ざける」となる。ここから「遠く離れた」という意味になった。&lt;/span&gt;</v>
      </c>
      <c r="V1275" s="13" t="str">
        <f>INDEX($L:$L, MATCH("mobile", $B:$B, 0))</f>
        <v>&lt;span class="w"&gt;&lt;b&gt;【195.mobile：可動式の, 動かせる】&lt;/b&gt;&lt;/span&gt;
&lt;span class="ml"&gt;ラテン語に由来する語で、以下の2つの要素から成る。
&lt;span class="spacer"&gt;&lt;/span&gt;movere（動かす：moveの語源）
bilis（〜できる）
&lt;span class="spacer"&gt;&lt;/span&gt;ラテン語から意味の変化はほとんどない。&lt;/span&gt;</v>
      </c>
      <c r="W1275" s="13" t="str">
        <f>INDEX($L:$L, MATCH("motor", $B:$B, 0))</f>
        <v>&lt;span class="w"&gt;&lt;b&gt;【748.motor：モーター, 原動力】&lt;/b&gt;&lt;/span&gt;
&lt;span class="ml"&gt;ラテン語に由来する語で、以下の2つの要素から成る。
&lt;span class="spacer"&gt;&lt;/span&gt;movere（動かす）
or（〜するもの）
&lt;span class="spacer"&gt;&lt;/span&gt;このまま日本語にすると「動かすもの」つまり「原動力, モーター」という意味になる。&lt;/span&gt;</v>
      </c>
      <c r="AU1275" s="15"/>
      <c r="AV1275" s="1" t="s">
        <v>38</v>
      </c>
      <c r="BG1275" s="7" t="s">
        <v>1242</v>
      </c>
      <c r="BH1275" s="1" t="s">
        <v>1947</v>
      </c>
      <c r="BI1275" s="2" t="s">
        <v>6322</v>
      </c>
      <c r="BJ1275" s="1" t="s">
        <v>1967</v>
      </c>
      <c r="BK1275" s="2" t="s">
        <v>9749</v>
      </c>
      <c r="BL1275" s="1" t="s">
        <v>1959</v>
      </c>
      <c r="BM1275" s="1" t="s">
        <v>6323</v>
      </c>
      <c r="BN1275" s="1" t="s">
        <v>1875</v>
      </c>
      <c r="BO1275" s="2" t="s">
        <v>6324</v>
      </c>
    </row>
    <row r="1276" spans="1:73" ht="108" x14ac:dyDescent="0.45">
      <c r="A1276" s="5">
        <v>1275</v>
      </c>
      <c r="B1276" s="8" t="s">
        <v>1012</v>
      </c>
      <c r="C1276" s="6" t="s">
        <v>6850</v>
      </c>
      <c r="D1276" s="7" t="s">
        <v>9752</v>
      </c>
      <c r="E1276" s="1" t="s">
        <v>46</v>
      </c>
      <c r="F1276" s="1" t="s">
        <v>1575</v>
      </c>
      <c r="G1276" s="1"/>
      <c r="J1276" s="1" t="s">
        <v>9753</v>
      </c>
      <c r="K1276" s="2" t="s">
        <v>9750</v>
      </c>
      <c r="L1276" s="2" t="s">
        <v>10649</v>
      </c>
      <c r="M1276" s="1" t="s">
        <v>12206</v>
      </c>
      <c r="P1276" s="7" t="s">
        <v>1241</v>
      </c>
      <c r="Q1276" s="13" t="str">
        <f>INDEX($L:$L, MATCH("sensitive", $B:$B, 0))</f>
        <v>&lt;span class="w"&gt;&lt;b&gt;【494.sensitive：敏感な, 神経質な】&lt;/b&gt;&lt;/span&gt;
&lt;span class="ml"&gt;ラテン語に由来する語で、以下の2つの要素から成る。
&lt;span class="spacer"&gt;&lt;/span&gt;sentire（感じる）
ivus（形容詞化）
&lt;span class="spacer"&gt;&lt;/span&gt;この語の核は「感覚で受け取ること」。もともとは物理的な刺激を感じ取る能力がある状態を表していた。そこから、わずかな変化も察知する「敏感な, 神経質な」という意味になった。&lt;/span&gt;</v>
      </c>
      <c r="R1276" s="13" t="str">
        <f>INDEX($L:$L, MATCH("sensation", $B:$B, 0))</f>
        <v>&lt;span class="w"&gt;&lt;b&gt;【945.sensation：感覚, 大評判, 衝撃】&lt;/b&gt;&lt;/span&gt;
&lt;span class="ml"&gt;ラテン語に由来する語で、以下の2つの要素から成る。
&lt;span class="spacer"&gt;&lt;/span&gt;sentire（知覚する, 感じる, 知る）
io（名詞化）
&lt;span class="spacer"&gt;&lt;/span&gt;このまま日本語にすると「感じること, 知ること」となる。もとになったラテン語では感覚系と知る系の2つの意味があったが、sensationは感覚的な意味へと特化した。感覚器官を通じた外部刺激への「感覚」という個人レベルのものから、社会全体が強い感覚を生じさせる「大評判, 衝撃」という意味になった。
&lt;span class="spacer"&gt;&lt;/span&gt;&lt;span class="obsolete"&gt;感覚系の五感と、知る系の理解の両方の意味へ発展したのがsense（五感, 意味, 理解, 知的な感覚）。&lt;/span&gt;&lt;/span&gt;</v>
      </c>
      <c r="S1276" s="13" t="str">
        <f>INDEX($L:$L, MATCH("sensory", $B:$B, 0))</f>
        <v>&lt;span class="w"&gt;&lt;b&gt;【1197.sensory：感覚の】&lt;/b&gt;&lt;/span&gt;
&lt;span class="ml"&gt;ラテン語に由来する語で、以下の2つの要素から成る。
&lt;span class="spacer"&gt;&lt;/span&gt;sentire（感じる）から派生したsensus（感覚）
orius（形容詞化）
&lt;span class="spacer"&gt;&lt;/span&gt;このまま日本語にすれば「感覚の」という意味になる。sense（感覚）の形容詞として覚えればよい。&lt;/span&gt;</v>
      </c>
      <c r="T1276" s="13" t="str">
        <f>INDEX($L:$L, MATCH("sensible", $B:$B, 0))</f>
        <v>&lt;span class="w"&gt;&lt;b&gt;【1183.sensible：賢明な, 実用的な】&lt;/b&gt;&lt;/span&gt;
&lt;span class="ml"&gt;ラテン語に由来する語で、以下の2つの要素から成る。
&lt;span class="spacer"&gt;&lt;/span&gt;sentire（感じる）から派生したsensus（感覚）
bilis（できる）
&lt;span class="spacer"&gt;&lt;/span&gt;もともとは、感覚によって把握できるという物理的な知覚を表していた。そこから、精神（理性）で把握する能力があるという知的な意味へと変化して「賢明な」という意味になった。
&lt;span class="spacer"&gt;&lt;/span&gt;また、この賢明であるということから衣服や靴などについて、しっかり考えて作られており、機能的で理にかなっている＝「実用的な」という意味になった。
&lt;div class="sample_image sensible"&gt;&lt;/div&gt;&lt;/span&gt;</v>
      </c>
      <c r="U1276" s="13" t="str">
        <f>INDEX($L:$L, MATCH("consensus", $B:$B, 0))</f>
        <v>&lt;span class="w"&gt;&lt;b&gt;【1153.consensus：総意, 意見の一致】&lt;/b&gt;&lt;/span&gt;
&lt;span class="ml"&gt;ラテン語に由来する語で、以下の2つの要素から成る。
&lt;span class="spacer"&gt;&lt;/span&gt;con（共に）
sentire（感じる）
&lt;span class="spacer"&gt;&lt;/span&gt;このまま日本語にすると「共に感じる」となる。もともとは、生理学において、身体の異なる器官が連動して反応すること（交感・共鳴）を表した。その異なるもの同士の連動というニュアンスが、人間社会の集団に対して使われるようになり、集団における人々の考えの連動＝「総意, 意見の一致」という意味になった。
&lt;div class="sample_image consensus"&gt;&lt;/div&gt;&lt;/span&gt;</v>
      </c>
      <c r="V1276" s="13" t="str">
        <f>INDEX($L:$L, MATCH("scent", $B:$B, 0))</f>
        <v>&lt;span class="w"&gt;&lt;b&gt;【1156.scent：香り】&lt;/b&gt;&lt;/span&gt;
&lt;span class="ml"&gt;ラテン語sentire（感じる）に由来する。
&lt;span class="spacer"&gt;&lt;/span&gt;感覚の中でも嗅覚に関して使われ、もともとは狩猟において、猟犬が嗅ぎ取る獣のにおいを表した。そこから、空気中にただよう様々な印象的なにおいを表すようになり、一般的な「香り」という意味になった。
&lt;span class="spacer"&gt;&lt;/span&gt;scentのスペルには、本来cは存在しなかった。しかし後にscienceのような他のscというスペルに影響され、cが挿入された。つまり、本当はsense（感覚）に似たsentというスペルだった。&lt;/span&gt;</v>
      </c>
      <c r="AU1276" s="15"/>
      <c r="AV1276" s="1" t="s">
        <v>38</v>
      </c>
      <c r="BG1276" s="7" t="s">
        <v>1242</v>
      </c>
      <c r="BH1276" s="1" t="s">
        <v>1947</v>
      </c>
      <c r="BI1276" s="2" t="s">
        <v>6325</v>
      </c>
      <c r="BJ1276" s="1" t="s">
        <v>1959</v>
      </c>
      <c r="BK1276" s="2" t="s">
        <v>6326</v>
      </c>
      <c r="BL1276" s="1" t="s">
        <v>1875</v>
      </c>
      <c r="BM1276" s="2" t="s">
        <v>6327</v>
      </c>
    </row>
    <row r="1277" spans="1:73" ht="162" x14ac:dyDescent="0.45">
      <c r="A1277" s="5">
        <v>1276</v>
      </c>
      <c r="B1277" s="6" t="s">
        <v>1013</v>
      </c>
      <c r="C1277" s="6" t="s">
        <v>6850</v>
      </c>
      <c r="D1277" s="7" t="s">
        <v>9752</v>
      </c>
      <c r="E1277" s="1" t="s">
        <v>6328</v>
      </c>
      <c r="F1277" s="1" t="s">
        <v>6329</v>
      </c>
      <c r="G1277" s="1"/>
      <c r="J1277" s="1" t="s">
        <v>9753</v>
      </c>
      <c r="K1277" s="1" t="s">
        <v>9751</v>
      </c>
      <c r="L1277" s="3" t="s">
        <v>9754</v>
      </c>
      <c r="P1277" s="7" t="s">
        <v>1241</v>
      </c>
      <c r="AU1277" s="15"/>
      <c r="AV1277" s="1" t="s">
        <v>38</v>
      </c>
      <c r="BG1277" s="7" t="s">
        <v>1242</v>
      </c>
      <c r="BH1277" s="1" t="s">
        <v>2458</v>
      </c>
      <c r="BI1277" s="2" t="s">
        <v>9755</v>
      </c>
      <c r="BJ1277" s="1" t="s">
        <v>1967</v>
      </c>
      <c r="BK1277" s="1" t="s">
        <v>6330</v>
      </c>
      <c r="BL1277" s="1" t="s">
        <v>1959</v>
      </c>
      <c r="BM1277" s="2" t="s">
        <v>6331</v>
      </c>
      <c r="BN1277" s="1" t="s">
        <v>1875</v>
      </c>
      <c r="BO1277" s="2" t="s">
        <v>6332</v>
      </c>
      <c r="BP1277" s="1" t="s">
        <v>1877</v>
      </c>
      <c r="BQ1277" s="2" t="s">
        <v>6333</v>
      </c>
    </row>
    <row r="1278" spans="1:73" ht="180" x14ac:dyDescent="0.45">
      <c r="A1278" s="5">
        <v>1277</v>
      </c>
      <c r="B1278" s="6" t="s">
        <v>1014</v>
      </c>
      <c r="C1278" s="6" t="s">
        <v>6850</v>
      </c>
      <c r="D1278" s="7" t="s">
        <v>9752</v>
      </c>
      <c r="E1278" s="1" t="s">
        <v>6334</v>
      </c>
      <c r="F1278" s="1" t="s">
        <v>1517</v>
      </c>
      <c r="G1278" s="1"/>
      <c r="J1278" s="1" t="s">
        <v>9753</v>
      </c>
      <c r="L1278" s="3" t="s">
        <v>9756</v>
      </c>
      <c r="M1278" s="1" t="s">
        <v>12156</v>
      </c>
      <c r="P1278" s="7" t="s">
        <v>1241</v>
      </c>
      <c r="Q1278" s="13" t="str">
        <f>INDEX($L:$L, MATCH("mention", $B:$B, 0))</f>
        <v>&lt;span class="w"&gt;&lt;b&gt;【128.mention：～に言及する, ～と言う】&lt;/b&gt;&lt;/span&gt;
&lt;span class="ml"&gt;ラテン語mens（心, 知性）に関連するminisci（思い出す, 考える）に由来する。
&lt;span class="spacer"&gt;&lt;/span&gt;何かを思い出したり考えたりして、それを言葉にすることから「言及する, 言う」という意味になる。&lt;/span&gt;</v>
      </c>
      <c r="R1278" s="13" t="str">
        <f>INDEX($L:$L, MATCH("mental", $B:$B, 0))</f>
        <v>&lt;span class="w"&gt;&lt;b&gt;【183.mental：精神の, 頭の中で行う】&lt;/b&gt;&lt;/span&gt;
&lt;span class="ml"&gt;ラテン語に由来する語で、以下の2つの要素から成る。
&lt;span class="spacer"&gt;&lt;/span&gt;mens（心）
alis（形容詞化）
&lt;span class="spacer"&gt;&lt;/span&gt;ラテン語から意味の変化はほとんどなく「心の, 精神の, 頭の中で行う」という意味になる。&lt;/span&gt;</v>
      </c>
      <c r="S1278" s="13" t="str">
        <f>INDEX($L:$L, MATCH("dementia", $B:$B, 0))</f>
        <v>&lt;span class="w"&gt;&lt;b&gt;【1064.dementia：認知症】&lt;/b&gt;&lt;/span&gt;
&lt;span class="ml"&gt;ラテン語に由来する語で、以下の3つの要素から成る。
&lt;span class="spacer"&gt;&lt;/span&gt;de（〜から離れて）
mens（心）
ia（名詞化）
&lt;span class="spacer"&gt;&lt;/span&gt;この語の核は「心があるべきところから離れている」。もともとは正気を失っている様子を表したが、そこから医学において、精神機能が極めて低い状態や精神的な能力が欠如した状態である「認知症」という意味になった。
&lt;span class="spacer"&gt;&lt;/span&gt;1800年代の人々は、「認知症」のことを心や精神が失われた状態、精神の病だと考えていたことがわかる。
&lt;div class="sample_image dementia"&gt;&lt;/div&gt;&lt;/span&gt;</v>
      </c>
      <c r="T1278" s="13" t="str">
        <f>INDEX($L:$L, MATCH("comment", $B:$B, 0))</f>
        <v>&lt;span class="w"&gt;&lt;b&gt;【441.comment：意見, コメント】&lt;/b&gt;&lt;/span&gt;
&lt;span class="ml"&gt;ラテン語ラテン語に由来する語で、以下の2つの要素から成る。
&lt;span class="spacer"&gt;&lt;/span&gt;com（強意）
mēns（心）に関連する動詞meminisse（思い出す）
&lt;span class="spacer"&gt;&lt;/span&gt;この語の核は、心（mind）で考えること。そこから考え出されたもの＝「意見, コメント」という意味になる。&lt;/span&gt;</v>
      </c>
      <c r="U1278" s="13" t="str">
        <f>INDEX($L:$L, MATCH("remind", $B:$B, 0))</f>
        <v>&lt;span class="w"&gt;&lt;b&gt;【416.remind：〜に思い出させる】&lt;/b&gt;&lt;/span&gt;
&lt;span class="ml"&gt;近代英語にさかのぼり、以下の2つの要素から成る。
&lt;span class="spacer"&gt;&lt;/span&gt;re（再び）
mind（心にとめる）
&lt;span class="spacer"&gt;&lt;/span&gt;このまま日本語にすると「再び心にとめる」となる。誰かに対してもう一度心にとめさせることから、「思い出させる」という意味になる。&lt;/span&gt;</v>
      </c>
      <c r="V1278" s="13" t="str">
        <f>INDEX($L:$L, MATCH("monitor", $B:$B, 0))</f>
        <v>&lt;span class="w"&gt;&lt;b&gt;【636.monitor：〜を監視する】&lt;/b&gt;&lt;/span&gt;
&lt;span class="ml"&gt;ラテン語に由来する語で、以下の2つの要素から成る。
&lt;span class="spacer"&gt;&lt;/span&gt;monere（思い出させる, 警告する）
or（〜するもの）
&lt;span class="spacer"&gt;&lt;/span&gt;このまま日本語にすると「警告するもの」となる。これは、問題がないか目を光らせるイメージで。そこから、何かを「監視する」という意味になる。&lt;/span&gt;</v>
      </c>
      <c r="AU1278" s="15"/>
      <c r="AV1278" s="1" t="s">
        <v>38</v>
      </c>
      <c r="BG1278" s="7" t="s">
        <v>1242</v>
      </c>
      <c r="BH1278" s="1" t="s">
        <v>1976</v>
      </c>
      <c r="BI1278" s="2" t="s">
        <v>6335</v>
      </c>
      <c r="BJ1278" s="1" t="s">
        <v>1947</v>
      </c>
      <c r="BK1278" s="2" t="s">
        <v>6336</v>
      </c>
      <c r="BL1278" s="1" t="s">
        <v>1959</v>
      </c>
      <c r="BM1278" s="1" t="s">
        <v>6337</v>
      </c>
      <c r="BN1278" s="1" t="s">
        <v>1875</v>
      </c>
      <c r="BO1278" s="2" t="s">
        <v>6338</v>
      </c>
      <c r="BP1278" s="1" t="s">
        <v>1877</v>
      </c>
      <c r="BQ1278" s="2" t="s">
        <v>6339</v>
      </c>
    </row>
    <row r="1279" spans="1:73" ht="198" x14ac:dyDescent="0.45">
      <c r="A1279" s="5">
        <v>1278</v>
      </c>
      <c r="B1279" s="6" t="s">
        <v>1015</v>
      </c>
      <c r="C1279" s="6" t="s">
        <v>6850</v>
      </c>
      <c r="D1279" s="7" t="s">
        <v>9752</v>
      </c>
      <c r="E1279" s="1" t="s">
        <v>1392</v>
      </c>
      <c r="F1279" s="1" t="s">
        <v>1798</v>
      </c>
      <c r="G1279" s="1"/>
      <c r="J1279" s="1" t="s">
        <v>9753</v>
      </c>
      <c r="L1279" s="2" t="s">
        <v>9757</v>
      </c>
      <c r="P1279" s="7" t="s">
        <v>1241</v>
      </c>
      <c r="Q1279" s="13" t="str">
        <f>INDEX($L:$L, MATCH("satisfy", $B:$B, 0))</f>
        <v>&lt;span class="w"&gt;&lt;b&gt;【238.satisfy：〜を満足させる, （条件など）を満たす】&lt;/b&gt;&lt;/span&gt;
&lt;span class="ml"&gt;ラテン語に由来する語で、以下の2つの要素から成る。
&lt;span class="spacer"&gt;&lt;/span&gt;satis（十分, 足りている）
facere（する, 作る）
&lt;span class="spacer"&gt;&lt;/span&gt;このまま日本語にすると「十分にする, 足りているようにする」となる。必要なところまで十分足りているイメージから、何かを「満足させる, 満たす」となる。
&lt;span class="spacer"&gt;&lt;/span&gt;「満足している」は受け身でbe satisfied with Aとなる。&lt;/span&gt;</v>
      </c>
      <c r="AV1279" s="1" t="s">
        <v>38</v>
      </c>
      <c r="BG1279" s="7" t="s">
        <v>1242</v>
      </c>
      <c r="BH1279" s="1" t="s">
        <v>1947</v>
      </c>
      <c r="BI1279" s="1" t="s">
        <v>6340</v>
      </c>
      <c r="BJ1279" s="1" t="s">
        <v>2026</v>
      </c>
      <c r="BK1279" s="1" t="s">
        <v>6341</v>
      </c>
      <c r="BL1279" s="1" t="s">
        <v>1959</v>
      </c>
      <c r="BM1279" s="2" t="s">
        <v>6342</v>
      </c>
      <c r="BN1279" s="1" t="s">
        <v>2114</v>
      </c>
      <c r="BO1279" s="1" t="s">
        <v>6343</v>
      </c>
      <c r="BP1279" s="1" t="s">
        <v>1877</v>
      </c>
      <c r="BQ1279" s="2" t="s">
        <v>6344</v>
      </c>
    </row>
    <row r="1280" spans="1:73" ht="108" x14ac:dyDescent="0.45">
      <c r="A1280" s="5">
        <v>1279</v>
      </c>
      <c r="B1280" s="8" t="s">
        <v>1016</v>
      </c>
      <c r="C1280" s="6" t="s">
        <v>6851</v>
      </c>
      <c r="D1280" s="7" t="s">
        <v>9752</v>
      </c>
      <c r="E1280" s="1" t="s">
        <v>1016</v>
      </c>
      <c r="F1280" s="1"/>
      <c r="G1280" s="1"/>
      <c r="J1280" s="1" t="s">
        <v>9753</v>
      </c>
      <c r="L1280" s="2" t="s">
        <v>9758</v>
      </c>
      <c r="P1280" s="7" t="s">
        <v>1241</v>
      </c>
      <c r="AU1280" s="15"/>
      <c r="AV1280" s="1" t="s">
        <v>38</v>
      </c>
      <c r="BG1280" s="7" t="s">
        <v>1242</v>
      </c>
      <c r="BH1280" s="1" t="s">
        <v>1947</v>
      </c>
      <c r="BI1280" s="2" t="s">
        <v>6345</v>
      </c>
      <c r="BJ1280" s="1" t="s">
        <v>1996</v>
      </c>
      <c r="BK1280" s="1" t="s">
        <v>6346</v>
      </c>
      <c r="BL1280" s="1" t="s">
        <v>1877</v>
      </c>
      <c r="BM1280" s="2" t="s">
        <v>6347</v>
      </c>
    </row>
    <row r="1281" spans="1:69" ht="144" x14ac:dyDescent="0.45">
      <c r="A1281" s="5">
        <v>1280</v>
      </c>
      <c r="B1281" s="8" t="s">
        <v>1017</v>
      </c>
      <c r="C1281" s="6" t="s">
        <v>6851</v>
      </c>
      <c r="D1281" s="7" t="s">
        <v>9752</v>
      </c>
      <c r="E1281" s="1" t="s">
        <v>1467</v>
      </c>
      <c r="F1281" s="1" t="s">
        <v>6348</v>
      </c>
      <c r="G1281" s="1"/>
      <c r="J1281" s="1" t="s">
        <v>9753</v>
      </c>
      <c r="L1281" s="3" t="s">
        <v>9759</v>
      </c>
      <c r="P1281" s="7" t="s">
        <v>1241</v>
      </c>
      <c r="Q1281" s="13" t="str">
        <f>INDEX($L:$L, MATCH("repeat", $B:$B, 0))</f>
        <v>&lt;span class="w"&gt;&lt;b&gt;【319.repeat：～を繰り返す, 〜を復唱する】&lt;/b&gt;&lt;/span&gt;
&lt;span class="ml"&gt;ラテン語に由来する語で、以下の2つの要素から成る。
&lt;span class="spacer"&gt;&lt;/span&gt;re（再び）
petere（向かう, 求める）
&lt;span class="spacer"&gt;&lt;/span&gt;このまま日本語にすると「再び向かう, 再び求める」となる。同じ行為を何度も行うことから、何かを「繰り返す, 復唱する」という意味になる。&lt;/span&gt;</v>
      </c>
      <c r="R1281" s="13" t="str">
        <f>INDEX($L:$L, MATCH("compete", $B:$B, 0))</f>
        <v>&lt;span class="w"&gt;&lt;b&gt;【428.compete：競う, 匹敵する】&lt;/b&gt;&lt;/span&gt;
&lt;span class="ml"&gt;ラテン語に由来する語で、以下の2つの要素から成る。
&lt;span class="spacer"&gt;&lt;/span&gt;com（共に）
petere（求める, 目指す）
&lt;span class="spacer"&gt;&lt;/span&gt;このまま日本語にすると「共に求める」となる。同じ目標を持つ人同士が争うことから「競う」という意味になる。また競い合えるということは、両者は同じレベルなので「匹敵する」という意味にもなる。&lt;/span&gt;</v>
      </c>
      <c r="S1281" s="13" t="str">
        <f>INDEX($L:$L, MATCH("appetite", $B:$B, 0))</f>
        <v>&lt;span class="w"&gt;&lt;b&gt;【1242.appetite：食欲, 欲求】&lt;/b&gt;&lt;/span&gt;
&lt;span class="ml"&gt;ラテン語に由来する語で、以下の2つの要素から成る。
&lt;span class="spacer"&gt;&lt;/span&gt;ad（〜へ）
petere（求める）
&lt;span class="spacer"&gt;&lt;/span&gt;この語の核は「何かへ向かって求める」。この語の根本にあるのは対象に向かう「欲求」。特にその中でも食べ物を求める「食欲」という意味で使われるようになった。
&lt;div class="sample_image appetite"&gt;&lt;/div&gt;&lt;/span&gt;</v>
      </c>
      <c r="AU1281" s="15"/>
      <c r="AV1281" s="1" t="s">
        <v>38</v>
      </c>
      <c r="BG1281" s="7" t="s">
        <v>1242</v>
      </c>
      <c r="BH1281" s="1" t="s">
        <v>1947</v>
      </c>
      <c r="BI1281" s="2" t="s">
        <v>6349</v>
      </c>
      <c r="BJ1281" s="1" t="s">
        <v>1959</v>
      </c>
      <c r="BK1281" s="1" t="s">
        <v>6350</v>
      </c>
      <c r="BL1281" s="1" t="s">
        <v>1875</v>
      </c>
      <c r="BM1281" s="2" t="s">
        <v>6351</v>
      </c>
      <c r="BN1281" s="1" t="s">
        <v>1877</v>
      </c>
      <c r="BO1281" s="2" t="s">
        <v>6352</v>
      </c>
    </row>
    <row r="1282" spans="1:69" ht="108" x14ac:dyDescent="0.45">
      <c r="A1282" s="5">
        <v>1281</v>
      </c>
      <c r="B1282" s="6" t="s">
        <v>1018</v>
      </c>
      <c r="C1282" s="6" t="s">
        <v>6851</v>
      </c>
      <c r="D1282" s="7" t="s">
        <v>9752</v>
      </c>
      <c r="E1282" s="1" t="s">
        <v>6353</v>
      </c>
      <c r="F1282" s="1" t="s">
        <v>6354</v>
      </c>
      <c r="G1282" s="1"/>
      <c r="J1282" s="1" t="s">
        <v>9753</v>
      </c>
      <c r="K1282" s="2" t="s">
        <v>6355</v>
      </c>
      <c r="L1282" s="2" t="s">
        <v>9760</v>
      </c>
      <c r="P1282" s="7" t="s">
        <v>1241</v>
      </c>
      <c r="AU1282" s="15"/>
      <c r="AV1282" s="1" t="s">
        <v>38</v>
      </c>
      <c r="BG1282" s="7" t="s">
        <v>1242</v>
      </c>
      <c r="BH1282" s="1" t="s">
        <v>1877</v>
      </c>
      <c r="BI1282" s="2" t="s">
        <v>6356</v>
      </c>
    </row>
    <row r="1283" spans="1:69" ht="198" x14ac:dyDescent="0.45">
      <c r="A1283" s="5">
        <v>1282</v>
      </c>
      <c r="B1283" s="6" t="s">
        <v>1019</v>
      </c>
      <c r="C1283" s="6" t="s">
        <v>6851</v>
      </c>
      <c r="D1283" s="7" t="s">
        <v>9752</v>
      </c>
      <c r="E1283" s="1" t="s">
        <v>6357</v>
      </c>
      <c r="F1283" s="1" t="s">
        <v>1551</v>
      </c>
      <c r="G1283" s="1"/>
      <c r="J1283" s="1" t="s">
        <v>9753</v>
      </c>
      <c r="K1283" s="1" t="s">
        <v>6358</v>
      </c>
      <c r="L1283" s="2" t="s">
        <v>9761</v>
      </c>
      <c r="P1283" s="7" t="s">
        <v>1241</v>
      </c>
      <c r="AU1283" s="15"/>
      <c r="AV1283" s="1" t="s">
        <v>38</v>
      </c>
      <c r="BG1283" s="7" t="s">
        <v>1242</v>
      </c>
      <c r="BH1283" s="1" t="s">
        <v>2458</v>
      </c>
      <c r="BI1283" s="2" t="s">
        <v>6359</v>
      </c>
      <c r="BJ1283" s="1" t="s">
        <v>1996</v>
      </c>
      <c r="BK1283" s="2" t="s">
        <v>6360</v>
      </c>
      <c r="BL1283" s="1" t="s">
        <v>1877</v>
      </c>
      <c r="BM1283" s="2" t="s">
        <v>6361</v>
      </c>
    </row>
    <row r="1284" spans="1:69" ht="126" x14ac:dyDescent="0.45">
      <c r="A1284" s="5">
        <v>1283</v>
      </c>
      <c r="B1284" s="6" t="s">
        <v>1020</v>
      </c>
      <c r="C1284" s="6" t="s">
        <v>6851</v>
      </c>
      <c r="D1284" s="7" t="s">
        <v>9752</v>
      </c>
      <c r="E1284" s="1" t="s">
        <v>1327</v>
      </c>
      <c r="F1284" s="1" t="s">
        <v>6362</v>
      </c>
      <c r="G1284" s="1" t="s">
        <v>1818</v>
      </c>
      <c r="J1284" s="1" t="s">
        <v>9753</v>
      </c>
      <c r="K1284" s="1" t="s">
        <v>9762</v>
      </c>
      <c r="L1284" s="2" t="s">
        <v>9763</v>
      </c>
      <c r="P1284" s="7" t="s">
        <v>1241</v>
      </c>
      <c r="AU1284" s="15"/>
      <c r="AV1284" s="1" t="s">
        <v>38</v>
      </c>
      <c r="BG1284" s="7" t="s">
        <v>1242</v>
      </c>
      <c r="BH1284" s="1" t="s">
        <v>1947</v>
      </c>
      <c r="BI1284" s="2" t="s">
        <v>9764</v>
      </c>
      <c r="BJ1284" s="1" t="s">
        <v>1967</v>
      </c>
      <c r="BK1284" s="1" t="s">
        <v>9765</v>
      </c>
      <c r="BL1284" s="1" t="s">
        <v>1875</v>
      </c>
      <c r="BM1284" s="2" t="s">
        <v>6363</v>
      </c>
      <c r="BN1284" s="1" t="s">
        <v>1877</v>
      </c>
      <c r="BO1284" s="2" t="s">
        <v>6364</v>
      </c>
    </row>
    <row r="1285" spans="1:69" ht="108" x14ac:dyDescent="0.45">
      <c r="A1285" s="5">
        <v>1284</v>
      </c>
      <c r="B1285" s="8" t="s">
        <v>1021</v>
      </c>
      <c r="C1285" s="6" t="s">
        <v>6851</v>
      </c>
      <c r="D1285" s="7" t="s">
        <v>9752</v>
      </c>
      <c r="E1285" s="1" t="s">
        <v>1730</v>
      </c>
      <c r="F1285" s="1" t="s">
        <v>6365</v>
      </c>
      <c r="G1285" s="1"/>
      <c r="J1285" s="1" t="s">
        <v>9753</v>
      </c>
      <c r="K1285" s="1" t="s">
        <v>6366</v>
      </c>
      <c r="L1285" s="2" t="s">
        <v>9766</v>
      </c>
      <c r="P1285" s="7" t="s">
        <v>1241</v>
      </c>
      <c r="Q1285" s="13" t="str">
        <f>INDEX($L:$L, MATCH("internal", $B:$B, 0))</f>
        <v>&lt;span class="w"&gt;&lt;b&gt;【680.internal：内部の, 国内の】&lt;/b&gt;&lt;/span&gt;
&lt;span class="ml"&gt;ラテン語に由来する語で、以下の2つの要素から成る。
&lt;span class="spacer"&gt;&lt;/span&gt;internus（内部の）
alis（形容詞化）
&lt;span class="spacer"&gt;&lt;/span&gt;このまま日本語にすると「内部の」という意味になる。これは外部がある前提で、それに対して内部を指すイメージ。&lt;/span&gt;</v>
      </c>
      <c r="R1285" s="13" t="str">
        <f>INDEX($L:$L, MATCH("intimate", $B:$B, 0))</f>
        <v>&lt;span class="w"&gt;&lt;b&gt;【1096.intimate：親密な, 密接な】&lt;/b&gt;&lt;/span&gt;
&lt;span class="ml"&gt;ラテン語に由来する語で、以下の2つの要素から成る。
&lt;span class="spacer"&gt;&lt;/span&gt;in（中に）
imus（最上級を作る）
&lt;span class="spacer"&gt;&lt;/span&gt;このまま日本語にすると「最も内側の」となる。心の最も内側を共有できるほど距離が近いイメージから「親密な, 密接な」という意味なる。
&lt;span class="spacer"&gt;&lt;/span&gt;imate部分は、ultimate（究極の）でも使われている。ultimateは、ラテン語ulter（超える）に最上級imusが付いて、最も超えていることから「究極の」という意味になる。&lt;/span&gt;</v>
      </c>
      <c r="AU1285" s="15"/>
      <c r="AV1285" s="1" t="s">
        <v>38</v>
      </c>
      <c r="BG1285" s="7" t="s">
        <v>1242</v>
      </c>
      <c r="BH1285" s="1" t="s">
        <v>1947</v>
      </c>
      <c r="BI1285" s="2" t="s">
        <v>6367</v>
      </c>
      <c r="BJ1285" s="1" t="s">
        <v>1875</v>
      </c>
      <c r="BK1285" s="2" t="s">
        <v>6368</v>
      </c>
      <c r="BL1285" s="1" t="s">
        <v>1877</v>
      </c>
      <c r="BM1285" s="2" t="s">
        <v>6369</v>
      </c>
    </row>
    <row r="1286" spans="1:69" ht="180" x14ac:dyDescent="0.45">
      <c r="A1286" s="5">
        <v>1285</v>
      </c>
      <c r="B1286" s="8" t="s">
        <v>1022</v>
      </c>
      <c r="C1286" s="6" t="s">
        <v>6851</v>
      </c>
      <c r="D1286" s="7" t="s">
        <v>9752</v>
      </c>
      <c r="E1286" s="1" t="s">
        <v>1725</v>
      </c>
      <c r="F1286" s="1" t="s">
        <v>6370</v>
      </c>
      <c r="G1286" s="1"/>
      <c r="J1286" s="1" t="s">
        <v>9753</v>
      </c>
      <c r="L1286" s="3" t="s">
        <v>9767</v>
      </c>
      <c r="M1286" s="1" t="s">
        <v>12217</v>
      </c>
      <c r="P1286" s="7" t="s">
        <v>1241</v>
      </c>
      <c r="Q1286" s="13" t="str">
        <f>INDEX($L:$L, MATCH("apparent", $B:$B, 0))</f>
        <v>&lt;span class="w"&gt;&lt;b&gt;【791.apparent：明白な, 一見〜らしい】&lt;/b&gt;&lt;/span&gt;
&lt;span class="ml"&gt;ラテン語に由来する語で、以下の2つの要素から成る。
&lt;span class="spacer"&gt;&lt;/span&gt;ad（〜へ）
parere（目にみえる, 出現する）
&lt;span class="spacer"&gt;&lt;/span&gt;このまま日本語にすると「〜へ現れる」となる。これはappear（現れる）の語源でもある。何かが視界に入るイメージから、目に見えて「明白な」という意味になる。
&lt;span class="spacer"&gt;&lt;/span&gt;また感覚や認識で見えたものが、本当に見えた通りであるとは限らない。ここから「一見〜らしい」という意味になる。&lt;/span&gt;</v>
      </c>
      <c r="R1286" s="13" t="str">
        <f>INDEX($L:$L, MATCH("peer", $B:$B, 0))</f>
        <v>&lt;span class="w"&gt;&lt;b&gt;【818.peer：目を凝らしてじっと見る】&lt;/b&gt;&lt;/span&gt;
&lt;span class="ml"&gt;起源不明だが、appearの語源である中英語aperenのapが省略されたparenに影響された可能性がある。視界に見え隠れするものを目を凝らして「じっと見る」というイメージで覚える。&lt;/span&gt;</v>
      </c>
      <c r="AU1286" s="15"/>
      <c r="AV1286" s="1" t="s">
        <v>38</v>
      </c>
      <c r="BG1286" s="7" t="s">
        <v>1242</v>
      </c>
      <c r="BH1286" s="1" t="s">
        <v>1947</v>
      </c>
      <c r="BI1286" s="2" t="s">
        <v>6371</v>
      </c>
      <c r="BJ1286" s="1" t="s">
        <v>1967</v>
      </c>
      <c r="BK1286" s="2" t="s">
        <v>6372</v>
      </c>
      <c r="BL1286" s="1" t="s">
        <v>1875</v>
      </c>
      <c r="BM1286" s="2" t="s">
        <v>6373</v>
      </c>
      <c r="BN1286" s="1" t="s">
        <v>1877</v>
      </c>
      <c r="BO1286" s="2" t="s">
        <v>6374</v>
      </c>
    </row>
    <row r="1287" spans="1:69" ht="270" x14ac:dyDescent="0.45">
      <c r="A1287" s="5">
        <v>1286</v>
      </c>
      <c r="B1287" s="6" t="s">
        <v>1023</v>
      </c>
      <c r="C1287" s="6" t="s">
        <v>6851</v>
      </c>
      <c r="D1287" s="7" t="s">
        <v>9752</v>
      </c>
      <c r="E1287" s="1" t="s">
        <v>6375</v>
      </c>
      <c r="F1287" s="1" t="s">
        <v>1551</v>
      </c>
      <c r="G1287" s="1"/>
      <c r="J1287" s="1" t="s">
        <v>9753</v>
      </c>
      <c r="K1287" s="1" t="s">
        <v>6376</v>
      </c>
      <c r="L1287" s="2" t="s">
        <v>9768</v>
      </c>
      <c r="P1287" s="7" t="s">
        <v>1241</v>
      </c>
      <c r="AU1287" s="15"/>
      <c r="AV1287" s="1" t="s">
        <v>38</v>
      </c>
      <c r="BG1287" s="7" t="s">
        <v>1242</v>
      </c>
      <c r="BH1287" s="1" t="s">
        <v>2458</v>
      </c>
      <c r="BI1287" s="2" t="s">
        <v>6377</v>
      </c>
      <c r="BJ1287" s="1" t="s">
        <v>6378</v>
      </c>
      <c r="BK1287" s="2" t="s">
        <v>6379</v>
      </c>
      <c r="BL1287" s="1" t="s">
        <v>1877</v>
      </c>
      <c r="BM1287" s="2" t="s">
        <v>9769</v>
      </c>
    </row>
    <row r="1288" spans="1:69" ht="162" x14ac:dyDescent="0.45">
      <c r="A1288" s="5">
        <v>1287</v>
      </c>
      <c r="B1288" s="6" t="s">
        <v>1024</v>
      </c>
      <c r="C1288" s="6" t="s">
        <v>6851</v>
      </c>
      <c r="D1288" s="7" t="s">
        <v>9752</v>
      </c>
      <c r="E1288" s="1" t="s">
        <v>1327</v>
      </c>
      <c r="F1288" s="1" t="s">
        <v>4479</v>
      </c>
      <c r="G1288" s="1" t="s">
        <v>1818</v>
      </c>
      <c r="J1288" s="1" t="s">
        <v>9753</v>
      </c>
      <c r="L1288" s="3" t="s">
        <v>9770</v>
      </c>
      <c r="P1288" s="7" t="s">
        <v>1241</v>
      </c>
      <c r="AU1288" s="15"/>
      <c r="AV1288" s="1" t="s">
        <v>38</v>
      </c>
      <c r="BG1288" s="7" t="s">
        <v>1242</v>
      </c>
      <c r="BH1288" s="1" t="s">
        <v>1947</v>
      </c>
      <c r="BI1288" s="2" t="s">
        <v>6380</v>
      </c>
      <c r="BJ1288" s="1" t="s">
        <v>1875</v>
      </c>
      <c r="BK1288" s="2" t="s">
        <v>6381</v>
      </c>
      <c r="BL1288" s="1" t="s">
        <v>1877</v>
      </c>
      <c r="BM1288" s="2" t="s">
        <v>6382</v>
      </c>
    </row>
    <row r="1289" spans="1:69" ht="216" x14ac:dyDescent="0.45">
      <c r="A1289" s="5">
        <v>1288</v>
      </c>
      <c r="B1289" s="8" t="s">
        <v>1025</v>
      </c>
      <c r="C1289" s="6" t="s">
        <v>6851</v>
      </c>
      <c r="D1289" s="7" t="s">
        <v>9752</v>
      </c>
      <c r="E1289" s="1" t="s">
        <v>1741</v>
      </c>
      <c r="F1289" s="1" t="s">
        <v>6383</v>
      </c>
      <c r="G1289" s="1" t="s">
        <v>1551</v>
      </c>
      <c r="J1289" s="1" t="s">
        <v>9753</v>
      </c>
      <c r="L1289" s="3" t="s">
        <v>9771</v>
      </c>
      <c r="M1289" s="1" t="s">
        <v>12209</v>
      </c>
      <c r="P1289" s="7" t="s">
        <v>1241</v>
      </c>
      <c r="Q1289" s="13" t="str">
        <f>INDEX($L:$L, MATCH("democracy", $B:$B, 0))</f>
        <v>&lt;span class="w"&gt;&lt;b&gt;【551.democracy：民主主義, 民主政治】&lt;/b&gt;&lt;/span&gt;
&lt;span class="ml"&gt;ギリシャ語に由来する語で、以下の2つの要素から成る。
&lt;span class="spacer"&gt;&lt;/span&gt;dēmos（民衆）
kratos（支配, 統治）
&lt;span class="spacer"&gt;&lt;/span&gt;このまま日本語にすると「人民による統治」となり、「民主主義, 民主政治」という意味になる。&lt;/span&gt;</v>
      </c>
      <c r="R1289" s="13" t="str">
        <f>INDEX($L:$L, MATCH("epidemic", $B:$B, 0))</f>
        <v>&lt;span class="w"&gt;&lt;b&gt;【1350.epidemic：流行（病）, 蔓延】&lt;/b&gt;&lt;/span&gt;
&lt;span class="ml"&gt;ギリシャ語に由来する語で、以下の2つの要素から成る。
&lt;span class="spacer"&gt;&lt;/span&gt;epi（〜の中に, 〜の間に）
dēmos（人々）
&lt;span class="spacer"&gt;&lt;/span&gt;この語の核は「人々の間に広まっている」。特に病気に関して、人々の間に異常に広がることを表し、ある地域や集団での「流行（病）, 蔓延」という意味になる。
&lt;span class="spacer"&gt;&lt;/span&gt;epiではなくpan（全て）が付けば、特定地域ではなく複数の国や大陸に広まったpandemic（世界的な流行や蔓延）となる。
&lt;span class="spacer"&gt;&lt;/span&gt;epidemic：特定地域での異常な流行
pandemic：世界的・広域での流行&lt;/span&gt;
&lt;div class="animation epidemic"&gt;&lt;/div&gt;</v>
      </c>
      <c r="AU1289" s="15"/>
      <c r="AV1289" s="1" t="s">
        <v>38</v>
      </c>
      <c r="BG1289" s="7" t="s">
        <v>1242</v>
      </c>
      <c r="BH1289" s="1" t="s">
        <v>2458</v>
      </c>
      <c r="BI1289" s="2" t="s">
        <v>6384</v>
      </c>
      <c r="BJ1289" s="1" t="s">
        <v>1877</v>
      </c>
      <c r="BK1289" s="2" t="s">
        <v>6385</v>
      </c>
    </row>
    <row r="1290" spans="1:69" ht="108" x14ac:dyDescent="0.45">
      <c r="A1290" s="5">
        <v>1289</v>
      </c>
      <c r="B1290" s="6" t="s">
        <v>1026</v>
      </c>
      <c r="C1290" s="6" t="s">
        <v>6851</v>
      </c>
      <c r="D1290" s="7" t="s">
        <v>9752</v>
      </c>
      <c r="E1290" s="1" t="s">
        <v>1338</v>
      </c>
      <c r="F1290" s="1" t="s">
        <v>6386</v>
      </c>
      <c r="G1290" s="1" t="s">
        <v>1551</v>
      </c>
      <c r="J1290" s="1" t="s">
        <v>9753</v>
      </c>
      <c r="L1290" s="2" t="s">
        <v>9772</v>
      </c>
      <c r="P1290" s="7" t="s">
        <v>1241</v>
      </c>
      <c r="AU1290" s="15"/>
      <c r="AV1290" s="1" t="s">
        <v>38</v>
      </c>
      <c r="BG1290" s="7" t="s">
        <v>1242</v>
      </c>
      <c r="BH1290" s="1" t="s">
        <v>2458</v>
      </c>
      <c r="BI1290" s="2" t="s">
        <v>6387</v>
      </c>
      <c r="BJ1290" s="1" t="s">
        <v>1947</v>
      </c>
      <c r="BK1290" s="1" t="s">
        <v>6388</v>
      </c>
      <c r="BL1290" s="1" t="s">
        <v>1875</v>
      </c>
      <c r="BM1290" s="2" t="s">
        <v>6389</v>
      </c>
      <c r="BN1290" s="1" t="s">
        <v>1877</v>
      </c>
      <c r="BO1290" s="2" t="s">
        <v>9773</v>
      </c>
    </row>
    <row r="1291" spans="1:69" ht="144" x14ac:dyDescent="0.45">
      <c r="A1291" s="5">
        <v>1290</v>
      </c>
      <c r="B1291" s="8" t="s">
        <v>1027</v>
      </c>
      <c r="C1291" s="6" t="s">
        <v>6851</v>
      </c>
      <c r="D1291" s="7" t="s">
        <v>9752</v>
      </c>
      <c r="E1291" s="1" t="s">
        <v>27</v>
      </c>
      <c r="F1291" s="1" t="s">
        <v>6390</v>
      </c>
      <c r="G1291" s="1"/>
      <c r="J1291" s="1" t="s">
        <v>9753</v>
      </c>
      <c r="L1291" s="2" t="s">
        <v>9774</v>
      </c>
      <c r="M1291" s="1" t="s">
        <v>12146</v>
      </c>
      <c r="P1291" s="7" t="s">
        <v>1241</v>
      </c>
      <c r="Q1291" s="13" t="str">
        <f>INDEX($L:$L, MATCH("native", $B:$B, 0))</f>
        <v>&lt;span class="w"&gt;&lt;b&gt;【94.native：出生地の, 原生の, 生まれつきの】&lt;/b&gt;&lt;/span&gt;
&lt;span class="ml"&gt;印欧祖語*gene-（生む, 生み出す）から派生したラテン語に由来する語で、以下の2つの要素から成る。
&lt;span class="spacer"&gt;&lt;/span&gt;nasci（生まれる）
ivus（形容詞化）
&lt;span class="spacer"&gt;&lt;/span&gt;「生まれる」が形容詞となって「生まれたままの」＝「生まれつきの」という意味になる。
&lt;span class="spacer"&gt;&lt;/span&gt;また生まれた土地と結びついている＝「出生地の, 原生の」という意味になる。&lt;/span&gt;</v>
      </c>
      <c r="R1291" s="13" t="str">
        <f>INDEX($L:$L, MATCH("indigenous", $B:$B, 0))</f>
        <v>&lt;span class="w"&gt;&lt;b&gt;【1189.indigenous：原産の, 先住の】&lt;/b&gt;&lt;/span&gt;
&lt;span class="ml"&gt;ラテン語に由来する語で、以下の3つの要素から成る。
&lt;span class="spacer"&gt;&lt;/span&gt;indu（中に）
gignere（生む）
us（形容詞化）
&lt;span class="spacer"&gt;&lt;/span&gt;この語の核は「ある環境の中で生まれた」。ある土地に初めから根付いている動植物や人を表して「土着の, 先住の」という意味になった。
&lt;div class="sample_image indigenous"&gt;&lt;/div&gt;&lt;/span&gt;</v>
      </c>
      <c r="S1291" s="13" t="str">
        <f>INDEX($L:$L, MATCH("gene", $B:$B, 0))</f>
        <v>&lt;span class="w"&gt;&lt;b&gt;【275.gene：遺伝子】&lt;/b&gt;&lt;/span&gt;
&lt;span class="ml"&gt;印欧祖語*gene-（生む, 産む）から生まれたギリシャ語genea（世代, 人種, 血統）に由来する。
&lt;span class="spacer"&gt;&lt;/span&gt;このギリシャ語をもとに、デンマークの科学者が1905年にドイツ語Gen（遺伝子）を造る。世代を超えて引き継がれるもの, 種族で共通するもの、つまり「遺伝子」を指した。&lt;/span&gt;</v>
      </c>
      <c r="T1291" s="13" t="str">
        <f>INDEX($L:$L, MATCH("gender", $B:$B, 0))</f>
        <v>&lt;span class="w"&gt;&lt;b&gt;【370.gender：社会的/文化的な性, 性別】&lt;/b&gt;&lt;/span&gt;
&lt;span class="ml"&gt;ラテン語genus（種族, 血統, 性別）に由来する。
&lt;span class="spacer"&gt;&lt;/span&gt;もともとは種類や文法上の性を表す言葉だったが、次第に人間の種類を分ける性別として使われるようになる。特に生物学的な性別に対し、「社会/文化的な性」として使われる。たとえば社会・文化における性差別をなくすことをジェンダーの平等と言う。&lt;/span&gt;</v>
      </c>
      <c r="U1291" s="13" t="str">
        <f>INDEX($L:$L, MATCH("generate", $B:$B, 0))</f>
        <v>&lt;span class="w"&gt;&lt;b&gt;【407.generate：〜を生み出す】&lt;/b&gt;&lt;/span&gt;
&lt;span class="ml"&gt;ラテン語genus（種族,  血統, 性別）から派生した動詞generare（生む, 生じさせる）に由来する。
&lt;span class="spacer"&gt;&lt;/span&gt;印欧祖語*gene-（生む, 産む）と同じく「生み出す」という意味になる。
&lt;span class="spacer"&gt;&lt;/span&gt;名詞generationは同時代の種族全体や生むこと自体を表して「世代, 発生」という意味になる。
&lt;span class="spacer"&gt;&lt;/span&gt;形容詞generalは「種族全体に関する」から「一般的な」という意味になる。&lt;/span&gt;</v>
      </c>
      <c r="V1291" s="13" t="str">
        <f>INDEX($L:$L, MATCH("generous", $B:$B, 0))</f>
        <v>&lt;span class="w"&gt;&lt;b&gt;【880.generous：寛大な, 気前のよい】&lt;/b&gt;&lt;/span&gt;
&lt;span class="ml"&gt;ラテン語に由来する語で、以下の2つの要素から成る。
&lt;span class="spacer"&gt;&lt;/span&gt;genus（生まれ, 家系, 血統）
osus（形容詞化：〜に満ちている）
&lt;span class="spacer"&gt;&lt;/span&gt;もともとは、立派な血統に満ちていて高貴な生まれであることを表した。古代や中世には、高貴な人は器が大きく、他者に対して気前よくものを与え、寛大に振る舞うべきであるという価値観があったことから「寛大な, 気前のよい」という意味になった。&lt;/span&gt;</v>
      </c>
      <c r="W1291" s="13" t="str">
        <f>INDEX($L:$L, MATCH("genuine", $B:$B, 0))</f>
        <v>&lt;span class="w"&gt;&lt;b&gt;【888.genuine：本物の, 偽りのない】&lt;/b&gt;&lt;/span&gt;
&lt;span class="ml"&gt;ラテン語に由来する語で、以下の2つの要素から成ると考えられる。
&lt;span class="spacer"&gt;&lt;/span&gt;gignere（生む, 産出する）
inus（形容詞化）
&lt;span class="spacer"&gt;&lt;/span&gt;この語の核は「生まれたまま自然な状態」。後から作られた混ぜ物や偽物ではなく、生まれたままであることを表し、「本物の, 偽りのない」という意味になる。
&lt;span class="spacer"&gt;&lt;/span&gt;また別の語源の説では、ラテン語genu（膝）に由来するという考えもある。
&lt;span class="spacer"&gt;&lt;/span&gt;古代ローマでは、赤ん坊が生まれると、父親がその子を自分の膝の上に置くという伝統的な儀式があった。これは単なるスキンシップではなく、「この子は間違いなく自分の血を引く、正式な子供である」と公に認めるための重要な法的手続きだった。そこから「偽りのない, 本物の」という意味になった。&lt;/span&gt;</v>
      </c>
      <c r="X1291" s="13" t="str">
        <f>INDEX($L:$L, MATCH("pregnant", $B:$B, 0))</f>
        <v>&lt;span class="w"&gt;&lt;b&gt;【1095.pregnant：妊娠した】&lt;/b&gt;&lt;/span&gt;
&lt;span class="ml"&gt;ラテン語に由来する語で、以下の2つの要素から成る。
&lt;span class="spacer"&gt;&lt;/span&gt;prae（前に）
gnasci（生まれる）
&lt;span class="spacer"&gt;&lt;/span&gt;このまま日本語にすると「生まれる前」となる。そこから子を宿している状態＝「妊娠した」という意味になる。&lt;/span&gt;</v>
      </c>
      <c r="AV1291" s="1" t="s">
        <v>38</v>
      </c>
      <c r="BG1291" s="7" t="s">
        <v>1242</v>
      </c>
      <c r="BH1291" s="1" t="s">
        <v>1976</v>
      </c>
      <c r="BI1291" s="1" t="s">
        <v>2838</v>
      </c>
      <c r="BJ1291" s="1" t="s">
        <v>1947</v>
      </c>
      <c r="BK1291" s="2" t="s">
        <v>6391</v>
      </c>
      <c r="BL1291" s="1" t="s">
        <v>2036</v>
      </c>
      <c r="BM1291" s="1" t="s">
        <v>6392</v>
      </c>
      <c r="BN1291" s="1" t="s">
        <v>1875</v>
      </c>
      <c r="BO1291" s="2" t="s">
        <v>6393</v>
      </c>
    </row>
    <row r="1292" spans="1:69" ht="108" x14ac:dyDescent="0.45">
      <c r="A1292" s="5">
        <v>1291</v>
      </c>
      <c r="B1292" s="8" t="s">
        <v>1028</v>
      </c>
      <c r="C1292" s="6" t="s">
        <v>6851</v>
      </c>
      <c r="D1292" s="7" t="s">
        <v>9752</v>
      </c>
      <c r="E1292" s="1" t="s">
        <v>1028</v>
      </c>
      <c r="F1292" s="1"/>
      <c r="G1292" s="1"/>
      <c r="J1292" s="1" t="s">
        <v>9753</v>
      </c>
      <c r="L1292" s="2" t="s">
        <v>9775</v>
      </c>
      <c r="P1292" s="7" t="s">
        <v>1241</v>
      </c>
      <c r="Q1292" s="13" t="str">
        <f>INDEX($L:$L, MATCH("melt", $B:$B, 0))</f>
        <v>&lt;span class="w"&gt;&lt;b&gt;【704.melt：溶ける, 〜を溶かす, なごむ】&lt;/b&gt;&lt;/span&gt;
&lt;span class="ml"&gt;印欧祖語*mel-（柔らかい）から派生した古英語meltan（熱によって溶ける）にさかのぼる。
&lt;span class="spacer"&gt;&lt;/span&gt;この語の核は「柔らかくする」。ここから「溶ける, 溶かす, なごむ」といった意味になる。。&lt;/span&gt;</v>
      </c>
      <c r="AV1292" s="1" t="s">
        <v>38</v>
      </c>
      <c r="BG1292" s="7" t="s">
        <v>1242</v>
      </c>
      <c r="BH1292" s="1" t="s">
        <v>1872</v>
      </c>
      <c r="BI1292" s="1" t="s">
        <v>6394</v>
      </c>
      <c r="BJ1292" s="1" t="s">
        <v>1875</v>
      </c>
      <c r="BK1292" s="2" t="s">
        <v>6395</v>
      </c>
      <c r="BL1292" s="1" t="s">
        <v>1877</v>
      </c>
      <c r="BM1292" s="2" t="s">
        <v>6396</v>
      </c>
    </row>
    <row r="1293" spans="1:69" ht="162" x14ac:dyDescent="0.45">
      <c r="A1293" s="5">
        <v>1292</v>
      </c>
      <c r="B1293" s="6" t="s">
        <v>1029</v>
      </c>
      <c r="C1293" s="6" t="s">
        <v>6851</v>
      </c>
      <c r="D1293" s="7" t="s">
        <v>9752</v>
      </c>
      <c r="E1293" s="1" t="s">
        <v>6397</v>
      </c>
      <c r="F1293" s="1" t="s">
        <v>1551</v>
      </c>
      <c r="G1293" s="1"/>
      <c r="J1293" s="1" t="s">
        <v>9753</v>
      </c>
      <c r="L1293" s="3" t="s">
        <v>9776</v>
      </c>
      <c r="P1293" s="7" t="s">
        <v>1241</v>
      </c>
      <c r="AU1293" s="15"/>
      <c r="AV1293" s="1" t="s">
        <v>38</v>
      </c>
      <c r="BG1293" s="7" t="s">
        <v>1242</v>
      </c>
      <c r="BH1293" s="1" t="s">
        <v>2458</v>
      </c>
      <c r="BI1293" s="2" t="s">
        <v>6398</v>
      </c>
      <c r="BJ1293" s="1" t="s">
        <v>1947</v>
      </c>
      <c r="BK1293" s="1" t="s">
        <v>6399</v>
      </c>
      <c r="BL1293" s="1" t="s">
        <v>2036</v>
      </c>
      <c r="BM1293" s="1" t="s">
        <v>6400</v>
      </c>
      <c r="BN1293" s="1" t="s">
        <v>1996</v>
      </c>
      <c r="BO1293" s="1" t="s">
        <v>6401</v>
      </c>
      <c r="BP1293" s="1" t="s">
        <v>1877</v>
      </c>
      <c r="BQ1293" s="2" t="s">
        <v>6402</v>
      </c>
    </row>
    <row r="1294" spans="1:69" ht="162" x14ac:dyDescent="0.45">
      <c r="A1294" s="5">
        <v>1293</v>
      </c>
      <c r="B1294" s="6" t="s">
        <v>1030</v>
      </c>
      <c r="C1294" s="6" t="s">
        <v>6851</v>
      </c>
      <c r="D1294" s="7" t="s">
        <v>9752</v>
      </c>
      <c r="E1294" s="1" t="s">
        <v>1621</v>
      </c>
      <c r="F1294" s="1" t="s">
        <v>613</v>
      </c>
      <c r="G1294" s="1" t="s">
        <v>1819</v>
      </c>
      <c r="J1294" s="1" t="s">
        <v>9753</v>
      </c>
      <c r="K1294" s="1" t="s">
        <v>6403</v>
      </c>
      <c r="L1294" s="2" t="s">
        <v>9777</v>
      </c>
      <c r="P1294" s="7" t="s">
        <v>1241</v>
      </c>
      <c r="Q1294" s="13" t="str">
        <f>INDEX($L:$L, MATCH("shame", $B:$B, 0))</f>
        <v>&lt;span class="w"&gt;&lt;b&gt;【866.shame：恥, 残念なこと】&lt;/b&gt;&lt;/span&gt;
&lt;span class="ml"&gt;古英語から恥や不名誉に関連する意味があり、そこから大きく変わっていない。&lt;/span&gt;</v>
      </c>
      <c r="AU1294" s="15"/>
      <c r="AV1294" s="1" t="s">
        <v>38</v>
      </c>
      <c r="BG1294" s="7" t="s">
        <v>1242</v>
      </c>
      <c r="BH1294" s="1" t="s">
        <v>1976</v>
      </c>
      <c r="BI1294" s="1" t="s">
        <v>9778</v>
      </c>
      <c r="BJ1294" s="1" t="s">
        <v>1872</v>
      </c>
      <c r="BK1294" s="2" t="s">
        <v>6404</v>
      </c>
    </row>
    <row r="1295" spans="1:69" ht="180" x14ac:dyDescent="0.45">
      <c r="A1295" s="5">
        <v>1294</v>
      </c>
      <c r="B1295" s="6" t="s">
        <v>1031</v>
      </c>
      <c r="C1295" s="6" t="s">
        <v>6851</v>
      </c>
      <c r="D1295" s="7" t="s">
        <v>9752</v>
      </c>
      <c r="E1295" s="1" t="s">
        <v>6405</v>
      </c>
      <c r="F1295" s="1" t="s">
        <v>4531</v>
      </c>
      <c r="G1295" s="1"/>
      <c r="J1295" s="1" t="s">
        <v>9753</v>
      </c>
      <c r="K1295" s="1" t="s">
        <v>9779</v>
      </c>
      <c r="L1295" s="2" t="s">
        <v>9780</v>
      </c>
      <c r="P1295" s="7" t="s">
        <v>1241</v>
      </c>
      <c r="Q1295" s="13" t="str">
        <f>INDEX($L:$L, MATCH("humanity", $B:$B, 0))</f>
        <v>&lt;span class="w"&gt;&lt;b&gt;【462.humanity：人類, 人間性, （the humanities）人文科学】&lt;/b&gt;&lt;/span&gt;
&lt;span class="ml"&gt;ラテン語に由来する語で、以下の3つの要素から成る。
&lt;span class="spacer"&gt;&lt;/span&gt;humus（土, 地面）
us（形容詞化）
tas（名詞化）
&lt;span class="spacer"&gt;&lt;/span&gt;humus＋usから成るラテン語humanusは、human（人間）の語源でもある。天に存在する神に対して、地上に生きる存在である「人間の」を意味する。
&lt;span class="spacer"&gt;&lt;/span&gt;この形容詞が名詞となり、人間としての性質や人間全体を表し、「人間性, 人類」という意味になった。また学問においては、「人文科学」を意味する。 &lt;/span&gt;</v>
      </c>
      <c r="AU1295" s="15"/>
      <c r="AV1295" s="1" t="s">
        <v>38</v>
      </c>
      <c r="BG1295" s="7" t="s">
        <v>1242</v>
      </c>
      <c r="BH1295" s="1" t="s">
        <v>1947</v>
      </c>
      <c r="BI1295" s="2" t="s">
        <v>6406</v>
      </c>
      <c r="BJ1295" s="1" t="s">
        <v>1959</v>
      </c>
      <c r="BK1295" s="1" t="s">
        <v>1031</v>
      </c>
      <c r="BL1295" s="1" t="s">
        <v>1875</v>
      </c>
      <c r="BM1295" s="2" t="s">
        <v>6407</v>
      </c>
    </row>
    <row r="1296" spans="1:69" ht="252" x14ac:dyDescent="0.45">
      <c r="A1296" s="5">
        <v>1295</v>
      </c>
      <c r="B1296" s="6" t="s">
        <v>1032</v>
      </c>
      <c r="C1296" s="6" t="s">
        <v>6851</v>
      </c>
      <c r="D1296" s="7" t="s">
        <v>9752</v>
      </c>
      <c r="E1296" s="1" t="s">
        <v>9781</v>
      </c>
      <c r="F1296" s="1" t="s">
        <v>9782</v>
      </c>
      <c r="G1296" s="1" t="s">
        <v>1542</v>
      </c>
      <c r="J1296" s="1" t="s">
        <v>9753</v>
      </c>
      <c r="L1296" s="3" t="s">
        <v>10402</v>
      </c>
      <c r="P1296" s="7" t="s">
        <v>1241</v>
      </c>
      <c r="AU1296" s="15"/>
      <c r="AV1296" s="1" t="s">
        <v>38</v>
      </c>
      <c r="BG1296" s="7" t="s">
        <v>1242</v>
      </c>
      <c r="BH1296" s="1" t="s">
        <v>1947</v>
      </c>
      <c r="BI1296" s="2" t="s">
        <v>6408</v>
      </c>
      <c r="BJ1296" s="1" t="s">
        <v>1959</v>
      </c>
      <c r="BK1296" s="1" t="s">
        <v>6409</v>
      </c>
      <c r="BL1296" s="1" t="s">
        <v>1875</v>
      </c>
      <c r="BM1296" s="2" t="s">
        <v>6410</v>
      </c>
      <c r="BN1296" s="1" t="s">
        <v>1877</v>
      </c>
      <c r="BO1296" s="2" t="s">
        <v>6411</v>
      </c>
    </row>
    <row r="1297" spans="1:67" ht="90" x14ac:dyDescent="0.45">
      <c r="A1297" s="5">
        <v>1296</v>
      </c>
      <c r="B1297" s="6" t="s">
        <v>1033</v>
      </c>
      <c r="C1297" s="6" t="s">
        <v>6851</v>
      </c>
      <c r="D1297" s="7" t="s">
        <v>9752</v>
      </c>
      <c r="E1297" s="1" t="s">
        <v>1033</v>
      </c>
      <c r="F1297" s="1"/>
      <c r="G1297" s="1"/>
      <c r="J1297" s="1" t="s">
        <v>9753</v>
      </c>
      <c r="L1297" s="3" t="s">
        <v>9783</v>
      </c>
      <c r="P1297" s="7" t="s">
        <v>1241</v>
      </c>
      <c r="AV1297" s="1" t="s">
        <v>38</v>
      </c>
      <c r="BG1297" s="7" t="s">
        <v>1242</v>
      </c>
      <c r="BH1297" s="1" t="s">
        <v>1872</v>
      </c>
      <c r="BI1297" s="1" t="s">
        <v>6412</v>
      </c>
      <c r="BJ1297" s="1" t="s">
        <v>1875</v>
      </c>
      <c r="BK1297" s="1" t="s">
        <v>6413</v>
      </c>
    </row>
    <row r="1298" spans="1:67" ht="180" x14ac:dyDescent="0.45">
      <c r="A1298" s="5">
        <v>1297</v>
      </c>
      <c r="B1298" s="8" t="s">
        <v>1034</v>
      </c>
      <c r="C1298" s="6" t="s">
        <v>6851</v>
      </c>
      <c r="D1298" s="7" t="s">
        <v>9752</v>
      </c>
      <c r="E1298" s="1" t="s">
        <v>6414</v>
      </c>
      <c r="F1298" s="1" t="s">
        <v>6415</v>
      </c>
      <c r="G1298" s="1" t="s">
        <v>49</v>
      </c>
      <c r="J1298" s="1" t="s">
        <v>9753</v>
      </c>
      <c r="L1298" s="2" t="s">
        <v>9784</v>
      </c>
      <c r="M1298" s="1" t="s">
        <v>12188</v>
      </c>
      <c r="P1298" s="7" t="s">
        <v>1241</v>
      </c>
      <c r="Q1298" s="13" t="str">
        <f>INDEX($L:$L, MATCH("obvious", $B:$B, 0))</f>
        <v>&lt;span class="w"&gt;&lt;b&gt;【287.obvious：明らかな】&lt;/b&gt;&lt;/span&gt;
&lt;span class="ml"&gt;ラテン語に由来する語で、以下の3つの要素から成る。
&lt;span class="spacer"&gt;&lt;/span&gt;ob（前に, ～に対して）
via（道）
us（形容詞化）
&lt;span class="spacer"&gt;&lt;/span&gt;このまま日本語にすると「道に, 行く手に」となる。道の上に何かが置かれているイメージから、一目見てわかる＝「明らかな, はっきり見える」という意味になる。
&lt;div class="sample_image obvious"&gt;&lt;/div&gt;&lt;/span&gt;</v>
      </c>
      <c r="R1298" s="13" t="str">
        <f>INDEX($L:$L, MATCH("previous", $B:$B, 0))</f>
        <v>&lt;span class="w"&gt;&lt;b&gt;【291.previous：以前の, 前の】&lt;/b&gt;&lt;/span&gt;
&lt;span class="ml"&gt;ラテン語に由来する語で、以下の3つの要素から成る。
&lt;span class="spacer"&gt;&lt;/span&gt;prae（前に, 以前に）
via（道）
us（形容詞化）
&lt;span class="spacer"&gt;&lt;/span&gt;このまま日本語にすると「道の前」となる。これは道の先を行くイメージ。時間を道にたとえると、未来が現在を通過して過去になる。道の先を行くということは、先に現在を通過しているということなので、時系列において既に起こっている。ここから「以前の, 前の」という意味になる。
&lt;div class="sample_image previous"&gt;&lt;/div&gt;&lt;/span&gt;</v>
      </c>
      <c r="S1298" s="13" t="str">
        <f>INDEX($L:$L, MATCH("via", $B:$B, 0))</f>
        <v>&lt;span class="w"&gt;&lt;b&gt;【800.via：〜経由で】&lt;/b&gt;&lt;/span&gt;
&lt;span class="ml"&gt;ラテン語via（道, 〜経由で）に由来する。
&lt;span class="spacer"&gt;&lt;/span&gt;ラテン語から意味の変化はほとんどなく「〜経由で」という意味になる。&lt;/span&gt;</v>
      </c>
      <c r="T1298" s="13" t="str">
        <f>INDEX($L:$L, MATCH("convey", $B:$B, 0))</f>
        <v>&lt;span class="w"&gt;&lt;b&gt;【621.convey：〜を伝える, 〜を運ぶ】&lt;/b&gt;&lt;/span&gt;
&lt;span class="ml"&gt;ラテン語に由来する語で、以下の2つの要素から成る。
&lt;span class="spacer"&gt;&lt;/span&gt;com（共に）
via（道）
&lt;span class="spacer"&gt;&lt;/span&gt;このまま日本語にすると「道を共に」となる。もともとは、誰かに付き添って同行することを表したが、そこから人や物を伴って移動する、つまり「運ぶ」という意味になった。さらに抽象化して、具体的な物ではなく、情報や感情を「伝える」という意味になった。&lt;/span&gt;</v>
      </c>
      <c r="AU1298" s="15"/>
      <c r="AV1298" s="1" t="s">
        <v>38</v>
      </c>
      <c r="BG1298" s="7" t="s">
        <v>1242</v>
      </c>
      <c r="BH1298" s="1" t="s">
        <v>1947</v>
      </c>
      <c r="BI1298" s="2" t="s">
        <v>6416</v>
      </c>
      <c r="BJ1298" s="1" t="s">
        <v>1877</v>
      </c>
      <c r="BK1298" s="2" t="s">
        <v>6417</v>
      </c>
    </row>
    <row r="1299" spans="1:67" ht="198" x14ac:dyDescent="0.45">
      <c r="A1299" s="5">
        <v>1298</v>
      </c>
      <c r="B1299" s="8" t="s">
        <v>1035</v>
      </c>
      <c r="C1299" s="6" t="s">
        <v>6851</v>
      </c>
      <c r="D1299" s="7" t="s">
        <v>9752</v>
      </c>
      <c r="E1299" s="1" t="s">
        <v>6418</v>
      </c>
      <c r="F1299" s="1" t="s">
        <v>6419</v>
      </c>
      <c r="G1299" s="1"/>
      <c r="J1299" s="1" t="s">
        <v>9753</v>
      </c>
      <c r="L1299" s="3" t="s">
        <v>9785</v>
      </c>
      <c r="P1299" s="7" t="s">
        <v>1241</v>
      </c>
      <c r="Q1299" s="13" t="str">
        <f>INDEX($L:$L, MATCH("major", $B:$B, 0))</f>
        <v>&lt;span class="w"&gt;&lt;b&gt;【88.major：主要な, 大きい（方の）】&lt;/b&gt;&lt;/span&gt;
&lt;span class="ml"&gt;ラテン語に由来する語で、以下の2つの要素から成る。
&lt;span class="spacer"&gt;&lt;/span&gt;magnus（大きい, 偉大な）
ior（比較級を作る）
&lt;span class="spacer"&gt;&lt;/span&gt;このまま日本語にすると「より大きい」となる。これはラテン語の比較級で、他と比べてより大きいということから「主要な, 大きい（方の）」という意味になる。
&lt;span class="spacer"&gt;&lt;/span&gt;巨大であることを示すメガや、地震の大きさを示すマグニチュードもラテン語magnusに由来する。
&lt;span class="spacer"&gt;&lt;/span&gt;minor（マイナー, ささいな, 小さい）の対義語。&lt;/span&gt;</v>
      </c>
      <c r="R1299" s="13" t="str">
        <f>INDEX($L:$L, MATCH("maximum", $B:$B, 0))</f>
        <v>&lt;span class="w"&gt;&lt;b&gt;【965.maximum：最大限】&lt;/b&gt;&lt;/span&gt;
&lt;span class="ml"&gt;ラテン語に由来する語で、以下の2つの要素から成る。
&lt;span class="spacer"&gt;&lt;/span&gt;magnus（大きな, 多い, 偉大な）
imus（最上級を作る）
um（名詞化）
&lt;span class="spacer"&gt;&lt;/span&gt;このまま日本語にすると「最も大きいこと」、つまり「最大限」という意味になる。&lt;/span&gt;</v>
      </c>
      <c r="AU1299" s="15"/>
      <c r="AV1299" s="1" t="s">
        <v>38</v>
      </c>
      <c r="BG1299" s="7" t="s">
        <v>1242</v>
      </c>
      <c r="BH1299" s="1" t="s">
        <v>1947</v>
      </c>
      <c r="BI1299" s="2" t="s">
        <v>6420</v>
      </c>
      <c r="BJ1299" s="1" t="s">
        <v>1959</v>
      </c>
      <c r="BK1299" s="1" t="s">
        <v>6421</v>
      </c>
      <c r="BL1299" s="1" t="s">
        <v>1875</v>
      </c>
      <c r="BM1299" s="2" t="s">
        <v>6422</v>
      </c>
      <c r="BN1299" s="1" t="s">
        <v>1877</v>
      </c>
      <c r="BO1299" s="2" t="s">
        <v>6423</v>
      </c>
    </row>
    <row r="1300" spans="1:67" ht="108" x14ac:dyDescent="0.45">
      <c r="A1300" s="5">
        <v>1299</v>
      </c>
      <c r="B1300" s="6" t="s">
        <v>1036</v>
      </c>
      <c r="C1300" s="6" t="s">
        <v>6851</v>
      </c>
      <c r="D1300" s="7" t="s">
        <v>9752</v>
      </c>
      <c r="E1300" s="1" t="s">
        <v>6424</v>
      </c>
      <c r="F1300" s="1" t="s">
        <v>1556</v>
      </c>
      <c r="G1300" s="1"/>
      <c r="J1300" s="1" t="s">
        <v>9753</v>
      </c>
      <c r="L1300" s="2" t="s">
        <v>9786</v>
      </c>
      <c r="P1300" s="7" t="s">
        <v>1241</v>
      </c>
      <c r="AU1300" s="15"/>
      <c r="AV1300" s="1" t="s">
        <v>38</v>
      </c>
      <c r="BG1300" s="7" t="s">
        <v>1242</v>
      </c>
      <c r="BH1300" s="1" t="s">
        <v>1877</v>
      </c>
      <c r="BI1300" s="2" t="s">
        <v>6425</v>
      </c>
      <c r="BJ1300" s="1" t="s">
        <v>3496</v>
      </c>
      <c r="BK1300" s="2" t="s">
        <v>6426</v>
      </c>
    </row>
    <row r="1301" spans="1:67" ht="162" x14ac:dyDescent="0.45">
      <c r="A1301" s="5">
        <v>1300</v>
      </c>
      <c r="B1301" s="6" t="s">
        <v>1037</v>
      </c>
      <c r="C1301" s="6" t="s">
        <v>6851</v>
      </c>
      <c r="D1301" s="7" t="s">
        <v>9752</v>
      </c>
      <c r="E1301" s="1" t="s">
        <v>6427</v>
      </c>
      <c r="F1301" s="1" t="s">
        <v>6428</v>
      </c>
      <c r="G1301" s="1"/>
      <c r="J1301" s="1" t="s">
        <v>9753</v>
      </c>
      <c r="L1301" s="2" t="s">
        <v>9787</v>
      </c>
      <c r="P1301" s="7" t="s">
        <v>1241</v>
      </c>
      <c r="Q1301" s="13" t="str">
        <f>INDEX($L:$L, MATCH("undergo", $B:$B, 0))</f>
        <v>&lt;span class="w"&gt;&lt;b&gt;【937.undergo：〜を経験する, （手術など）を受ける, 〜に耐える】&lt;/b&gt;&lt;/span&gt;
&lt;span class="ml"&gt;古英語にさかのぼり、underとgan（goの語源）から成る。
&lt;span class="spacer"&gt;&lt;/span&gt;このまま日本語にすると「下を通って行く」となる。もともとは文字通り「下を行く」という物理的な動作を表していたが、やがて覆いかぶさってくるような大きな出来事や、重荷となる状況の下に入り込んでいくという比喩的な意味へと変化した。そこから「（苦難に）耐える」「（避けられないプロセスを）経験する」という意味になった。&lt;/span&gt;</v>
      </c>
      <c r="AV1301" s="1" t="s">
        <v>38</v>
      </c>
      <c r="BG1301" s="7" t="s">
        <v>1242</v>
      </c>
      <c r="BH1301" s="1" t="s">
        <v>1877</v>
      </c>
      <c r="BI1301" s="1" t="s">
        <v>6429</v>
      </c>
    </row>
    <row r="1302" spans="1:67" ht="288" x14ac:dyDescent="0.45">
      <c r="A1302" s="5">
        <v>1301</v>
      </c>
      <c r="B1302" s="8" t="s">
        <v>1038</v>
      </c>
      <c r="C1302" s="6" t="s">
        <v>1816</v>
      </c>
      <c r="D1302" s="7" t="s">
        <v>9752</v>
      </c>
      <c r="E1302" s="1" t="s">
        <v>1392</v>
      </c>
      <c r="F1302" s="1" t="s">
        <v>6430</v>
      </c>
      <c r="G1302" s="1"/>
      <c r="J1302" s="1" t="s">
        <v>9753</v>
      </c>
      <c r="L1302" s="3" t="s">
        <v>10373</v>
      </c>
      <c r="M1302" s="1" t="s">
        <v>12202</v>
      </c>
      <c r="P1302" s="7" t="s">
        <v>1241</v>
      </c>
      <c r="Q1302" s="13" t="str">
        <f>INDEX($L:$L, MATCH("secure", $B:$B, 0))</f>
        <v>&lt;span class="w"&gt;&lt;b&gt;【721.secure：〜を確保する, 〜を守る】&lt;/b&gt;&lt;/span&gt;
&lt;span class="ml"&gt;ラテン語に由来する語で、以下の2つの要素から成る。
&lt;span class="spacer"&gt;&lt;/span&gt;se（離れて）
cura（心配）
&lt;span class="spacer"&gt;&lt;/span&gt;このまま日本語にすると「心配から離れた」となる。心配から解放された安全な状態にすることから、なくなる心配がないように何かを「確保する」という意味になった。&lt;/span&gt;</v>
      </c>
      <c r="R1302" s="13" t="str">
        <f>INDEX($L:$L, MATCH("ensure", $B:$B, 0))</f>
        <v>&lt;span class="w"&gt;&lt;b&gt;【509.ensure：～を確実にする】&lt;/b&gt;&lt;/span&gt;
&lt;span class="ml"&gt;古フランス語に由来する語で、以下の2つの要素から成る。
&lt;span class="spacer"&gt;&lt;/span&gt;en（動詞化）
seur（確実な, 確かな：sureの語源）
&lt;span class="spacer"&gt;&lt;/span&gt;このまま日本語にすると「確実な状態にする」となる。つまり「何かが確実にそうなるようにする」というイメージで、ここから「〜を確実にする」という意味になる。&lt;/span&gt;</v>
      </c>
      <c r="S1302" s="13" t="str">
        <f>INDEX($L:$L, MATCH("insurance", $B:$B, 0))</f>
        <v>&lt;span class="w"&gt;&lt;b&gt;【659.insurance：保険】&lt;/b&gt;&lt;/span&gt;
&lt;span class="ml"&gt;この語は2段階で考える。
sura部分は英語のsureと同じ。ラテン語に由来し、以下の2つの要素から成る。
&lt;span class="spacer"&gt;&lt;/span&gt;se（離れて）
cura（心配）
&lt;span class="spacer"&gt;&lt;/span&gt;sura部分は「心配から離れて安全・確実」というイメージ。
&lt;span class="spacer"&gt;&lt;/span&gt;このラテン語から古フランス語になって、以下の3つの要素からinsuranceが出来上がる。
&lt;span class="spacer"&gt;&lt;/span&gt;en（〜にする）
sur（安全な, 確実な）
ance（名詞化）
&lt;span class="spacer"&gt;&lt;/span&gt;このまま日本語にすると「（心配を取り除いて）確実で安全な状態にすること」となる。ここからリスクに対する不安を取り除き、安全な状態にする「保険」という意味になった。
&lt;div class="sample_image insurance"&gt;&lt;/div&gt;&lt;/span&gt;</v>
      </c>
      <c r="T1302" s="13" t="str">
        <f>INDEX($L:$L, MATCH("cure", $B:$B, 0))</f>
        <v>&lt;span class="w"&gt;&lt;b&gt;【527.cure：〜を治す, 〜を取り除く, 病気が治る】&lt;/b&gt;&lt;/span&gt;
&lt;span class="ml"&gt;ラテン語curare（世話をする）に由来する。
&lt;span class="spacer"&gt;&lt;/span&gt;これは対象の状態に注意を払い、管理し、整えることを意味する。医療的な文脈では、病人の世話をして健康な状態へ導くことから、「病気を治す, 病を取り除く, 病気が治る」という意味になる。&lt;/span&gt;</v>
      </c>
      <c r="U1302" s="13" t="str">
        <f>INDEX($L:$L, MATCH("accurate", $B:$B, 0))</f>
        <v>&lt;span class="w"&gt;&lt;b&gt;【382.accurate：正確な, 精密な】&lt;/b&gt;&lt;/span&gt;
&lt;span class="ml"&gt;ラテン語に由来する語で、以下の2つの要素から成る。
&lt;span class="spacer"&gt;&lt;/span&gt;ad（～へ）
cura（注意）から派生したcurare（注意を払う）
&lt;span class="spacer"&gt;&lt;/span&gt;このまま日本語にすると「対象へ注意を払う」となる。ここから何かを注意深く念入りに行うことから「正確な, 精密な」という意味になる。&lt;/span&gt;</v>
      </c>
      <c r="V1302" s="13" t="str">
        <f>INDEX($L:$L, MATCH("curious", $B:$B, 0))</f>
        <v>&lt;span class="w"&gt;&lt;b&gt;【580.curious：好奇心の強い】&lt;/b&gt;&lt;/span&gt;
&lt;span class="ml"&gt;ラテン語に由来する語で、以下の2つの要素から成る。
cura（注意, 関心）
osus（形容詞化：〜に満ちた）
&lt;span class="spacer"&gt;&lt;/span&gt;このまま日本語にすると「注意や関心に満ちた」となる。ここから関心が溢れて、熱心に探りたがる、つまり「好奇心が強い」という意味になる。
&lt;div class="sample_image curious"&gt;&lt;/div&gt;&lt;/span&gt;</v>
      </c>
      <c r="AU1302" s="15"/>
      <c r="AV1302" s="1" t="s">
        <v>38</v>
      </c>
      <c r="BG1302" s="7" t="s">
        <v>1242</v>
      </c>
      <c r="BH1302" s="1" t="s">
        <v>1947</v>
      </c>
      <c r="BI1302" s="2" t="s">
        <v>9788</v>
      </c>
      <c r="BJ1302" s="1" t="s">
        <v>2026</v>
      </c>
      <c r="BK1302" s="2" t="s">
        <v>6431</v>
      </c>
      <c r="BL1302" s="1" t="s">
        <v>1959</v>
      </c>
      <c r="BM1302" s="1" t="s">
        <v>6432</v>
      </c>
      <c r="BN1302" s="1" t="s">
        <v>1875</v>
      </c>
      <c r="BO1302" s="2" t="s">
        <v>6433</v>
      </c>
    </row>
    <row r="1303" spans="1:67" ht="144" x14ac:dyDescent="0.45">
      <c r="A1303" s="5">
        <v>1302</v>
      </c>
      <c r="B1303" s="8" t="s">
        <v>1039</v>
      </c>
      <c r="C1303" s="6" t="s">
        <v>1816</v>
      </c>
      <c r="D1303" s="7" t="s">
        <v>9752</v>
      </c>
      <c r="E1303" s="1" t="s">
        <v>1338</v>
      </c>
      <c r="F1303" s="1" t="s">
        <v>6434</v>
      </c>
      <c r="G1303" s="1"/>
      <c r="J1303" s="1" t="s">
        <v>9753</v>
      </c>
      <c r="L1303" s="3" t="s">
        <v>9789</v>
      </c>
      <c r="M1303" s="1" t="s">
        <v>12169</v>
      </c>
      <c r="P1303" s="7" t="s">
        <v>1241</v>
      </c>
      <c r="Q1303" s="13" t="str">
        <f>INDEX($L:$L, MATCH("succeed", $B:$B, 0))</f>
        <v>&lt;span class="w"&gt;&lt;b&gt;【240.succeed：成功する（in）, 継承する（to）】&lt;/b&gt;&lt;/span&gt;
&lt;span class="ml"&gt;ラテン語に由来する語で、以下の2つの要素から成る。
&lt;span class="spacer"&gt;&lt;/span&gt;sub（後に）
cedere（行く, 進む）
&lt;span class="spacer"&gt;&lt;/span&gt;このまま日本語にすると「後に行く」となる。ここから次の2つの意味に発展する。
&lt;span class="spacer"&gt;&lt;/span&gt;①前任者の後を行くというイメージから「何かを継承する」という意味になる。この場合はsucceed &lt;strong&gt;to&lt;/strong&gt; Aで「Aに成功する」となる。
&lt;span class="spacer"&gt;&lt;/span&gt;②行為の後に結果が続くというイメージから「成功する」という意味になる。この場合はsucceed &lt;strong&gt;in&lt;/strong&gt; Aで「Aを継承する」となる。
&lt;div class="sample_image succeed"&gt;&lt;/div&gt;
&lt;span class="spacer"&gt;&lt;/span&gt;&lt;span class="obsolete"&gt;succeedは、もともとは何かに続いて結果が出るという意味で、良い結果（成功）を意味したわけではない。
&lt;span class="spacer"&gt;&lt;/span&gt;16世紀頃にsucceed well（ことがうまくいく）という表現があり、ここからwellが省略されてsucceed（成功する）となった。
&lt;span class="spacer"&gt;&lt;/span&gt;これと同じことがlikeでも起こり、最初はlike ~ wellで「好む」という意味だったが、likeの1語のみになった。
&lt;span class="spacer"&gt;&lt;/span&gt;「～の方が好き / ～が一番好き」という場合、wellの比較級 / 最上級を使ってlike ~ better / the bestとなるが、これはlike〜wellの名残である。&lt;/span&gt;&lt;/span&gt;</v>
      </c>
      <c r="R1303" s="13" t="str">
        <f>INDEX($L:$L, MATCH("proceed", $B:$B, 0))</f>
        <v>&lt;span class="w"&gt;&lt;b&gt;【1101.proceed：進む, 進行する】&lt;/b&gt;&lt;/span&gt;
&lt;span class="ml"&gt;ラテン語に由来する語で、以下の2つの要素から成る。
&lt;span class="spacer"&gt;&lt;/span&gt;pro（前へ）
cedere（行く, 進む）
&lt;span class="spacer"&gt;&lt;/span&gt;このまま日本語にすると「前へ進む」となり「進む, 進行する」という意味になる。名詞になるとprocess（過程, 経過）やprocedure（手続き）という進行途中や進行手順を表す。&lt;/span&gt;</v>
      </c>
      <c r="S1303" s="13" t="str">
        <f>INDEX($L:$L, MATCH("exceed", $B:$B, 0))</f>
        <v>&lt;span class="w"&gt;&lt;b&gt;【936.exceed：〜を超える, 〜を勝る】&lt;/b&gt;&lt;/span&gt;
&lt;span class="ml"&gt;ラテン語に由来する語で、以下の2つの要素から成る。
&lt;span class="spacer"&gt;&lt;/span&gt;ex（外に）
cedere（行く）
&lt;span class="spacer"&gt;&lt;/span&gt;このまま日本語にすると「外に行く」となる。ある範囲や基準の外に出て行くことから、何かを「超える, 勝る」という意味になる。
&lt;div class="sample_image exceed"&gt;&lt;/div&gt;&lt;/span&gt;</v>
      </c>
      <c r="T1303" s="13" t="str">
        <f>INDEX($L:$L, MATCH("excess", $B:$B, 0))</f>
        <v>&lt;span class="w"&gt;&lt;b&gt;【1163.excess：過剰, 超過】&lt;/b&gt;&lt;/span&gt;
&lt;span class="ml"&gt;ラテン語に由来する語で、以下の3つの要素から成る。
&lt;span class="spacer"&gt;&lt;/span&gt;ex（外に）
cedere（行く）
us（名詞化）
&lt;span class="spacer"&gt;&lt;/span&gt;このまま日本語にすると「外に行くこと」となる。もともとは、物理的に何かの範囲や領域、境界から外へ出ることを表した。そこから意味が抽象化し、基準や度合を超えること、つまり「超過, 過剰」という意味になった。&lt;/span&gt;</v>
      </c>
      <c r="U1303" s="13" t="str">
        <f>INDEX($L:$L, MATCH("access", $B:$B, 0))</f>
        <v>&lt;span class="w"&gt;&lt;b&gt;【169.access：利用, 入手, 接近】&lt;/b&gt;&lt;/span&gt;
&lt;span class="ml"&gt;ラテン語に由来する語で、以下の2つの要素から成る。
&lt;span class="spacer"&gt;&lt;/span&gt;ad（～へ）
cedere（行く）
&lt;span class="spacer"&gt;&lt;/span&gt;このまま日本語にすると「〜へ行く」となる。ここから「接近」という意味になる。さらに接近という物理的な移動から、近づいて何かを使うという「入手, 利用」という意味になる。
&lt;span class="spacer"&gt;&lt;/span&gt;The hotel has easy access to the station.
そのホテルは駅へのアクセスが良いという物理的な接近の話。
&lt;span class="spacer"&gt;&lt;/span&gt;Students have access to the library.
生徒は図書館を利用できるという利用可能性の話。&lt;/span&gt;</v>
      </c>
      <c r="V1303" s="13" t="str">
        <f>INDEX($L:$L, MATCH("recession", $B:$B, 0))</f>
        <v>&lt;span class="w"&gt;&lt;b&gt;【1171.recession：不況, 後退】&lt;/b&gt;&lt;/span&gt;
&lt;span class="ml"&gt;ラテン語に由来する語で、以下の3つの要素から成る。
&lt;span class="spacer"&gt;&lt;/span&gt;re（後ろへ）
cedere（行く, 進む）
io（名詞化）
&lt;span class="spacer"&gt;&lt;/span&gt;このまま日本語にすると「後ろへ行くこと」つまり「後退」という意味になる。世界恐慌時にdepression（大不況）よりも程度が軽く、一時的な経済の後退を表す言葉として使われたことから「不況」という意味になった。
&lt;div class="sample_image recession"&gt;&lt;/div&gt;&lt;/span&gt;</v>
      </c>
      <c r="W1303" s="13" t="str">
        <f>INDEX($L:$L, MATCH("necessary", $B:$B, 0))</f>
        <v>&lt;span class="w"&gt;&lt;b&gt;【199.necessary：必要な】&lt;/b&gt;&lt;/span&gt;
&lt;span class="ml"&gt;ラテン語に由来する語で、以下の3つの要素から成る。
&lt;span class="spacer"&gt;&lt;/span&gt;ne（=not：否定）
cedere（退く）
arius（形容詞化）
&lt;span class="spacer"&gt;&lt;/span&gt;このまま日本語にすると「退けない」となる。つまり何かを避けられない、それなしでは通れないということから不可欠＝「必要な」という意味になる。&lt;/span&gt;</v>
      </c>
      <c r="X1303" s="13" t="str">
        <f>INDEX($L:$L, MATCH("cease", $B:$B, 0))</f>
        <v>&lt;span class="w"&gt;&lt;b&gt;【1135.cease：〜をやめる】&lt;/b&gt;&lt;/span&gt;
&lt;span class="ml"&gt;ラテン語cedere（行く, 退く）から派生した反復形cessare（やめる）に由来する。
&lt;span class="spacer"&gt;&lt;/span&gt;もともとはその場から立ち去る、身を引くという物理的な動作を表した。そこから、今まで行っていた活動や状態から身を引く＝「やめる」という意味になった。&lt;/span&gt;</v>
      </c>
      <c r="Y1303" s="13" t="str">
        <f>INDEX($L:$L, MATCH("unprecedented", $B:$B, 0))</f>
        <v>&lt;span class="w"&gt;&lt;b&gt;【1380.unprecedented：前例のない】&lt;/b&gt;&lt;/span&gt;
&lt;span class="ml"&gt;近代英語にさかのぼり、以下の3つの要素から成る。
&lt;span class="spacer"&gt;&lt;/span&gt;un（否定）
precedent（前例を与える）
ed（過去分詞化）
&lt;span class="spacer"&gt;&lt;/span&gt;precedent部分は、ラテン語prae（前に）＋cedere（行く）に由来するprecede（先行する）と関連する。
&lt;span class="spacer"&gt;&lt;/span&gt;否定のunが付くことで、先行するものがない、つまり「前例がない」という意味になる。&lt;/span&gt;</v>
      </c>
      <c r="Z1303" s="13" t="str">
        <f>INDEX($L:$L, MATCH("ancestor", $B:$B, 0))</f>
        <v>&lt;span class="w"&gt;&lt;b&gt;【274.ancestor：祖先】&lt;/b&gt;&lt;/span&gt;
&lt;span class="ml"&gt;ラテン語に由来する語で、以下の3つの要素から成る。
&lt;span class="spacer"&gt;&lt;/span&gt;ante（前に）
cedere（行く, 進む）
or（〜する人）
&lt;span class="spacer"&gt;&lt;/span&gt;このまま日本語にすると「前に行く人」となる。自分たちよりも時間的に前を行く人から先代の人＝「祖先」という意味になる。
&lt;div class="sample_image ancestor"&gt;&lt;/div&gt;&lt;/span&gt;</v>
      </c>
      <c r="AU1303" s="15"/>
      <c r="AV1303" s="1" t="s">
        <v>38</v>
      </c>
      <c r="BG1303" s="7" t="s">
        <v>1242</v>
      </c>
      <c r="BH1303" s="1" t="s">
        <v>1947</v>
      </c>
      <c r="BI1303" s="2" t="s">
        <v>6435</v>
      </c>
      <c r="BJ1303" s="1" t="s">
        <v>1959</v>
      </c>
      <c r="BK1303" s="1" t="s">
        <v>6436</v>
      </c>
      <c r="BL1303" s="1" t="s">
        <v>1875</v>
      </c>
      <c r="BM1303" s="2" t="s">
        <v>6437</v>
      </c>
    </row>
    <row r="1304" spans="1:67" ht="108" x14ac:dyDescent="0.45">
      <c r="A1304" s="5">
        <v>1303</v>
      </c>
      <c r="B1304" s="8" t="s">
        <v>1040</v>
      </c>
      <c r="C1304" s="6" t="s">
        <v>1816</v>
      </c>
      <c r="D1304" s="7" t="s">
        <v>9752</v>
      </c>
      <c r="E1304" s="1" t="s">
        <v>1251</v>
      </c>
      <c r="F1304" s="1" t="s">
        <v>1342</v>
      </c>
      <c r="G1304" s="1"/>
      <c r="J1304" s="1" t="s">
        <v>9753</v>
      </c>
      <c r="L1304" s="2" t="s">
        <v>9790</v>
      </c>
      <c r="M1304" s="1" t="s">
        <v>12160</v>
      </c>
      <c r="P1304" s="7" t="s">
        <v>1241</v>
      </c>
      <c r="Q1304" s="13" t="str">
        <f>INDEX($L:$L, MATCH("survive", $B:$B, 0))</f>
        <v>&lt;span class="w"&gt;&lt;b&gt;【139.survive：生き残る, より長生きする】&lt;/b&gt;&lt;/span&gt;
&lt;span class="ml"&gt;ラテン語に由来する語で、以下の2つの要素から成る。
&lt;span class="spacer"&gt;&lt;/span&gt;super（越えて）
vivere（生きる）
&lt;span class="spacer"&gt;&lt;/span&gt;このまま日本語にすると「何かを越えて生きる」となる。つまり何かを乗り越えて「生き残る, より長生きする」という意味になる。&lt;/span&gt;</v>
      </c>
      <c r="R1304" s="13" t="str">
        <f>INDEX($L:$L, MATCH("vivid", $B:$B, 0))</f>
        <v>&lt;span class="w"&gt;&lt;b&gt;【1393.vivid：鮮やかな, 生き生きとした】&lt;/b&gt;&lt;/span&gt;
&lt;span class="ml"&gt;ラテン語に由来する語で、以下の2つの要素から成る。
&lt;span class="spacer"&gt;&lt;/span&gt;vivus（生きている）
idus（形容詞化）
&lt;span class="spacer"&gt;&lt;/span&gt;vividのviv部分は、surviveやreviveのviveと同じで「生きる, 生命」に関連する。
&lt;span class="spacer"&gt;&lt;/span&gt;まるで命が宿っているかのように鮮やかで強烈に目を引く感じや、目の前で実際に起きているかのようにありありと思い浮かぶことを表し、色や記憶などが「鮮やかな」、表現や描写が「生き生きとした」という意味になった。&lt;/span&gt;</v>
      </c>
      <c r="S1304" s="13" t="str">
        <f>INDEX($L:$L, MATCH("vital", $B:$B, 0))</f>
        <v>&lt;span class="w"&gt;&lt;b&gt;【584.vital：必要不可欠な, 生命に関わる】&lt;/b&gt;&lt;/span&gt;
&lt;span class="ml"&gt;ラテン語に由来する語で、以下の2つの要素から成る。
&lt;span class="spacer"&gt;&lt;/span&gt;vivere（生きる）に関連するvita（生命）
alis（形容詞化）
&lt;span class="spacer"&gt;&lt;/span&gt;このまま日本語にすると「生命に関わる」という意味になる。また、実際に生命の維持に関わることから比喩的に、何かにおいて欠かせないほど重要であることを表し、「必要不可欠な」という意味になった。&lt;/span&gt;</v>
      </c>
      <c r="AU1304" s="15"/>
      <c r="AV1304" s="1" t="s">
        <v>38</v>
      </c>
      <c r="BG1304" s="7" t="s">
        <v>1242</v>
      </c>
      <c r="BH1304" s="1" t="s">
        <v>1947</v>
      </c>
      <c r="BI1304" s="2" t="s">
        <v>6438</v>
      </c>
      <c r="BJ1304" s="1" t="s">
        <v>1959</v>
      </c>
      <c r="BK1304" s="2" t="s">
        <v>6439</v>
      </c>
      <c r="BL1304" s="1" t="s">
        <v>1875</v>
      </c>
      <c r="BM1304" s="2" t="s">
        <v>6440</v>
      </c>
      <c r="BN1304" s="1" t="s">
        <v>1877</v>
      </c>
      <c r="BO1304" s="2" t="s">
        <v>6441</v>
      </c>
    </row>
    <row r="1305" spans="1:67" ht="162" x14ac:dyDescent="0.45">
      <c r="A1305" s="5">
        <v>1304</v>
      </c>
      <c r="B1305" s="8" t="s">
        <v>1041</v>
      </c>
      <c r="C1305" s="6" t="s">
        <v>1816</v>
      </c>
      <c r="D1305" s="7" t="s">
        <v>9752</v>
      </c>
      <c r="E1305" s="1" t="s">
        <v>1467</v>
      </c>
      <c r="F1305" s="1" t="s">
        <v>6442</v>
      </c>
      <c r="G1305" s="1"/>
      <c r="J1305" s="1" t="s">
        <v>9753</v>
      </c>
      <c r="L1305" s="3" t="s">
        <v>9857</v>
      </c>
      <c r="P1305" s="7" t="s">
        <v>1241</v>
      </c>
      <c r="Q1305" s="13" t="str">
        <f>INDEX($L:$L, MATCH("appeal", $B:$B, 0))</f>
        <v>&lt;span class="w"&gt;&lt;b&gt;【426.appeal：訴える, 抗議する, 上訴する】&lt;/b&gt;&lt;/span&gt;
&lt;span class="ml"&gt;ラテン語に由来する語で、以下の2つの要素から成る。
&lt;span class="spacer"&gt;&lt;/span&gt;ad（〜へ）
pellere（打つ, 押す）
&lt;span class="spacer"&gt;&lt;/span&gt;このまま日本語にすると「〜へ押す」となる。これは、相手へ向かって強く働きかけるイメージ。そこから、人に向かって訴えかけることを表し、何かを「訴える, 抗議する, 上訴する」という意味になった。&lt;/span&gt;</v>
      </c>
      <c r="R1305" s="13" t="str">
        <f>INDEX($L:$L, MATCH("impulse", $B:$B, 0))</f>
        <v>&lt;span class="w"&gt;&lt;b&gt;【1243.impulse：衝動】&lt;/b&gt;&lt;/span&gt;
&lt;span class="ml"&gt;ラテン語に由来する語で、以下の2つの要素から成る。
&lt;span class="spacer"&gt;&lt;/span&gt;in（中に）
pellere（押す）
&lt;span class="spacer"&gt;&lt;/span&gt;このまま日本語にすると「中に押し込む」となる。もともとは物理的な押し込む力を表したが、そこから心理面において心を突き動かす力、すなわち「衝動」という意味になった。&lt;/span&gt;</v>
      </c>
      <c r="S1305" s="13" t="str">
        <f>INDEX($L:$L, MATCH("compulsory", $B:$B, 0))</f>
        <v>&lt;span class="w"&gt;&lt;b&gt;【1384.compulsory：義務的な, 強制的な】&lt;/b&gt;&lt;/span&gt;
&lt;span class="ml"&gt;ラテン語に由来する語で、以下の3つの要素から成る。
&lt;span class="spacer"&gt;&lt;/span&gt;com（共に）
pellere（追う, 駆り立てる）
orius（形容詞化）
&lt;span class="spacer"&gt;&lt;/span&gt;これは動詞compel（強制する）が形容詞になったと覚えればよい。
&lt;span class="spacer"&gt;&lt;/span&gt;［動詞compel］
家畜の群れを一箇所に追い立てて集める様子から、人がやりたくないことを力や権威によって「強いる」という意味になった。
&lt;span class="spacer"&gt;&lt;/span&gt;［形容詞compulsory］
そして強制するという動詞が形容詞となって「義務的な, 強制的な」という意味になった。&lt;/span&gt;</v>
      </c>
      <c r="AU1305" s="15"/>
      <c r="AV1305" s="1" t="s">
        <v>38</v>
      </c>
      <c r="BG1305" s="7" t="s">
        <v>1242</v>
      </c>
      <c r="BH1305" s="1" t="s">
        <v>1947</v>
      </c>
      <c r="BI1305" s="2" t="s">
        <v>6443</v>
      </c>
      <c r="BJ1305" s="1" t="s">
        <v>1959</v>
      </c>
      <c r="BK1305" s="1" t="s">
        <v>6444</v>
      </c>
      <c r="BL1305" s="1" t="s">
        <v>1875</v>
      </c>
      <c r="BM1305" s="2" t="s">
        <v>6445</v>
      </c>
    </row>
    <row r="1306" spans="1:67" ht="90" x14ac:dyDescent="0.45">
      <c r="A1306" s="5">
        <v>1305</v>
      </c>
      <c r="B1306" s="6" t="s">
        <v>1042</v>
      </c>
      <c r="C1306" s="6" t="s">
        <v>1816</v>
      </c>
      <c r="D1306" s="7" t="s">
        <v>9752</v>
      </c>
      <c r="E1306" s="1" t="s">
        <v>1042</v>
      </c>
      <c r="F1306" s="1"/>
      <c r="G1306" s="1"/>
      <c r="J1306" s="1" t="s">
        <v>9753</v>
      </c>
      <c r="L1306" s="2" t="s">
        <v>9791</v>
      </c>
      <c r="P1306" s="7" t="s">
        <v>1241</v>
      </c>
      <c r="AV1306" s="1" t="s">
        <v>38</v>
      </c>
      <c r="BG1306" s="7" t="s">
        <v>1242</v>
      </c>
      <c r="BH1306" s="1" t="s">
        <v>1872</v>
      </c>
      <c r="BI1306" s="1" t="s">
        <v>6446</v>
      </c>
      <c r="BJ1306" s="1" t="s">
        <v>1875</v>
      </c>
      <c r="BK1306" s="2" t="s">
        <v>6447</v>
      </c>
    </row>
    <row r="1307" spans="1:67" ht="144" x14ac:dyDescent="0.45">
      <c r="A1307" s="5">
        <v>1306</v>
      </c>
      <c r="B1307" s="6" t="s">
        <v>1043</v>
      </c>
      <c r="C1307" s="6" t="s">
        <v>1816</v>
      </c>
      <c r="D1307" s="7" t="s">
        <v>9752</v>
      </c>
      <c r="E1307" s="1" t="s">
        <v>1812</v>
      </c>
      <c r="F1307" s="1" t="s">
        <v>1422</v>
      </c>
      <c r="G1307" s="1"/>
      <c r="J1307" s="1" t="s">
        <v>9753</v>
      </c>
      <c r="K1307" s="2"/>
      <c r="L1307" s="2" t="s">
        <v>9792</v>
      </c>
      <c r="P1307" s="7" t="s">
        <v>1241</v>
      </c>
      <c r="Q1307" s="13"/>
      <c r="AU1307" s="15"/>
      <c r="AV1307" s="1" t="s">
        <v>38</v>
      </c>
      <c r="BG1307" s="7" t="s">
        <v>1242</v>
      </c>
      <c r="BH1307" s="1" t="s">
        <v>1947</v>
      </c>
      <c r="BI1307" s="2" t="s">
        <v>6448</v>
      </c>
      <c r="BJ1307" s="1" t="s">
        <v>1877</v>
      </c>
      <c r="BK1307" s="2" t="s">
        <v>6449</v>
      </c>
    </row>
    <row r="1308" spans="1:67" ht="90" x14ac:dyDescent="0.45">
      <c r="A1308" s="5">
        <v>1307</v>
      </c>
      <c r="B1308" s="8" t="s">
        <v>1044</v>
      </c>
      <c r="C1308" s="6" t="s">
        <v>1816</v>
      </c>
      <c r="D1308" s="7" t="s">
        <v>9752</v>
      </c>
      <c r="E1308" s="1" t="s">
        <v>1044</v>
      </c>
      <c r="F1308" s="1"/>
      <c r="G1308" s="1"/>
      <c r="J1308" s="1" t="s">
        <v>9753</v>
      </c>
      <c r="L1308" s="2" t="s">
        <v>9793</v>
      </c>
      <c r="P1308" s="7" t="s">
        <v>5037</v>
      </c>
      <c r="Q1308" s="13" t="str">
        <f>INDEX($L:$L, MATCH("violent", $B:$B, 0))</f>
        <v>&lt;span class="w"&gt;&lt;b&gt;【495.violent：激しい, 暴力的な】&lt;/b&gt;&lt;/span&gt;
&lt;span class="ml"&gt;ラテン語vis（力）から派生したviolare（力によって踏みにじる）に由来する。
&lt;span class="spacer"&gt;&lt;/span&gt;この語の核は「強い力を行使すること」。もともとは物理的な「力」そのものを表していた。そこから、他者に対して無理やり力を振るう「暴力的な」という意味になる。さらにその強い力のイメージが自然現象や感情に向かい、コントロールできないほど「激しい」という意味へと広がった。&lt;/span&gt;</v>
      </c>
      <c r="AU1308" s="15"/>
      <c r="AV1308" s="1" t="s">
        <v>38</v>
      </c>
      <c r="BG1308" s="7" t="s">
        <v>1242</v>
      </c>
      <c r="BH1308" s="1" t="s">
        <v>1947</v>
      </c>
      <c r="BI1308" s="2" t="s">
        <v>6450</v>
      </c>
      <c r="BJ1308" s="1" t="s">
        <v>1875</v>
      </c>
      <c r="BK1308" s="2" t="s">
        <v>6451</v>
      </c>
    </row>
    <row r="1309" spans="1:67" ht="126" x14ac:dyDescent="0.45">
      <c r="A1309" s="5">
        <v>1308</v>
      </c>
      <c r="B1309" s="8" t="s">
        <v>1045</v>
      </c>
      <c r="C1309" s="6" t="s">
        <v>1816</v>
      </c>
      <c r="D1309" s="7" t="s">
        <v>9752</v>
      </c>
      <c r="E1309" s="1" t="s">
        <v>5885</v>
      </c>
      <c r="F1309" s="1" t="s">
        <v>1751</v>
      </c>
      <c r="G1309" s="1"/>
      <c r="J1309" s="1" t="s">
        <v>9753</v>
      </c>
      <c r="L1309" s="3" t="s">
        <v>9794</v>
      </c>
      <c r="M1309" s="1" t="s">
        <v>12151</v>
      </c>
      <c r="P1309" s="7" t="s">
        <v>1241</v>
      </c>
      <c r="Q1309" s="13" t="str">
        <f>INDEX($L:$L, MATCH("express", $B:$B, 0))</f>
        <v>&lt;span class="w"&gt;&lt;b&gt;【111.express：～を表す, ～を述べる】&lt;/b&gt;&lt;/span&gt;
&lt;span class="ml"&gt;ラテン語に由来する語で、以下の2つの要素から成る。
&lt;span class="spacer"&gt;&lt;/span&gt;ex（外に）
premere（押す：pressの語源）
&lt;span class="spacer"&gt;&lt;/span&gt;このまま日本語にすると「外に押す」となる。自分の中にあるものを外に押し出すことから、何かを「～を表す, 述べる」という意味になる。&lt;/span&gt;</v>
      </c>
      <c r="R1309" s="13" t="str">
        <f>INDEX($L:$L, MATCH("impress", $B:$B, 0))</f>
        <v>&lt;span class="w"&gt;&lt;b&gt;【629.impress：〜を感動させる, 〜に印象を与える】&lt;/b&gt;&lt;/span&gt;
&lt;span class="ml"&gt;ラテン語に由来する語で、以下の2つの要素から成る。
&lt;span class="spacer"&gt;&lt;/span&gt;in（中に）
premere（押す, 圧する）
&lt;span class="spacer"&gt;&lt;/span&gt;このまま日本語にすると「中に押す」となる。物理的に何かに押し込むことから発展して、心や精神に刻み込む、つまり「印象付ける」という意味になった。また、心や精神に強い影響を与えることから「感動させる」という意味にもなった。
&lt;div class="sample_image impress"&gt;&lt;/div&gt;&lt;/span&gt;</v>
      </c>
      <c r="S1309" s="13" t="str">
        <f>INDEX($L:$L, MATCH("depression", $B:$B, 0))</f>
        <v>&lt;span class="w"&gt;&lt;b&gt;【559.depression：憂うつ, 不況】&lt;/b&gt;&lt;/span&gt;
&lt;span class="ml"&gt;ラテン語に由来する語で、以下の3つの要素から成る。
&lt;span class="spacer"&gt;&lt;/span&gt;de（下に）
premere（押す, 圧する）
io（名詞化）
&lt;span class="spacer"&gt;&lt;/span&gt;このまま日本語にすると「下に押す」となる。これは、通常の状態から押し下げるというイメージ。気分を押し下げれば「憂うつ」、経済活動を押し下げれば「不況」という意味になる。&lt;/span&gt;</v>
      </c>
      <c r="AU1309" s="15"/>
      <c r="AV1309" s="1" t="s">
        <v>38</v>
      </c>
      <c r="BG1309" s="7" t="s">
        <v>1242</v>
      </c>
      <c r="BH1309" s="1" t="s">
        <v>1947</v>
      </c>
      <c r="BI1309" s="2" t="s">
        <v>6452</v>
      </c>
      <c r="BJ1309" s="1" t="s">
        <v>1875</v>
      </c>
      <c r="BK1309" s="2" t="s">
        <v>6453</v>
      </c>
      <c r="BL1309" s="1" t="s">
        <v>1877</v>
      </c>
      <c r="BM1309" s="2" t="s">
        <v>6454</v>
      </c>
    </row>
    <row r="1310" spans="1:67" ht="144" x14ac:dyDescent="0.45">
      <c r="A1310" s="5">
        <v>1309</v>
      </c>
      <c r="B1310" s="8" t="s">
        <v>1046</v>
      </c>
      <c r="C1310" s="6" t="s">
        <v>1816</v>
      </c>
      <c r="D1310" s="7" t="s">
        <v>9752</v>
      </c>
      <c r="E1310" s="1" t="s">
        <v>1327</v>
      </c>
      <c r="F1310" s="1" t="s">
        <v>6455</v>
      </c>
      <c r="G1310" s="1"/>
      <c r="J1310" s="1" t="s">
        <v>9753</v>
      </c>
      <c r="L1310" s="3" t="s">
        <v>10339</v>
      </c>
      <c r="M1310" s="1" t="s">
        <v>12204</v>
      </c>
      <c r="P1310" s="7" t="s">
        <v>1241</v>
      </c>
      <c r="Q1310" s="13" t="str">
        <f>INDEX($L:$L, MATCH("perceive", $B:$B, 0))</f>
        <v>&lt;span class="w"&gt;&lt;b&gt;【421.perceive：〜に気づく, 〜を知覚する, 〜を理解する】&lt;/b&gt;&lt;/span&gt;
&lt;span class="ml"&gt;ラテン語に由来する語で、以下の2つの要素から成る。
&lt;span class="spacer"&gt;&lt;/span&gt;per（完全に）
capere（取る, つかむ）
&lt;span class="spacer"&gt;&lt;/span&gt;このまま日本語にすると「完全につかむ」となる。物理的につかむことから、心で対象をとらえることへ発展し、「知覚する, 気づく, 理解する」という意味になる。
&lt;div class="sample_image perceive"&gt;&lt;/div&gt;&lt;/span&gt;</v>
      </c>
      <c r="AU1310" s="15"/>
      <c r="AV1310" s="1" t="s">
        <v>38</v>
      </c>
      <c r="BG1310" s="7" t="s">
        <v>1242</v>
      </c>
      <c r="BH1310" s="1" t="s">
        <v>1947</v>
      </c>
      <c r="BI1310" s="2" t="s">
        <v>9795</v>
      </c>
      <c r="BJ1310" s="1" t="s">
        <v>1959</v>
      </c>
      <c r="BK1310" s="1" t="s">
        <v>6456</v>
      </c>
      <c r="BL1310" s="1" t="s">
        <v>1875</v>
      </c>
      <c r="BM1310" s="2" t="s">
        <v>6457</v>
      </c>
    </row>
    <row r="1311" spans="1:67" ht="180" x14ac:dyDescent="0.45">
      <c r="A1311" s="5">
        <v>1310</v>
      </c>
      <c r="B1311" s="8" t="s">
        <v>1047</v>
      </c>
      <c r="C1311" s="6" t="s">
        <v>1816</v>
      </c>
      <c r="D1311" s="7" t="s">
        <v>9752</v>
      </c>
      <c r="E1311" s="1" t="s">
        <v>6458</v>
      </c>
      <c r="F1311" s="1" t="s">
        <v>6459</v>
      </c>
      <c r="G1311" s="1"/>
      <c r="J1311" s="1" t="s">
        <v>9753</v>
      </c>
      <c r="L1311" s="2" t="s">
        <v>12257</v>
      </c>
      <c r="P1311" s="7" t="s">
        <v>1241</v>
      </c>
      <c r="Q1311" s="13" t="str">
        <f>INDEX($L:$L, MATCH("manage", $B:$B, 0))</f>
        <v>&lt;span class="w"&gt;&lt;b&gt;【204.manage：～をなんとか成し遂げる, ～を管理する, （to do）なんとかやっていく】&lt;/b&gt;&lt;/span&gt;
&lt;span class="ml"&gt;ラテン語manus（手）に由来する。
&lt;span class="spacer"&gt;&lt;/span&gt;何かを手で扱うことからコントロールする＝「管理する」という意味になる。
&lt;span class="spacer"&gt;&lt;/span&gt;またなんとか管理して事を運ぶことから「なんとかやっていく」、その結果「なんとか成し遂げる」という意味になる（manage to do）。&lt;/span&gt;</v>
      </c>
      <c r="R1311" s="13" t="str">
        <f>INDEX($L:$L, MATCH("manner", $B:$B, 0))</f>
        <v>&lt;span class="w"&gt;&lt;b&gt;【351.manner：作法, 方法】&lt;/b&gt;&lt;/span&gt;
&lt;span class="ml"&gt;ラテン語manus（手）に由来する。
&lt;span class="spacer"&gt;&lt;/span&gt;「手」というのは、何らかの作業や何かを扱うことと結びつきやすい。いまのような機械がなく、手作業・手仕事だったからである。
&lt;span class="spacer"&gt;&lt;/span&gt;こうした手作業においては、そのやり方や扱い方が固定化していく。ここから何かの「方法, 作法」という意味になる。&lt;/span&gt;</v>
      </c>
      <c r="S1311" s="13" t="str">
        <f>INDEX($L:$L, MATCH("manual", $B:$B, 0))</f>
        <v>&lt;span class="w"&gt;&lt;b&gt;【889.manual：手（体）を使う, 手の, 手動の】&lt;/b&gt;&lt;/span&gt;
&lt;span class="ml"&gt;ラテン語に由来する語で、以下の2つの要素から成る。
&lt;span class="spacer"&gt;&lt;/span&gt;manus（手）
alis（形容詞化）
&lt;span class="spacer"&gt;&lt;/span&gt;このまま日本語にすると「手の, 手を使う, 手動の」という意味になる。&lt;/span&gt;</v>
      </c>
      <c r="T1311" s="13" t="str">
        <f>INDEX($L:$L, MATCH("manufacture", $B:$B, 0))</f>
        <v>&lt;span class="w"&gt;&lt;b&gt;【536.manufacture：製造する, でっちあげる】&lt;/b&gt;&lt;/span&gt;
&lt;span class="ml"&gt;ラテン語に由来する語で、以下の2つの要素から成る。
&lt;span class="spacer"&gt;&lt;/span&gt;manus（手）
facere（作る, する）
&lt;span class="spacer"&gt;&lt;/span&gt;このまま日本語にすると「手で作る」となる。もともとは手作業で作ることを表したが、工業化が進む中で、手や機械をつかって「製造する」という意味になった。また人工的に作り出すことから発展して、「でっちあげる」という意味にもなった。&lt;/span&gt;</v>
      </c>
      <c r="U1311" s="13" t="str">
        <f>INDEX($L:$L, MATCH("command", $B:$B, 0))</f>
        <v>&lt;span class="w"&gt;&lt;b&gt;【808.command：〜を命じる, 〜を指揮する, （景色）を見渡せる】&lt;/b&gt;&lt;/span&gt;
&lt;span class="ml"&gt;ラテン語に由来する語で、以下の3つの要素から成る。
&lt;span class="spacer"&gt;&lt;/span&gt;com（強意）
manus（手）
dare（与える）
&lt;span class="spacer"&gt;&lt;/span&gt;このまま日本語にすると「しっかり手で与える」となる。もともとは何かを手渡すことや委ねることを表したが、そこから意味が強まって、権力をもって「命じる」という意味になった。また、命令によって他の人や物を動かすことから「指揮する」、軍事において指揮者が戦場全体を見渡すことから、一般的に「景色を見渡す」という意味にもなった。
&lt;div class="sample_image command"&gt;&lt;/div&gt;&lt;/span&gt;</v>
      </c>
      <c r="V1311" s="13" t="str">
        <f>INDEX($L:$L, MATCH("maintain", $B:$B, 0))</f>
        <v>&lt;span class="w"&gt;&lt;b&gt;【206.maintain：～を維持する, ～を主張する】&lt;/b&gt;&lt;/span&gt;
&lt;span class="ml"&gt;ラテン語に由来する語で、以下の2つの要素から成る。
&lt;span class="spacer"&gt;&lt;/span&gt;manus（手）
tenere（保つ, 握る）
&lt;span class="spacer"&gt;&lt;/span&gt;このまま日本語にすると「手で保つ」となる。手を使って何かを支えるイメージから、状態が続くように支える＝「維持する」という意味になる。手ではなく発言で誰かを支えるとなれば「主張する」という意味になる。&lt;/span&gt;</v>
      </c>
      <c r="AU1311" s="15"/>
      <c r="AV1311" s="1" t="s">
        <v>38</v>
      </c>
      <c r="BG1311" s="7" t="s">
        <v>1242</v>
      </c>
      <c r="BH1311" s="1" t="s">
        <v>1947</v>
      </c>
      <c r="BI1311" s="2" t="s">
        <v>9796</v>
      </c>
      <c r="BJ1311" s="1" t="s">
        <v>1996</v>
      </c>
      <c r="BK1311" s="1" t="s">
        <v>6460</v>
      </c>
      <c r="BL1311" s="1" t="s">
        <v>1877</v>
      </c>
      <c r="BM1311" s="2" t="s">
        <v>9797</v>
      </c>
    </row>
    <row r="1312" spans="1:67" ht="126" x14ac:dyDescent="0.45">
      <c r="A1312" s="5">
        <v>1311</v>
      </c>
      <c r="B1312" s="6" t="s">
        <v>1048</v>
      </c>
      <c r="C1312" s="6" t="s">
        <v>1816</v>
      </c>
      <c r="D1312" s="7" t="s">
        <v>9752</v>
      </c>
      <c r="E1312" s="1" t="s">
        <v>1048</v>
      </c>
      <c r="F1312" s="1"/>
      <c r="G1312" s="1"/>
      <c r="J1312" s="1" t="s">
        <v>9753</v>
      </c>
      <c r="L1312" s="2" t="s">
        <v>9798</v>
      </c>
      <c r="P1312" s="7" t="s">
        <v>1241</v>
      </c>
      <c r="AV1312" s="1" t="s">
        <v>38</v>
      </c>
      <c r="BG1312" s="7" t="s">
        <v>1242</v>
      </c>
      <c r="BH1312" s="1" t="s">
        <v>1872</v>
      </c>
      <c r="BI1312" s="1" t="s">
        <v>6461</v>
      </c>
      <c r="BJ1312" s="1" t="s">
        <v>1875</v>
      </c>
      <c r="BK1312" s="2" t="s">
        <v>6462</v>
      </c>
      <c r="BL1312" s="1" t="s">
        <v>1877</v>
      </c>
      <c r="BM1312" s="2" t="s">
        <v>6463</v>
      </c>
    </row>
    <row r="1313" spans="1:69" ht="90" x14ac:dyDescent="0.45">
      <c r="A1313" s="5">
        <v>1312</v>
      </c>
      <c r="B1313" s="6" t="s">
        <v>1049</v>
      </c>
      <c r="C1313" s="6" t="s">
        <v>1816</v>
      </c>
      <c r="D1313" s="7" t="s">
        <v>9752</v>
      </c>
      <c r="E1313" s="1" t="s">
        <v>1049</v>
      </c>
      <c r="F1313" s="1"/>
      <c r="G1313" s="1"/>
      <c r="J1313" s="1" t="s">
        <v>9753</v>
      </c>
      <c r="K1313" s="1" t="s">
        <v>6464</v>
      </c>
      <c r="L1313" s="2" t="s">
        <v>9799</v>
      </c>
      <c r="M1313" s="1" t="s">
        <v>12132</v>
      </c>
      <c r="P1313" s="7" t="s">
        <v>1241</v>
      </c>
      <c r="Q1313" s="13" t="str">
        <f>INDEX($L:$L, MATCH("flow", $B:$B, 0))</f>
        <v>&lt;span class="w"&gt;&lt;b&gt;【334.flow：流れる, 生じる】&lt;/b&gt;&lt;/span&gt;
&lt;span class="ml"&gt;印欧祖語*pleu-（流れる, 流動する）に由来する。
&lt;span class="spacer"&gt;&lt;/span&gt;印欧祖語から意味の変化はほとんどない。&lt;/span&gt;</v>
      </c>
      <c r="R1313" s="13" t="str">
        <f>INDEX($L:$L, MATCH("float", $B:$B, 0))</f>
        <v>&lt;span class="w"&gt;&lt;b&gt;【908.float：漂う, 浮かぶ, 〜を浮かべる】&lt;/b&gt;&lt;/span&gt;
&lt;span class="ml"&gt;古英語flotian（水面に浮かぶ）にさかのぼる。
&lt;span class="spacer"&gt;&lt;/span&gt;fl-で始まる単語は、flow / fly / flee / floodなど、風や水にふわりと乗って動いていくイメージ。ここから「漂う, 浮かぶ, 浮かべる」という意味になる。&lt;/span&gt;</v>
      </c>
      <c r="S1313" s="13" t="str">
        <f>INDEX($L:$L, MATCH("fluent", $B:$B, 0))</f>
        <v>&lt;span class="w"&gt;&lt;b&gt;【988.fluent：流ちょうな】&lt;/b&gt;&lt;/span&gt;
&lt;span class="ml"&gt;ラテン語fluere（流れる, 流れ出る）に由来する。
&lt;span class="spacer"&gt;&lt;/span&gt;もともとは物理的な流れるという意味だったが、そこから水が流れるように言葉が出てくることから「流ちょうな」という意味になった。
&lt;span class="spacer"&gt;&lt;/span&gt;このfl部分の「流れる」というイメージは、fluid（液体）やinfluence（影響）、インフルエンザのfluにも見られる。&lt;/span&gt;</v>
      </c>
      <c r="T1313" s="13" t="str">
        <f>INDEX($L:$L, MATCH("influence", $B:$B, 0))</f>
        <v>&lt;span class="w"&gt;&lt;b&gt;【49.influence：影響力】&lt;/b&gt;&lt;/span&gt;
&lt;span class="ml"&gt;ラテン語に由来する語で、以下の2つの要素から成る。
&lt;span class="spacer"&gt;&lt;/span&gt;in（中に）
fluere（流れる）
&lt;span class="spacer"&gt;&lt;/span&gt;このまま日本語にすると「中に流れる」となる。昔は占星術の用語として使われ、星から出る人格や運命に作用する力を意味した。ここから占星術に限定されず、一般的な目に見えない力＝「影響力」という意味になる。&lt;/span&gt;</v>
      </c>
      <c r="U1313" s="13" t="str">
        <f>INDEX($L:$L, MATCH("fluid", $B:$B, 0))</f>
        <v>&lt;span class="w"&gt;&lt;b&gt;【1254.fluid：流動体, 液体, 気体】&lt;/b&gt;&lt;/span&gt;
&lt;span class="ml"&gt;ラテン語に由来する語で、以下の2つの要素から成る。
&lt;span class="spacer"&gt;&lt;/span&gt;fluere（流れる）
idus（形容詞化）
&lt;span class="spacer"&gt;&lt;/span&gt;この語の核は「形が定まらず流れるような感じ」。もともとは、流れるような様子を表す形容詞だったが、それが名詞として使われるようになり、流れるもの、すなわち「流動体, 液体, 気体」という意味になった。fluidは現在でも形容詞としても使われる。&lt;/span&gt;</v>
      </c>
      <c r="AV1313" s="1" t="s">
        <v>38</v>
      </c>
      <c r="BG1313" s="7" t="s">
        <v>1242</v>
      </c>
      <c r="BH1313" s="1" t="s">
        <v>1976</v>
      </c>
      <c r="BI1313" s="1" t="s">
        <v>6465</v>
      </c>
      <c r="BJ1313" s="1" t="s">
        <v>1872</v>
      </c>
      <c r="BK1313" s="1" t="s">
        <v>6466</v>
      </c>
    </row>
    <row r="1314" spans="1:69" ht="108" x14ac:dyDescent="0.45">
      <c r="A1314" s="5">
        <v>1313</v>
      </c>
      <c r="B1314" s="6" t="s">
        <v>1050</v>
      </c>
      <c r="C1314" s="6" t="s">
        <v>1816</v>
      </c>
      <c r="D1314" s="7" t="s">
        <v>9752</v>
      </c>
      <c r="E1314" s="1" t="s">
        <v>1050</v>
      </c>
      <c r="F1314" s="1"/>
      <c r="G1314" s="1"/>
      <c r="J1314" s="1" t="s">
        <v>9753</v>
      </c>
      <c r="K1314" s="1" t="s">
        <v>6467</v>
      </c>
      <c r="L1314" s="2" t="s">
        <v>9800</v>
      </c>
      <c r="P1314" s="7" t="s">
        <v>1241</v>
      </c>
      <c r="AV1314" s="1" t="s">
        <v>38</v>
      </c>
      <c r="BG1314" s="7" t="s">
        <v>1242</v>
      </c>
      <c r="BH1314" s="1" t="s">
        <v>1872</v>
      </c>
      <c r="BI1314" s="1" t="s">
        <v>6468</v>
      </c>
      <c r="BJ1314" s="1" t="s">
        <v>1877</v>
      </c>
      <c r="BK1314" s="2" t="s">
        <v>6469</v>
      </c>
    </row>
    <row r="1315" spans="1:69" ht="90" x14ac:dyDescent="0.45">
      <c r="A1315" s="5">
        <v>1314</v>
      </c>
      <c r="B1315" s="6" t="s">
        <v>1051</v>
      </c>
      <c r="C1315" s="6" t="s">
        <v>1816</v>
      </c>
      <c r="D1315" s="7" t="s">
        <v>9752</v>
      </c>
      <c r="E1315" s="1" t="s">
        <v>1051</v>
      </c>
      <c r="F1315" s="1"/>
      <c r="G1315" s="1"/>
      <c r="J1315" s="1" t="s">
        <v>9753</v>
      </c>
      <c r="L1315" s="2" t="s">
        <v>9801</v>
      </c>
      <c r="P1315" s="7" t="s">
        <v>1241</v>
      </c>
      <c r="AV1315" s="1" t="s">
        <v>38</v>
      </c>
      <c r="BG1315" s="7" t="s">
        <v>1242</v>
      </c>
      <c r="BH1315" s="1" t="s">
        <v>1872</v>
      </c>
      <c r="BI1315" s="1" t="s">
        <v>6470</v>
      </c>
      <c r="BJ1315" s="1" t="s">
        <v>1875</v>
      </c>
      <c r="BK1315" s="1" t="s">
        <v>6471</v>
      </c>
    </row>
    <row r="1316" spans="1:69" ht="180" x14ac:dyDescent="0.45">
      <c r="A1316" s="5">
        <v>1315</v>
      </c>
      <c r="B1316" s="8" t="s">
        <v>1052</v>
      </c>
      <c r="C1316" s="6" t="s">
        <v>1816</v>
      </c>
      <c r="D1316" s="7" t="s">
        <v>9752</v>
      </c>
      <c r="E1316" s="1" t="s">
        <v>1327</v>
      </c>
      <c r="F1316" s="1" t="s">
        <v>6472</v>
      </c>
      <c r="G1316" s="1"/>
      <c r="J1316" s="1" t="s">
        <v>9753</v>
      </c>
      <c r="L1316" s="3" t="s">
        <v>9802</v>
      </c>
      <c r="M1316" s="1" t="s">
        <v>12172</v>
      </c>
      <c r="P1316" s="7" t="s">
        <v>1241</v>
      </c>
      <c r="Q1316" s="13" t="str">
        <f>INDEX($L:$L, MATCH("pose", $B:$B, 0))</f>
        <v>&lt;span class="w"&gt;&lt;b&gt;【804.pose：（危険）を引き起こす, （問題など）を提起する, ポーズをとる, 装う】&lt;/b&gt;&lt;/span&gt;
&lt;span class="ml"&gt;ラテン語に由来する語で、以下の2つの要素から成る。
&lt;span class="spacer"&gt;&lt;/span&gt;pausere（止まる, 休む, 休ませる）
ponere（置く）
&lt;span class="spacer"&gt;&lt;/span&gt;この語の核は「何かを置く」。問題や危険を置くことから「問題を提起する, 危険を引き起こす」という意味になる。またある態度や性格に身を置くことから、態度や性格を「装う」、またモデルなどが「ポーズをとる」という意味になる。
&lt;span class="spacer"&gt;&lt;/span&gt;poseの目的語にくるものを「置く」ことから文に合った訳を考えればよい。
&lt;div class="sample_image pose"&gt;&lt;/div&gt;&lt;/span&gt;</v>
      </c>
      <c r="R1316" s="13" t="str">
        <f>INDEX($L:$L, MATCH("expose", $B:$B, 0))</f>
        <v>&lt;span class="w"&gt;&lt;b&gt;【433.expose：～をさらす, 〜を暴露する】&lt;/b&gt;&lt;/span&gt;
&lt;span class="ml"&gt;ラテン語に由来する語で、以下の2つの要素から成る。
&lt;span class="spacer"&gt;&lt;/span&gt;ex（外に）
ponere（置く）
&lt;span class="spacer"&gt;&lt;/span&gt;このまま日本語にすると「外に置く」となる。これは、内側にあるものを外側に置くイメージ。そこから何かを「さらす, 暴露する」という意味になる。
&lt;div class="sample_image expose"&gt;&lt;/div&gt;&lt;/span&gt;</v>
      </c>
      <c r="S1316" s="13" t="str">
        <f>INDEX($L:$L, MATCH("impose", $B:$B, 0))</f>
        <v>&lt;span class="w"&gt;&lt;b&gt;【826.impose：〜を課す, 〜を押し付ける】&lt;/b&gt;&lt;/span&gt;
&lt;span class="ml"&gt;古フランス語に由来する語で、以下の2つの要素から成る。
&lt;span class="spacer"&gt;&lt;/span&gt;in（中に）
poser（置く）
&lt;span class="spacer"&gt;&lt;/span&gt;このまま日本語にすると「中に置く」となる。相手の領域の中に押し込んで置くイメージから、対象に何かを「押し付ける, 課す」という意味になる。
&lt;div class="sample_image impose"&gt;&lt;/div&gt;&lt;/span&gt;</v>
      </c>
      <c r="T1316" s="13" t="str">
        <f>INDEX($L:$L, MATCH("propose", $B:$B, 0))</f>
        <v>&lt;span class="w"&gt;&lt;b&gt;【436.propose：〜を提案する】&lt;/b&gt;&lt;/span&gt;
&lt;span class="ml"&gt;ラテン語に由来する語で、以下の2つの要素から成る。
&lt;span class="spacer"&gt;&lt;/span&gt;pro（前へ）
ponere（置く）
&lt;span class="spacer"&gt;&lt;/span&gt;このまま日本語にすると「前に置く」となる。意見や考えを相手の前に置くイメージから「提案する」という意味になる。&lt;/span&gt;</v>
      </c>
      <c r="U1316" s="13" t="str">
        <f>INDEX($L:$L, MATCH("oppose", $B:$B, 0))</f>
        <v>&lt;span class="w"&gt;&lt;b&gt;【513.oppose：〜に反対する, 〜を対抗させる】&lt;/b&gt;&lt;/span&gt;
&lt;span class="ml"&gt;ラテン語に由来する語で、以下の2つの要素から成る。
&lt;span class="spacer"&gt;&lt;/span&gt;ob（〜に対して）
ponere（置く）
&lt;span class="spacer"&gt;&lt;/span&gt;このまま日本語にすると「～に対して置く」となる。相手に対して自分を置く、つまり相手と自分が向かい合うように置くイメージから「反対する, 対抗させる」という意味になる。
&lt;div class="sample_image oppose"&gt;&lt;/div&gt;&lt;/span&gt;</v>
      </c>
      <c r="V1316" s="13" t="str">
        <f>INDEX($L:$L, MATCH("dispose", $B:$B, 0))</f>
        <v>&lt;span class="w"&gt;&lt;b&gt;【1435.dispose：（of ~）〜を処分する, （dispose ~ to do）〜する気にさせる】&lt;/b&gt;&lt;/span&gt;
&lt;span class="ml"&gt;ラテン語に由来する語で、以下の2つの要素から成る。
&lt;span class="spacer"&gt;&lt;/span&gt;dis（離れて）
ponere（置く）
&lt;span class="spacer"&gt;&lt;/span&gt;このまま日本語にすると「離して置く」となるが、この語の核は「ごちゃごちゃしたものをそれぞれ離して整理し、あるべき位置へ置く」イメージ。
&lt;span class="spacer"&gt;&lt;/span&gt;不要なもの・問題などを整理して、それがあるべき場所へ置くことから「処分する」という意味になる。
&lt;span class="spacer"&gt;&lt;/span&gt;また相手の気持ちを整理して進むべき方向へ置くことから「何かをする気にさせる」となる。
&lt;span class="spacer"&gt;&lt;/span&gt;dispose 人 to do
人 be disposed to do
&lt;div class="sample_image dispose"&gt;&lt;/div&gt;&lt;/span&gt;</v>
      </c>
      <c r="W1316" s="13" t="str">
        <f>INDEX($L:$L, MATCH("compose", $B:$B, 0))</f>
        <v>&lt;span class="w"&gt;&lt;b&gt;【833.compose：～を構成する, ～を創作する】&lt;/b&gt;&lt;/span&gt;
&lt;span class="ml"&gt;ラテン語に由来する語で、以下の2つの要素から成る。
&lt;span class="spacer"&gt;&lt;/span&gt;com（共に）
ponere（置く）
&lt;span class="spacer"&gt;&lt;/span&gt;このまま日本語にすると「共に置く」となる。2つ以上のものを一緒に置いて全体を形作ることから、構成要素となって全体を作り上げる＝「構成する, 創作する」という意味になる。
&lt;div class="sample_image compose"&gt;&lt;/div&gt;&lt;/span&gt;</v>
      </c>
      <c r="X1316" s="13" t="str">
        <f>INDEX($L:$L, MATCH("suppose", $B:$B, 0))</f>
        <v>&lt;span class="w"&gt;&lt;b&gt;【121.suppose：～と仮定する, と思う】&lt;/b&gt;&lt;/span&gt;
&lt;span class="ml"&gt;ラテン語に由来する語で、以下の2つの要素から成る。
&lt;span class="spacer"&gt;&lt;/span&gt;sub（下に）
ponere（置く）
&lt;span class="spacer"&gt;&lt;/span&gt;このまま日本語にすると「下に置く」となる。思考において、何かを既にあるものとして土台に置くイメージから、何かを前提として置く＝「仮定する」という意味になる。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&lt;div class="sample_image suppose"&gt;&lt;/div&gt;
&lt;span class="spacer"&gt;&lt;/span&gt;supposeを「前提に置く」というイメージで覚えておけば、be supposed to do A（Aすることになっている）は、要は「Aするということが前提として置かれている」だけだと理解できる。&lt;/span&gt;</v>
      </c>
      <c r="Y1316" s="13" t="str">
        <f>INDEX($L:$L, MATCH("positive", $B:$B, 0))</f>
        <v>&lt;span class="w"&gt;&lt;b&gt;【179.positive：肯定的な, 確信して, （検査で）陽性の】&lt;/b&gt;&lt;/span&gt;
&lt;span class="ml"&gt;ラテン語に由来する語で、以下の2つの要素から成る。
&lt;span class="spacer"&gt;&lt;/span&gt;ponere（置く）の過去分詞positus（置かれる）
ivus（形容詞化）
&lt;span class="spacer"&gt;&lt;/span&gt;もともとは法律用語。法や権威あるものによって置かれる、つまり法や権威によって定められて否定のしようがないという意味で使われた。ここから「肯定的な, 確信して, 陽性の」という意味になる。&lt;/span&gt;</v>
      </c>
      <c r="Z1316" s="13" t="str">
        <f>INDEX($L:$L, MATCH("compound", $B:$B, 0))</f>
        <v>&lt;span class="w"&gt;&lt;b&gt;【1129.compound：〜を悪化させる, 〜を合成する, 〜を混合する】&lt;/b&gt;&lt;/span&gt;
&lt;span class="ml"&gt;ラテン語に由来する語で、以下の2つの要素から成る。
&lt;span class="spacer"&gt;&lt;/span&gt;com（共に）
ponere（置く）
&lt;span class="spacer"&gt;&lt;/span&gt;このまま日本語にすると「共に置く」となる。複数のものを一緒にすることから、何かを「合成する, 混合する, 調合する」といった意味になる。さらに、問題や困難などがどんどん一緒に置かれて積もっていくことから、状況や問題などを「悪化させる」という意味にもなる。
&lt;div class="sample_image compound"&gt;&lt;/div&gt;&lt;/span&gt;</v>
      </c>
      <c r="AA1316" s="13" t="str">
        <f>INDEX($L:$L, MATCH("postpone", $B:$B, 0))</f>
        <v>&lt;span class="w"&gt;&lt;b&gt;【1134.postpone：〜を延期する】&lt;/b&gt;&lt;/span&gt;
&lt;span class="ml"&gt;ラテン語に由来する語で、以下の2つの要素から成る。
&lt;span class="spacer"&gt;&lt;/span&gt;post（後に）
ponere（置く）
&lt;span class="spacer"&gt;&lt;/span&gt;このまま日本語にすると「後に置く」となる。予定や物事を時間的に後に置くことから「延期する」という意味になる。&lt;/span&gt;
&lt;div class="animation postpone"&gt;&lt;/div&gt;</v>
      </c>
      <c r="AB1316" s="13" t="str">
        <f>INDEX($L:$L, MATCH("component", $B:$B, 0))</f>
        <v>&lt;span class="w"&gt;&lt;b&gt;【677.component：構成要素, 部品】&lt;/b&gt;&lt;/span&gt;
&lt;span class="ml"&gt;ラテン語に由来する語で、以下の2つの要素から成る。
&lt;span class="spacer"&gt;&lt;/span&gt;com（共に）
ponere（置く）
&lt;span class="spacer"&gt;&lt;/span&gt;このまま日本語にすると「共に置く」となる。いくつかの部分を一緒に置くことで全体が構成されることから、全体の「構成要素, 部品」という意味になる。
&lt;div class="sample_image component"&gt;&lt;/div&gt;&lt;/span&gt;</v>
      </c>
      <c r="AC1316" s="13" t="str">
        <f>INDEX($L:$L, MATCH("opponent", $B:$B, 0))</f>
        <v>&lt;span class="w"&gt;&lt;b&gt;【762.opponent：（試合や論争などの）相手, 反対者】&lt;/b&gt;&lt;/span&gt;
&lt;span class="ml"&gt;ラテン語に由来する語で、以下の3つの要素から成る。
&lt;span class="spacer"&gt;&lt;/span&gt;ob（前に, 対して）
ponere（置く）
ens（現在分詞を作る：〜しているもの）
&lt;span class="spacer"&gt;&lt;/span&gt;この語の核は「何かに対立する位置に置いてあるもの」。ここから「対戦相手, 反対者」という意味になる。
&lt;div class="sample_image opponent"&gt;&lt;/div&gt;&lt;/span&gt;</v>
      </c>
      <c r="AD1316" s="13" t="str">
        <f>INDEX($L:$L, MATCH("posture", $B:$B, 0))</f>
        <v>&lt;span class="w"&gt;&lt;b&gt;【1451.posture：姿勢, 心構え】&lt;/b&gt;&lt;/span&gt;
&lt;span class="ml"&gt;ラテン語に由来する語で、以下の2つの要素から成る。
&lt;span class="spacer"&gt;&lt;/span&gt;ponere（置く）の過去分詞positus
ura（名詞化）
&lt;span class="spacer"&gt;&lt;/span&gt;このまま日本語にすると「置かれた状態」となる。これは何かの位置や配置を表したが、特に身体の各パーツの位置を指すようになり、そこから身体のポジション＝「姿勢」という意味になった。
&lt;span class="spacer"&gt;&lt;/span&gt;さらにそこから比喩的に、状況に対する心理的な姿勢＝「心構え」という意味にもなった。&lt;/span&gt;</v>
      </c>
      <c r="AE1316" s="13" t="str">
        <f>INDEX($L:$L, MATCH("puzzle", $B:$B, 0))</f>
        <v>&lt;span class="w"&gt;&lt;b&gt;【624.puzzle：〜を当惑させる, 〜を困惑させる】&lt;/b&gt;&lt;/span&gt;
&lt;span class="ml"&gt;近代英語pose（難しい問題や質問で当惑させる）にさかのぼる。
&lt;span class="spacer"&gt;&lt;/span&gt;この語はパズルのように「頭に引っかかって前に進めない状態にする」というイメージ。ここから「当惑させる, 困惑させる」という意味になる。
&lt;span class="spacer"&gt;&lt;/span&gt;もともとはposeという形だったが、反復・継続を表すpuzzleという形になった。これにより困惑や当惑が反復・継続している状態、つまり頭の中がぐるぐる回るような状態を表した。&lt;/span&gt;</v>
      </c>
      <c r="AU1316" s="15"/>
      <c r="AV1316" s="1" t="s">
        <v>38</v>
      </c>
      <c r="BG1316" s="7" t="s">
        <v>1242</v>
      </c>
      <c r="BH1316" s="1" t="s">
        <v>1947</v>
      </c>
      <c r="BI1316" s="2" t="s">
        <v>6473</v>
      </c>
      <c r="BJ1316" s="1" t="s">
        <v>1877</v>
      </c>
      <c r="BK1316" s="2" t="s">
        <v>6474</v>
      </c>
    </row>
    <row r="1317" spans="1:69" ht="162" x14ac:dyDescent="0.45">
      <c r="A1317" s="5">
        <v>1316</v>
      </c>
      <c r="B1317" s="8" t="s">
        <v>1053</v>
      </c>
      <c r="C1317" s="6" t="s">
        <v>1816</v>
      </c>
      <c r="D1317" s="7" t="s">
        <v>9752</v>
      </c>
      <c r="E1317" s="1" t="s">
        <v>46</v>
      </c>
      <c r="F1317" s="1" t="s">
        <v>1410</v>
      </c>
      <c r="G1317" s="1"/>
      <c r="J1317" s="1" t="s">
        <v>9753</v>
      </c>
      <c r="L1317" s="3" t="s">
        <v>9803</v>
      </c>
      <c r="M1317" s="1" t="s">
        <v>12173</v>
      </c>
      <c r="P1317" s="7" t="s">
        <v>1241</v>
      </c>
      <c r="Q1317" s="13" t="str">
        <f>INDEX($L:$L, MATCH("define", $B:$B, 0))</f>
        <v>&lt;span class="w"&gt;&lt;b&gt;【226.define：〜を定義する, 〜を明確にする】&lt;/b&gt;&lt;/span&gt;
&lt;span class="ml"&gt;ラテン語に由来する語で、以下の2つの要素から成る。
&lt;span class="spacer"&gt;&lt;/span&gt;de（完全に）
finis（境界）から派生した動詞finire（境界を定める）
&lt;span class="spacer"&gt;&lt;/span&gt;このまま日本語にすると「完全に境界を定める」となる。曖昧さをなくし完全に線引きするイメージから、対象を「明確にする」にするという意味になる。これが言葉の意味を対象とすれば、言葉の意味を明確にする＝「定義する」という意味になる。
&lt;div class="sample_image define"&gt;&lt;/div&gt;&lt;/span&gt;</v>
      </c>
      <c r="R1317" s="13" t="str">
        <f>INDEX($L:$L, MATCH("refine", $B:$B, 0))</f>
        <v>&lt;span class="w"&gt;&lt;b&gt;【1438.refine：〜を洗練する, 〜を精製する】&lt;/b&gt;&lt;/span&gt;
&lt;span class="ml"&gt;近代英語にさかのぼり、以下の2つの要素から成る。
&lt;span class="spacer"&gt;&lt;/span&gt;re（再び）
fine（洗練させる, 精製する）
&lt;span class="spacer"&gt;&lt;/span&gt;このfineは、ラテン語finis（終わり）に由来する（finishと同じ）。この語の核は「何度も終わりを繰り返して完璧な状態へと仕上げる」。そこから金属などを限りなく純粋で完成されたものにする＝「精製する」という意味になる。
&lt;span class="spacer"&gt;&lt;/span&gt;またマナー・技術・計画・アイデアなどを完成されたものにする＝「洗練させる」という意味になる。
&lt;div class="sample_image refine"&gt;&lt;/div&gt;&lt;/span&gt;</v>
      </c>
      <c r="S1317" s="13" t="str">
        <f>INDEX($L:$L, MATCH("infinite", $B:$B, 0))</f>
        <v>&lt;span class="w"&gt;&lt;b&gt;【1381.infinite：無限の, 無数の】&lt;/b&gt;&lt;/span&gt;
&lt;span class="ml"&gt;ラテン語に由来する語で、以下の2つの要素から成る。
&lt;span class="spacer"&gt;&lt;/span&gt;in（否定）
finis（終わり, 境界）
&lt;span class="spacer"&gt;&lt;/span&gt;この語の核は「終わりを示す境界線がない」。そこから「無限の, 無数の」という意味になる。
&lt;span class="spacer"&gt;&lt;/span&gt;infiniteのfin部分は、finishのfinと同じ。終わりを否定（in）していると覚えればよい。&lt;/span&gt;</v>
      </c>
      <c r="T1317" s="13" t="str">
        <f>INDEX($L:$L, MATCH("financial", $B:$B, 0))</f>
        <v>&lt;span class="w"&gt;&lt;b&gt;【188.financial：財政の】&lt;/b&gt;&lt;/span&gt;
&lt;span class="ml"&gt;ラテン語fin（終わり）に由来する。
&lt;span class="spacer"&gt;&lt;/span&gt;financeやfinancialは、finis（終わり）が特に「支払いで決着をつける」という金銭的な意味と結びついて発展した語。そこから支払いなどの金銭管理を表すようになり「財政の」という意味になった。&lt;/span&gt;</v>
      </c>
      <c r="AU1317" s="15"/>
      <c r="AV1317" s="1" t="s">
        <v>38</v>
      </c>
      <c r="BG1317" s="7" t="s">
        <v>1242</v>
      </c>
      <c r="BH1317" s="1" t="s">
        <v>1947</v>
      </c>
      <c r="BI1317" s="2" t="s">
        <v>6475</v>
      </c>
      <c r="BJ1317" s="1" t="s">
        <v>1967</v>
      </c>
      <c r="BK1317" s="1" t="s">
        <v>6476</v>
      </c>
      <c r="BL1317" s="1" t="s">
        <v>1959</v>
      </c>
      <c r="BM1317" s="1" t="s">
        <v>6477</v>
      </c>
      <c r="BN1317" s="1" t="s">
        <v>1877</v>
      </c>
      <c r="BO1317" s="2" t="s">
        <v>6478</v>
      </c>
    </row>
    <row r="1318" spans="1:69" ht="108" x14ac:dyDescent="0.45">
      <c r="A1318" s="5">
        <v>1317</v>
      </c>
      <c r="B1318" s="6" t="s">
        <v>1054</v>
      </c>
      <c r="C1318" s="6" t="s">
        <v>1816</v>
      </c>
      <c r="D1318" s="7" t="s">
        <v>9752</v>
      </c>
      <c r="E1318" s="1" t="s">
        <v>1054</v>
      </c>
      <c r="F1318" s="1"/>
      <c r="G1318" s="1"/>
      <c r="J1318" s="1" t="s">
        <v>9753</v>
      </c>
      <c r="L1318" s="2" t="s">
        <v>9804</v>
      </c>
      <c r="P1318" s="7" t="s">
        <v>1241</v>
      </c>
      <c r="AV1318" s="1" t="s">
        <v>38</v>
      </c>
      <c r="BG1318" s="7" t="s">
        <v>1242</v>
      </c>
      <c r="BH1318" s="1" t="s">
        <v>1872</v>
      </c>
      <c r="BI1318" s="1" t="s">
        <v>6479</v>
      </c>
      <c r="BJ1318" s="1" t="s">
        <v>1875</v>
      </c>
      <c r="BK1318" s="1" t="s">
        <v>6480</v>
      </c>
      <c r="BL1318" s="1" t="s">
        <v>1877</v>
      </c>
      <c r="BM1318" s="2" t="s">
        <v>6481</v>
      </c>
    </row>
    <row r="1319" spans="1:69" ht="108" x14ac:dyDescent="0.45">
      <c r="A1319" s="5">
        <v>1318</v>
      </c>
      <c r="B1319" s="6" t="s">
        <v>1055</v>
      </c>
      <c r="C1319" s="6" t="s">
        <v>1816</v>
      </c>
      <c r="D1319" s="7" t="s">
        <v>9752</v>
      </c>
      <c r="E1319" s="1" t="s">
        <v>31</v>
      </c>
      <c r="F1319" s="1" t="s">
        <v>6482</v>
      </c>
      <c r="G1319" s="1"/>
      <c r="J1319" s="1" t="s">
        <v>9753</v>
      </c>
      <c r="L1319" s="2" t="s">
        <v>9805</v>
      </c>
      <c r="P1319" s="7" t="s">
        <v>1241</v>
      </c>
      <c r="AU1319" s="15"/>
      <c r="AV1319" s="1" t="s">
        <v>38</v>
      </c>
      <c r="BG1319" s="7" t="s">
        <v>1242</v>
      </c>
      <c r="BH1319" s="1" t="s">
        <v>1947</v>
      </c>
      <c r="BI1319" s="2" t="s">
        <v>6483</v>
      </c>
      <c r="BJ1319" s="1" t="s">
        <v>2036</v>
      </c>
      <c r="BK1319" s="1" t="s">
        <v>6484</v>
      </c>
      <c r="BL1319" s="1" t="s">
        <v>1959</v>
      </c>
      <c r="BM1319" s="2" t="s">
        <v>6485</v>
      </c>
      <c r="BN1319" s="1" t="s">
        <v>1875</v>
      </c>
      <c r="BO1319" s="2" t="s">
        <v>6486</v>
      </c>
    </row>
    <row r="1320" spans="1:69" ht="144" x14ac:dyDescent="0.45">
      <c r="A1320" s="5">
        <v>1319</v>
      </c>
      <c r="B1320" s="6" t="s">
        <v>1056</v>
      </c>
      <c r="C1320" s="6" t="s">
        <v>1816</v>
      </c>
      <c r="D1320" s="7" t="s">
        <v>9752</v>
      </c>
      <c r="E1320" s="1" t="s">
        <v>1327</v>
      </c>
      <c r="F1320" s="1" t="s">
        <v>6487</v>
      </c>
      <c r="G1320" s="1"/>
      <c r="J1320" s="1" t="s">
        <v>9753</v>
      </c>
      <c r="L1320" s="2" t="s">
        <v>9806</v>
      </c>
      <c r="P1320" s="7" t="s">
        <v>1241</v>
      </c>
      <c r="AU1320" s="15"/>
      <c r="AV1320" s="1" t="s">
        <v>38</v>
      </c>
      <c r="BG1320" s="7" t="s">
        <v>1242</v>
      </c>
      <c r="BH1320" s="1" t="s">
        <v>1947</v>
      </c>
      <c r="BI1320" s="2" t="s">
        <v>6488</v>
      </c>
      <c r="BJ1320" s="1" t="s">
        <v>1875</v>
      </c>
      <c r="BK1320" s="2" t="s">
        <v>6489</v>
      </c>
    </row>
    <row r="1321" spans="1:69" ht="162" x14ac:dyDescent="0.45">
      <c r="A1321" s="5">
        <v>1320</v>
      </c>
      <c r="B1321" s="6" t="s">
        <v>1057</v>
      </c>
      <c r="C1321" s="6" t="s">
        <v>1816</v>
      </c>
      <c r="D1321" s="7" t="s">
        <v>9752</v>
      </c>
      <c r="E1321" s="1" t="s">
        <v>1660</v>
      </c>
      <c r="F1321" s="1" t="s">
        <v>1856</v>
      </c>
      <c r="G1321" s="1"/>
      <c r="J1321" s="1" t="s">
        <v>9753</v>
      </c>
      <c r="L1321" s="2" t="s">
        <v>9807</v>
      </c>
      <c r="P1321" s="7" t="s">
        <v>1241</v>
      </c>
      <c r="Q1321" s="13" t="str">
        <f>INDEX($L:$L, MATCH("deadline", $B:$B, 0))</f>
        <v>&lt;span class="w"&gt;&lt;b&gt;【1166.deadline：締め切り】&lt;/b&gt;&lt;/span&gt;
&lt;span class="ml"&gt;近代英語にさかのぼり、以下の2つの要素から成る。
&lt;span class="spacer"&gt;&lt;/span&gt;dead（死）
line（線）
&lt;span class="spacer"&gt;&lt;/span&gt;このまま日本語にすると「死線」となる。もともとは、刑務所内の越えてはならない線を表した。そこから超えてはならないタイムリミット＝「締め切り」という意味になった。&lt;/span&gt;</v>
      </c>
      <c r="AU1321" s="15"/>
      <c r="AV1321" s="1" t="s">
        <v>38</v>
      </c>
      <c r="BG1321" s="7" t="s">
        <v>1242</v>
      </c>
      <c r="BH1321" s="1" t="s">
        <v>1877</v>
      </c>
      <c r="BI1321" s="2" t="s">
        <v>6490</v>
      </c>
    </row>
    <row r="1322" spans="1:69" ht="198" x14ac:dyDescent="0.45">
      <c r="A1322" s="5">
        <v>1321</v>
      </c>
      <c r="B1322" s="6" t="s">
        <v>1058</v>
      </c>
      <c r="C1322" s="6" t="s">
        <v>1816</v>
      </c>
      <c r="D1322" s="7" t="s">
        <v>9752</v>
      </c>
      <c r="E1322" s="1" t="s">
        <v>1058</v>
      </c>
      <c r="F1322" s="1"/>
      <c r="G1322" s="1"/>
      <c r="J1322" s="1" t="s">
        <v>9753</v>
      </c>
      <c r="L1322" s="3" t="s">
        <v>9808</v>
      </c>
      <c r="P1322" s="7" t="s">
        <v>1241</v>
      </c>
      <c r="AV1322" s="1" t="s">
        <v>38</v>
      </c>
      <c r="BG1322" s="7" t="s">
        <v>1242</v>
      </c>
      <c r="BH1322" s="1" t="s">
        <v>1872</v>
      </c>
      <c r="BI1322" s="1" t="s">
        <v>6491</v>
      </c>
      <c r="BJ1322" s="1" t="s">
        <v>1875</v>
      </c>
      <c r="BK1322" s="2" t="s">
        <v>6492</v>
      </c>
      <c r="BL1322" s="1" t="s">
        <v>1877</v>
      </c>
      <c r="BM1322" s="2" t="s">
        <v>6493</v>
      </c>
    </row>
    <row r="1323" spans="1:69" ht="144" x14ac:dyDescent="0.45">
      <c r="A1323" s="5">
        <v>1322</v>
      </c>
      <c r="B1323" s="8" t="s">
        <v>1059</v>
      </c>
      <c r="C1323" s="6" t="s">
        <v>1816</v>
      </c>
      <c r="D1323" s="7" t="s">
        <v>9752</v>
      </c>
      <c r="E1323" s="1" t="s">
        <v>1454</v>
      </c>
      <c r="F1323" s="1" t="s">
        <v>1614</v>
      </c>
      <c r="G1323" s="1"/>
      <c r="J1323" s="1" t="s">
        <v>9753</v>
      </c>
      <c r="L1323" s="3" t="s">
        <v>9809</v>
      </c>
      <c r="M1323" s="1" t="s">
        <v>12203</v>
      </c>
      <c r="P1323" s="7" t="s">
        <v>1241</v>
      </c>
      <c r="Q1323" s="13" t="str">
        <f>INDEX($L:$L, MATCH("admit", $B:$B, 0))</f>
        <v>&lt;span class="w"&gt;&lt;b&gt;【406.admit：〜を認める, 入場・入学を認める】&lt;/b&gt;&lt;/span&gt;
&lt;span class="ml"&gt;ラテン語に由来する語で、以下の2つの要素から成る。
&lt;span class="spacer"&gt;&lt;/span&gt;ad（～へ）
mittere（送る, 放つ）
&lt;span class="spacer"&gt;&lt;/span&gt;このまま日本語にすると「〜へ送る」となる。これは、外から来たものをそのまま内側へ送るイメージ。そこから、学校や会場で内側へ送るなら「入場・入学を認める」、議論において主張や真実を内側に送るなら「認める」という意味になる。
&lt;div class="sample_image admit"&gt;&lt;/div&gt;&lt;/span&gt;</v>
      </c>
      <c r="R1323" s="13" t="str">
        <f>INDEX($L:$L, MATCH("submit", $B:$B, 0))</f>
        <v>&lt;span class="w"&gt;&lt;b&gt;【928.submit：〜を提出する, submit oneself 従う】&lt;/b&gt;&lt;/span&gt;
&lt;span class="ml"&gt;ラテン語に由来する語で、以下の2つの要素から成る。
&lt;span class="spacer"&gt;&lt;/span&gt;sub（〜の下に）
mittere（送る, 放つ）
&lt;span class="spacer"&gt;&lt;/span&gt;このまま日本語にすると「下に送る」となる。この物理的な下方向への動きから、自分自身を相手の下に置き、相手に「従う」という意味になった。さらに、自分で判断するのではなく他者の判断に従うために、自分の意見や考えなどを差し出すことから、何かを「提出する」という意味にもなった。
&lt;div class="sample_image submit"&gt;&lt;/div&gt;&lt;/span&gt;</v>
      </c>
      <c r="S1323" s="13" t="str">
        <f>INDEX($L:$L, MATCH("commit", $B:$B, 0))</f>
        <v>&lt;span class="w"&gt;&lt;b&gt;【601.commit：（受け身で）献身する, 罪などを犯す】&lt;/b&gt;&lt;/span&gt;
&lt;span class="ml"&gt;ラテン語に由来する語で、以下の2つの要素から成る。
&lt;span class="spacer"&gt;&lt;/span&gt;com（共に）
mittere（送る, 放つ）
&lt;span class="spacer"&gt;&lt;/span&gt;このまま日本語にすると「共に送る」となる。ここから現代英語の「献身する」や「罪などを犯す」という意味への発展経緯は明らかではないため、あくまでイメージで覚えておく。この語の核は「対象の元へ何かをまとめて送る」。
&lt;span class="spacer"&gt;&lt;/span&gt;①まだ実行していないものを現実に送る感じから「何かを行う」となる。特に後戻りできない重大なことを行うことから「罪などを犯す」という意味になる。
&lt;span class="spacer"&gt;&lt;/span&gt;②自分自身や自分の能力、時間、権限など、自分と自分に関するものをまとめて対象に送る感じから「献身する, 専念する」という意味になる。この場合は、commit oneself to A / be committed to Aといった形で使われる。&lt;/span&gt;</v>
      </c>
      <c r="T1323" s="13" t="str">
        <f>INDEX($L:$L, MATCH("permit", $B:$B, 0))</f>
        <v>&lt;span class="w"&gt;&lt;b&gt;【628.permit：〜を許可する】&lt;/b&gt;&lt;/span&gt;
&lt;span class="ml"&gt;ラテン語に由来する語で、以下の2つの要素から成る。
&lt;span class="spacer"&gt;&lt;/span&gt;per（前へ, 通って）
mittere（送る, 放つ）
&lt;span class="spacer"&gt;&lt;/span&gt;このまま日本語にすると「通して送る」となる。これは、通過を妨げないで行かせることから「許可する」という意味になる。
&lt;div class="sample_image permit"&gt;&lt;/div&gt;&lt;/span&gt;</v>
      </c>
      <c r="U1323" s="13" t="str">
        <f>INDEX($L:$L, MATCH("transmit", $B:$B, 0))</f>
        <v>&lt;span class="w"&gt;&lt;b&gt;【1028.transmit：〜を伝える, （電波や信号など）を送る】&lt;/b&gt;&lt;/span&gt;
&lt;span class="ml"&gt;ラテン語に由来する語で、以下の2つの要素から成る。
&lt;span class="spacer"&gt;&lt;/span&gt;trans（越えて, 向こうへ）
mittere（送る, 放つ）
&lt;span class="spacer"&gt;&lt;/span&gt;このまま日本語にすると「越えて送る」となる。もともとは、何かを隔てた向こう側へ送るという物理的な移動を表した。そこからエネルギーや情報など、空間を越えて「伝える, 送る」という意味になった。
&lt;div class="sample_image transmit"&gt;&lt;/div&gt;&lt;/span&gt;</v>
      </c>
      <c r="AU1323" s="15"/>
      <c r="AV1323" s="1" t="s">
        <v>38</v>
      </c>
      <c r="BG1323" s="7" t="s">
        <v>1242</v>
      </c>
      <c r="BH1323" s="1" t="s">
        <v>1947</v>
      </c>
      <c r="BI1323" s="2" t="s">
        <v>6494</v>
      </c>
      <c r="BJ1323" s="1" t="s">
        <v>1877</v>
      </c>
      <c r="BK1323" s="2" t="s">
        <v>6495</v>
      </c>
    </row>
    <row r="1324" spans="1:69" ht="126" x14ac:dyDescent="0.45">
      <c r="A1324" s="5">
        <v>1323</v>
      </c>
      <c r="B1324" s="6" t="s">
        <v>1060</v>
      </c>
      <c r="C1324" s="6" t="s">
        <v>1816</v>
      </c>
      <c r="D1324" s="7" t="s">
        <v>9752</v>
      </c>
      <c r="E1324" s="1" t="s">
        <v>1251</v>
      </c>
      <c r="F1324" s="1" t="s">
        <v>6496</v>
      </c>
      <c r="G1324" s="1"/>
      <c r="J1324" s="1" t="s">
        <v>9753</v>
      </c>
      <c r="K1324" s="1" t="s">
        <v>6497</v>
      </c>
      <c r="L1324" s="2" t="s">
        <v>9810</v>
      </c>
      <c r="P1324" s="7" t="s">
        <v>1241</v>
      </c>
      <c r="Q1324" s="13" t="str">
        <f>INDEX($L:$L, MATCH("novel", $B:$B, 0))</f>
        <v>&lt;span class="w"&gt;&lt;b&gt;【196.novel：斬新な, 目新しい】&lt;/b&gt;&lt;/span&gt;
&lt;span class="ml"&gt;ラテン語に由来する語で、以下の2つの要素から成る。
&lt;span class="spacer"&gt;&lt;/span&gt;novus（新しい）
ellus（小さいことを表す）
&lt;span class="spacer"&gt;&lt;/span&gt;このまま日本語にすると「ちょっと新しい」となり、そこから「斬新な, 目新しい」という意味になる。
&lt;span class="spacer"&gt;&lt;/span&gt;名詞novel（小説）も同じ語源にさかのぼる。新しいことや新しい物語という意味から短編小説、そして長編の小説を指すようになった。&lt;/span&gt;</v>
      </c>
      <c r="R1324" s="13" t="str">
        <f>INDEX($L:$L, MATCH("innovation", $B:$B, 0))</f>
        <v>&lt;span class="w"&gt;&lt;b&gt;【542.innovation：革新】&lt;/b&gt;&lt;/span&gt;
&lt;span class="ml"&gt;ラテン語に由来する語で、以下の3つの要素から成る。
&lt;span class="spacer"&gt;&lt;/span&gt;in（中に）
novus（新しい）
io（名詞化）
&lt;span class="spacer"&gt;&lt;/span&gt;既存のものの中に新しさを入れることから「革新」という意味になる。&lt;/span&gt;</v>
      </c>
      <c r="AU1324" s="15"/>
      <c r="AV1324" s="1" t="s">
        <v>38</v>
      </c>
      <c r="BG1324" s="7" t="s">
        <v>1242</v>
      </c>
      <c r="BH1324" s="1" t="s">
        <v>1875</v>
      </c>
      <c r="BI1324" s="2" t="s">
        <v>6498</v>
      </c>
    </row>
    <row r="1325" spans="1:69" ht="180" x14ac:dyDescent="0.45">
      <c r="A1325" s="5">
        <v>1324</v>
      </c>
      <c r="B1325" s="8" t="s">
        <v>1061</v>
      </c>
      <c r="C1325" s="6" t="s">
        <v>1816</v>
      </c>
      <c r="D1325" s="7" t="s">
        <v>9752</v>
      </c>
      <c r="E1325" s="1" t="s">
        <v>6226</v>
      </c>
      <c r="F1325" s="1" t="s">
        <v>1607</v>
      </c>
      <c r="G1325" s="1" t="s">
        <v>1519</v>
      </c>
      <c r="J1325" s="1" t="s">
        <v>9753</v>
      </c>
      <c r="L1325" s="2" t="s">
        <v>9811</v>
      </c>
      <c r="M1325" s="1" t="s">
        <v>12216</v>
      </c>
      <c r="P1325" s="7" t="s">
        <v>1241</v>
      </c>
      <c r="Q1325" s="13" t="str">
        <f>INDEX($L:$L, MATCH("usage", $B:$B, 0))</f>
        <v>&lt;span class="w"&gt;&lt;b&gt;【776.usage：使われ方, 語法, 慣習】&lt;/b&gt;&lt;/span&gt;
&lt;span class="ml"&gt;ラテン語に由来する語で、以下の2つの要素から成る。
uti（使う：useの語源）
&lt;span class="obsolete"&gt;age（〜すること）はフランス語段階で付いた&lt;/span&gt;
&lt;span class="spacer"&gt;&lt;/span&gt;このまま日本語にすると「使うこと」となる。もともとは、人々が繰り返し使うことによって作り上げられる「慣習」を意味した。
&lt;span class="spacer"&gt;&lt;/span&gt;そこから、繰り返し使われることで確立された言葉の使い方＝「語法」や、言葉に限らず様々なものの日常的な「使われ方」、データや資源などの「使用量」などの意味になった。&lt;/span&gt;</v>
      </c>
      <c r="R1325" s="13" t="str">
        <f>INDEX($L:$L, MATCH("abuse", $B:$B, 0))</f>
        <v>&lt;span class="w"&gt;&lt;b&gt;【952.abuse：乱用, 虐待】&lt;/b&gt;&lt;/span&gt;
&lt;span class="ml"&gt;ラテン語に由来する語で、以下の2つの要素から成る。
&lt;span class="spacer"&gt;&lt;/span&gt;ab（離れて）
uti（使う：useの語源）
&lt;span class="spacer"&gt;&lt;/span&gt;この語の核は「本来の使用法から離れた使用」。そこから何かの「乱用」や、本来の子育てのあり方から離れた「虐待」という意味になった。&lt;/span&gt;</v>
      </c>
      <c r="S1325" s="13" t="str">
        <f>INDEX($L:$L, MATCH("utility", $B:$B, 0))</f>
        <v>&lt;span class="w"&gt;&lt;b&gt;【1251.utility：公共事業, 公共料金, 実用性】&lt;/b&gt;&lt;/span&gt;
&lt;span class="ml"&gt;ラテン語に由来する語で、以下の3つの要素から成る。
&lt;span class="spacer"&gt;&lt;/span&gt;uti（利用する：useの語源）
ilis（形容詞化）
tas（名詞化）
&lt;span class="spacer"&gt;&lt;/span&gt;この語は、動詞「使う」から形容詞「使える状態の」となり、さらに名詞「使えること, 役立つこと」へと発展した。実際に使えて役立つことから「実用性」という意味になる。
&lt;span class="spacer"&gt;&lt;/span&gt;またpublic utilityで「公共の役立つこと＝公共事業」という意味で使われていたが、次第にutilityの1語で「公共事業」や「公共料金」を意味するようになった。&lt;/span&gt;</v>
      </c>
      <c r="AU1325" s="15"/>
      <c r="AV1325" s="1" t="s">
        <v>38</v>
      </c>
      <c r="BG1325" s="7" t="s">
        <v>1242</v>
      </c>
      <c r="BH1325" s="1" t="s">
        <v>1947</v>
      </c>
      <c r="BI1325" s="2" t="s">
        <v>6499</v>
      </c>
      <c r="BJ1325" s="1" t="s">
        <v>6500</v>
      </c>
      <c r="BK1325" s="1" t="s">
        <v>6501</v>
      </c>
      <c r="BL1325" s="1" t="s">
        <v>1994</v>
      </c>
      <c r="BM1325" s="1" t="s">
        <v>6502</v>
      </c>
      <c r="BN1325" s="1" t="s">
        <v>1996</v>
      </c>
      <c r="BO1325" s="1" t="s">
        <v>6503</v>
      </c>
      <c r="BP1325" s="1" t="s">
        <v>1877</v>
      </c>
      <c r="BQ1325" s="2" t="s">
        <v>6504</v>
      </c>
    </row>
    <row r="1326" spans="1:69" ht="234" x14ac:dyDescent="0.45">
      <c r="A1326" s="5">
        <v>1325</v>
      </c>
      <c r="B1326" s="8" t="s">
        <v>1062</v>
      </c>
      <c r="C1326" s="6" t="s">
        <v>1816</v>
      </c>
      <c r="D1326" s="7" t="s">
        <v>9752</v>
      </c>
      <c r="E1326" s="1" t="s">
        <v>1392</v>
      </c>
      <c r="F1326" s="1" t="s">
        <v>1511</v>
      </c>
      <c r="G1326" s="1"/>
      <c r="J1326" s="1" t="s">
        <v>9753</v>
      </c>
      <c r="L1326" s="2" t="s">
        <v>9812</v>
      </c>
      <c r="P1326" s="7" t="s">
        <v>1241</v>
      </c>
      <c r="Q1326" s="13" t="str">
        <f>INDEX($L:$L, MATCH("desert", $B:$B, 0))</f>
        <v>&lt;span class="w"&gt;&lt;b&gt;【373.desert：砂漠, 不毛な土地】&lt;/b&gt;&lt;/span&gt;
&lt;span class="ml"&gt;ラテン語に由来する語で、以下の2つの要素から成る。
&lt;span class="spacer"&gt;&lt;/span&gt;de（離れて）
serere（結びつける）
&lt;span class="spacer"&gt;&lt;/span&gt;このまま日本語にすると「結びつきを離す」となる。持ち主との結びつきが離れた、つまり放棄された土地を指し、「不毛な土地, 砂漠」という意味になる。&lt;/span&gt;</v>
      </c>
      <c r="AU1326" s="15"/>
      <c r="AV1326" s="1" t="s">
        <v>38</v>
      </c>
      <c r="BG1326" s="7" t="s">
        <v>1242</v>
      </c>
      <c r="BH1326" s="1" t="s">
        <v>1947</v>
      </c>
      <c r="BI1326" s="2" t="s">
        <v>6505</v>
      </c>
      <c r="BJ1326" s="1" t="s">
        <v>1877</v>
      </c>
      <c r="BK1326" s="2" t="s">
        <v>6506</v>
      </c>
    </row>
    <row r="1327" spans="1:69" ht="180" x14ac:dyDescent="0.45">
      <c r="A1327" s="5">
        <v>1326</v>
      </c>
      <c r="B1327" s="8" t="s">
        <v>1063</v>
      </c>
      <c r="C1327" s="6" t="s">
        <v>1816</v>
      </c>
      <c r="D1327" s="7" t="s">
        <v>9752</v>
      </c>
      <c r="E1327" s="1" t="s">
        <v>1063</v>
      </c>
      <c r="F1327" s="1"/>
      <c r="G1327" s="1"/>
      <c r="J1327" s="1" t="s">
        <v>9753</v>
      </c>
      <c r="L1327" s="2" t="s">
        <v>12077</v>
      </c>
      <c r="M1327" s="1" t="s">
        <v>12167</v>
      </c>
      <c r="P1327" s="7" t="s">
        <v>1241</v>
      </c>
      <c r="Q1327" s="13" t="str">
        <f>INDEX($L:$L, MATCH("stress", $B:$B, 0))</f>
        <v>&lt;span class="w"&gt;&lt;b&gt;【154.stress：ストレス, 圧力, 強調】&lt;/b&gt;&lt;/span&gt;
&lt;span class="ml"&gt;ラテン語stringere（引き締める）に由来する。
&lt;span class="spacer"&gt;&lt;/span&gt;何かを引き締めるというところから、物理的また精神的にかける力＝「圧力, ストレス」という意味になる。また重要なことを発言するときに言葉を強く発音することがあるが、このような「強調」も意味する。&lt;/span&gt;</v>
      </c>
      <c r="R1327" s="13" t="str">
        <f>INDEX($L:$L, MATCH("distress", $B:$B, 0))</f>
        <v>&lt;span class="w"&gt;&lt;b&gt;【1048.distress：苦悩, 苦痛】&lt;/b&gt;&lt;/span&gt;
&lt;span class="ml"&gt;ラテン語に由来する語で、以下の2つの要素から成る。
&lt;span class="spacer"&gt;&lt;/span&gt;dis（離れて）
stringere（引き締める, 強く引く）
&lt;span class="spacer"&gt;&lt;/span&gt;もともとは何かを引き離すことから、対象を引き離して拘束するということを表した。この物理的な身体の締め付けから、比喩的に心理的・社会的に追い詰められた状態へと発展して「苦痛, 苦悩, 困窮」という意味になった。&lt;/span&gt;</v>
      </c>
      <c r="S1327" s="13" t="str">
        <f>INDEX($L:$L, MATCH("strict", $B:$B, 0))</f>
        <v>&lt;span class="w"&gt;&lt;b&gt;【489.strict：厳しい, 厳格な】&lt;/b&gt;&lt;/span&gt;
&lt;span class="ml"&gt;ラテン語stringere（強く引き締める）の過去分詞strictus（引き締められた）に由来する。
&lt;span class="spacer"&gt;&lt;/span&gt;この語の核は「強く引き締める」。何かを強く引き締めるように、きつく制限されて「厳しい, 厳格な」という意味になる。&lt;/span&gt;</v>
      </c>
      <c r="T1327" s="13" t="str">
        <f>INDEX($L:$L, MATCH("district", $B:$B, 0))</f>
        <v>&lt;span class="w"&gt;&lt;b&gt;【665.district：地区, 行政区】&lt;/b&gt;&lt;/span&gt;
&lt;span class="ml"&gt;ラテン語に由来する語で、以下の2つの要素から成る。
&lt;span class="spacer"&gt;&lt;/span&gt;dis（離れて）
stringere（引き締める）
&lt;span class="spacer"&gt;&lt;/span&gt;このまま日本語にすると「引き離す」となる。もともとは、土地の支配者が、違反者を社会から引き離したり、個人の財産を法的に引き離したりすることができる管轄区域を表していた。こうした強制的な支配というニュアンスは、時代が進むにつれて薄まっていき、特定の目的をもった「地区, 行政区」という意味になった。&lt;/span&gt;</v>
      </c>
      <c r="U1327" s="13" t="str">
        <f>INDEX($L:$L, MATCH("restrict", $B:$B, 0))</f>
        <v>&lt;span class="w"&gt;&lt;b&gt;【711.restrict：〜を制限する】&lt;/b&gt;&lt;/span&gt;
&lt;span class="ml"&gt;ラテン語に由来する語で、以下の2つの要素から成る。
&lt;span class="spacer"&gt;&lt;/span&gt;re（後ろへ）
stringere（引っ張る）
&lt;span class="spacer"&gt;&lt;/span&gt;このまま日本語にすると「後ろへ引っ張る」となる。前に出ないようにする、抑制するということから「制限する」という意味になる。&lt;/span&gt;</v>
      </c>
      <c r="AV1327" s="1" t="s">
        <v>38</v>
      </c>
      <c r="BG1327" s="7" t="s">
        <v>1242</v>
      </c>
      <c r="BH1327" s="1" t="s">
        <v>1947</v>
      </c>
      <c r="BI1327" s="1" t="s">
        <v>6507</v>
      </c>
      <c r="BJ1327" s="1" t="s">
        <v>1959</v>
      </c>
      <c r="BK1327" s="1" t="s">
        <v>6508</v>
      </c>
      <c r="BL1327" s="1" t="s">
        <v>1875</v>
      </c>
      <c r="BM1327" s="2" t="s">
        <v>6509</v>
      </c>
    </row>
    <row r="1328" spans="1:69" ht="108" x14ac:dyDescent="0.45">
      <c r="A1328" s="5">
        <v>1327</v>
      </c>
      <c r="B1328" s="6" t="s">
        <v>1064</v>
      </c>
      <c r="C1328" s="6" t="s">
        <v>1816</v>
      </c>
      <c r="D1328" s="7" t="s">
        <v>9752</v>
      </c>
      <c r="E1328" s="6" t="s">
        <v>1064</v>
      </c>
      <c r="F1328" s="1"/>
      <c r="G1328" s="1"/>
      <c r="J1328" s="1" t="s">
        <v>9753</v>
      </c>
      <c r="L1328" s="2" t="s">
        <v>9813</v>
      </c>
      <c r="P1328" s="7" t="s">
        <v>1241</v>
      </c>
      <c r="AU1328" s="15"/>
      <c r="AV1328" s="1" t="s">
        <v>38</v>
      </c>
      <c r="BG1328" s="7" t="s">
        <v>1242</v>
      </c>
      <c r="BH1328" s="1" t="s">
        <v>1959</v>
      </c>
      <c r="BI1328" s="2" t="s">
        <v>6510</v>
      </c>
      <c r="BJ1328" s="1" t="s">
        <v>1875</v>
      </c>
      <c r="BK1328" s="2" t="s">
        <v>6511</v>
      </c>
    </row>
    <row r="1329" spans="1:67" ht="324" x14ac:dyDescent="0.45">
      <c r="A1329" s="5">
        <v>1328</v>
      </c>
      <c r="B1329" s="6" t="s">
        <v>1065</v>
      </c>
      <c r="C1329" s="6" t="s">
        <v>1816</v>
      </c>
      <c r="D1329" s="7" t="s">
        <v>9752</v>
      </c>
      <c r="E1329" s="1" t="s">
        <v>1065</v>
      </c>
      <c r="F1329" s="1"/>
      <c r="G1329" s="1"/>
      <c r="J1329" s="1" t="s">
        <v>9753</v>
      </c>
      <c r="L1329" s="2" t="s">
        <v>9814</v>
      </c>
      <c r="P1329" s="7" t="s">
        <v>1241</v>
      </c>
      <c r="AV1329" s="1" t="s">
        <v>38</v>
      </c>
      <c r="BG1329" s="7" t="s">
        <v>1242</v>
      </c>
      <c r="BH1329" s="1" t="s">
        <v>1872</v>
      </c>
      <c r="BI1329" s="1" t="s">
        <v>6512</v>
      </c>
      <c r="BJ1329" s="1" t="s">
        <v>1875</v>
      </c>
      <c r="BK1329" s="2" t="s">
        <v>6513</v>
      </c>
      <c r="BL1329" s="1" t="s">
        <v>1877</v>
      </c>
      <c r="BM1329" s="2" t="s">
        <v>9815</v>
      </c>
    </row>
    <row r="1330" spans="1:67" ht="198" x14ac:dyDescent="0.45">
      <c r="A1330" s="5">
        <v>1329</v>
      </c>
      <c r="B1330" s="6" t="s">
        <v>1066</v>
      </c>
      <c r="C1330" s="6" t="s">
        <v>1816</v>
      </c>
      <c r="D1330" s="7" t="s">
        <v>9752</v>
      </c>
      <c r="E1330" s="1" t="s">
        <v>1066</v>
      </c>
      <c r="F1330" s="1"/>
      <c r="G1330" s="1"/>
      <c r="J1330" s="1" t="s">
        <v>9753</v>
      </c>
      <c r="L1330" s="3" t="s">
        <v>9816</v>
      </c>
      <c r="P1330" s="7" t="s">
        <v>1241</v>
      </c>
      <c r="AV1330" s="1" t="s">
        <v>38</v>
      </c>
      <c r="BG1330" s="7" t="s">
        <v>1242</v>
      </c>
      <c r="BH1330" s="1" t="s">
        <v>9817</v>
      </c>
      <c r="BI1330" s="1" t="s">
        <v>9818</v>
      </c>
      <c r="BJ1330" s="1" t="s">
        <v>2114</v>
      </c>
      <c r="BK1330" s="1" t="s">
        <v>6514</v>
      </c>
      <c r="BL1330" s="1" t="s">
        <v>1875</v>
      </c>
      <c r="BM1330" s="2" t="s">
        <v>6515</v>
      </c>
      <c r="BN1330" s="1" t="s">
        <v>1877</v>
      </c>
      <c r="BO1330" s="2" t="s">
        <v>6516</v>
      </c>
    </row>
    <row r="1331" spans="1:67" ht="234" x14ac:dyDescent="0.45">
      <c r="A1331" s="5">
        <v>1330</v>
      </c>
      <c r="B1331" s="6" t="s">
        <v>1067</v>
      </c>
      <c r="C1331" s="6" t="s">
        <v>1816</v>
      </c>
      <c r="D1331" s="7" t="s">
        <v>9752</v>
      </c>
      <c r="E1331" s="1" t="s">
        <v>6517</v>
      </c>
      <c r="F1331" s="1" t="s">
        <v>1635</v>
      </c>
      <c r="G1331" s="1"/>
      <c r="J1331" s="1" t="s">
        <v>9753</v>
      </c>
      <c r="L1331" s="3" t="s">
        <v>9819</v>
      </c>
      <c r="P1331" s="7" t="s">
        <v>1241</v>
      </c>
      <c r="AU1331" s="15"/>
      <c r="AV1331" s="1" t="s">
        <v>38</v>
      </c>
      <c r="BG1331" s="7" t="s">
        <v>1242</v>
      </c>
      <c r="BH1331" s="1" t="s">
        <v>1872</v>
      </c>
      <c r="BI1331" s="2" t="s">
        <v>6518</v>
      </c>
      <c r="BJ1331" s="1" t="s">
        <v>1875</v>
      </c>
      <c r="BK1331" s="2" t="s">
        <v>6519</v>
      </c>
      <c r="BL1331" s="1" t="s">
        <v>1877</v>
      </c>
      <c r="BM1331" s="2" t="s">
        <v>6520</v>
      </c>
    </row>
    <row r="1332" spans="1:67" ht="162" x14ac:dyDescent="0.45">
      <c r="A1332" s="5">
        <v>1331</v>
      </c>
      <c r="B1332" s="6" t="s">
        <v>1068</v>
      </c>
      <c r="C1332" s="6" t="s">
        <v>1816</v>
      </c>
      <c r="D1332" s="7" t="s">
        <v>9752</v>
      </c>
      <c r="E1332" s="1" t="s">
        <v>1249</v>
      </c>
      <c r="F1332" s="1" t="s">
        <v>6521</v>
      </c>
      <c r="G1332" s="1"/>
      <c r="J1332" s="1" t="s">
        <v>9753</v>
      </c>
      <c r="L1332" s="2" t="s">
        <v>9820</v>
      </c>
      <c r="P1332" s="7" t="s">
        <v>1241</v>
      </c>
      <c r="Q1332" s="13" t="str">
        <f>INDEX($L:$L, MATCH("defend", $B:$B, 0))</f>
        <v>&lt;span class="w"&gt;&lt;b&gt;【837.defend：～を防御する, ～を弁護する】&lt;/b&gt;&lt;/span&gt;
&lt;span class="ml"&gt;ラテン語に由来する語で、以下の2つの要素から成る。
&lt;span class="spacer"&gt;&lt;/span&gt;de（離れて）
fendere（打つ, 当てる）
&lt;span class="spacer"&gt;&lt;/span&gt;もともとは向かってくる相手を打って追い払うことを表した。そこから物理的に誰かの身や国などを「防御する」という意味になった。さらに抽象化して、言葉による非難や批判を打ち払って「弁護する」という意味になった。&lt;/span&gt;</v>
      </c>
      <c r="AU1332" s="15"/>
      <c r="AV1332" s="1" t="s">
        <v>38</v>
      </c>
      <c r="BG1332" s="7" t="s">
        <v>1242</v>
      </c>
      <c r="BH1332" s="1" t="s">
        <v>1947</v>
      </c>
      <c r="BI1332" s="2" t="s">
        <v>6522</v>
      </c>
      <c r="BJ1332" s="1" t="s">
        <v>1959</v>
      </c>
      <c r="BK1332" s="1" t="s">
        <v>6523</v>
      </c>
      <c r="BL1332" s="1" t="s">
        <v>1875</v>
      </c>
      <c r="BM1332" s="2" t="s">
        <v>6524</v>
      </c>
    </row>
    <row r="1333" spans="1:67" ht="162" x14ac:dyDescent="0.45">
      <c r="A1333" s="5">
        <v>1332</v>
      </c>
      <c r="B1333" s="8" t="s">
        <v>1069</v>
      </c>
      <c r="C1333" s="6" t="s">
        <v>1816</v>
      </c>
      <c r="D1333" s="7" t="s">
        <v>9752</v>
      </c>
      <c r="E1333" s="1" t="s">
        <v>1467</v>
      </c>
      <c r="F1333" s="1" t="s">
        <v>5396</v>
      </c>
      <c r="G1333" s="1"/>
      <c r="J1333" s="1" t="s">
        <v>9753</v>
      </c>
      <c r="K1333" s="1" t="s">
        <v>6525</v>
      </c>
      <c r="L1333" s="2" t="s">
        <v>9821</v>
      </c>
      <c r="M1333" s="1" t="s">
        <v>12164</v>
      </c>
      <c r="P1333" s="7" t="s">
        <v>1241</v>
      </c>
      <c r="Q1333" s="13" t="str">
        <f>INDEX($L:$L, MATCH("account", $B:$B, 0))</f>
        <v>&lt;span class="w"&gt;&lt;b&gt;【147.account：説明, 勘定, 口座】&lt;/b&gt;&lt;/span&gt;
&lt;span class="ml"&gt;ラテン語のcom（共に）＋putare（計算する）を経た古フランス語に由来し、以下の2つの要素から成る。
&lt;span class="spacer"&gt;&lt;/span&gt;a（～へ）
cont（計算）
&lt;span class="spacer"&gt;&lt;/span&gt;このまま日本語にすると「〜への計算」となる。これは特にお金の計算やそれに関する意味へと発展していく。
&lt;span class="spacer"&gt;&lt;/span&gt;お金のやり取りの計算やそれを記したものから「勘定, 口座」という意味になる。また、預かっているお金がどうなっているかを詳細に説明することから、一般的な行動の「説明」という意味になる。&lt;/span&gt;</v>
      </c>
      <c r="R1333" s="13" t="str">
        <f>INDEX($L:$L, MATCH("discount", $B:$B, 0))</f>
        <v>&lt;span class="w"&gt;&lt;b&gt;【672.discount：割引, 値引き】&lt;/b&gt;&lt;/span&gt;
&lt;span class="ml"&gt;中世ラテン語に由来する語で、以下の2つの要素から成る。
&lt;span class="spacer"&gt;&lt;/span&gt;dis（分離, 否定）
computare（数える, 計算する）
&lt;span class="spacer"&gt;&lt;/span&gt;この語の核は「計算からの分離」。つまり、ある部分を含めずに計算することから「割引き, 値引き」という意味になる。&lt;/span&gt;</v>
      </c>
      <c r="S1333" s="13" t="str">
        <f>INDEX($L:$L, MATCH("dispute", $B:$B, 0))</f>
        <v>&lt;span class="w"&gt;&lt;b&gt;【1018.dispute：〜に異議を唱える, 議論する】&lt;/b&gt;&lt;/span&gt;
&lt;span class="ml"&gt;ラテン語に由来する語で、以下の2つの要素から成る。
&lt;span class="spacer"&gt;&lt;/span&gt;dis（分けて）
putare（考える, 計算する）
&lt;span class="spacer"&gt;&lt;/span&gt;このまま日本語にすると「分けて考える」となる。複数の立場やさまざまな意見をもとに物事を考えることから「議論する」という意味になった。さらに、議論の中では当然相手と反対の意見が出てきて激しく対立することがあるため、相手に対して「異議を唱える」という意味にもなった。
&lt;div class="sample_image dispute"&gt;&lt;/div&gt;&lt;/span&gt;</v>
      </c>
      <c r="T1333" s="13" t="str">
        <f>INDEX($L:$L, MATCH("reputation", $B:$B, 0))</f>
        <v>&lt;span class="w"&gt;&lt;b&gt;【678.reputation：評判, 名声】&lt;/b&gt;&lt;/span&gt;
&lt;span class="ml"&gt;ラテン語に由来する語で、以下の3つの要素から成る。
&lt;span class="spacer"&gt;&lt;/span&gt;re（再び, 繰り返し）
putare（判断する）
io（名詞化）
&lt;span class="spacer"&gt;&lt;/span&gt;このまま日本語にすると「繰り返し判断すること」となる。人々が何度も判断する、世間から何度も評価されるといったニュアンスから「評判, 名声」という意味になった。
&lt;div class="sample_image reputation"&gt;&lt;/div&gt;&lt;/span&gt;</v>
      </c>
      <c r="AU1333" s="15"/>
      <c r="AV1333" s="1" t="s">
        <v>38</v>
      </c>
      <c r="BG1333" s="7" t="s">
        <v>1242</v>
      </c>
      <c r="BH1333" s="1" t="s">
        <v>1947</v>
      </c>
      <c r="BI1333" s="2" t="s">
        <v>6526</v>
      </c>
      <c r="BJ1333" s="1" t="s">
        <v>1996</v>
      </c>
      <c r="BK1333" s="2" t="s">
        <v>6527</v>
      </c>
      <c r="BL1333" s="1" t="s">
        <v>1877</v>
      </c>
      <c r="BM1333" s="2" t="s">
        <v>6528</v>
      </c>
    </row>
    <row r="1334" spans="1:67" ht="234" x14ac:dyDescent="0.45">
      <c r="A1334" s="5">
        <v>1333</v>
      </c>
      <c r="B1334" s="8" t="s">
        <v>1070</v>
      </c>
      <c r="C1334" s="6" t="s">
        <v>1816</v>
      </c>
      <c r="D1334" s="7" t="s">
        <v>9752</v>
      </c>
      <c r="E1334" s="1" t="s">
        <v>1392</v>
      </c>
      <c r="F1334" s="1" t="s">
        <v>4289</v>
      </c>
      <c r="G1334" s="1"/>
      <c r="J1334" s="1" t="s">
        <v>9753</v>
      </c>
      <c r="L1334" s="3" t="s">
        <v>9822</v>
      </c>
      <c r="M1334" s="1" t="s">
        <v>12143</v>
      </c>
      <c r="P1334" s="7" t="s">
        <v>1241</v>
      </c>
      <c r="Q1334" s="13" t="str">
        <f>INDEX($L:$L, MATCH("resemble", $B:$B, 0))</f>
        <v>&lt;span class="w"&gt;&lt;b&gt;【731.resemble：〜に似ている】&lt;/b&gt;&lt;/span&gt;
&lt;span class="ml"&gt;古フランス語に由来する語で、以下の2つの要素から成る。
&lt;span class="spacer"&gt;&lt;/span&gt;re（強意）
sembler（〜に似ている）
&lt;span class="spacer"&gt;&lt;/span&gt;このまま日本語にすると「〜に似ている」という意味になる。resembleのsemble部分＝古フランス語semblerは、印欧祖語*sem-（一つ, 共に）にさかのぼる。この印欧祖語からは、same（同じ）やsimilar（似た）
&lt;div class="sample_image resemble"&gt;&lt;/div&gt;&lt;/span&gt;</v>
      </c>
      <c r="R1334" s="13" t="str">
        <f>INDEX($L:$L, MATCH("similar", $B:$B, 0))</f>
        <v>&lt;span class="w"&gt;&lt;b&gt;【86.similar：似ている, 類似した, 同様の】&lt;/b&gt;&lt;/span&gt;
&lt;span class="ml"&gt;ラテン語に由来する語で、以下の2つの要素から成る。
&lt;span class="spacer"&gt;&lt;/span&gt;semol（一緒に）
ilis（形容詞化）
&lt;span class="spacer"&gt;&lt;/span&gt;「一緒に」＝共通の特徴を持っているというところから「似ている, 類似した, 同様の」という意味になる。
&lt;span class="spacer"&gt;&lt;/span&gt;similarのsim部分は、sameと同じ語源にさかのぼる。&lt;/span&gt;</v>
      </c>
      <c r="S1334" s="13" t="str">
        <f>INDEX($L:$L, MATCH("simultaneously", $B:$B, 0))</f>
        <v>&lt;span class="w"&gt;&lt;b&gt;【1099.simultaneously：同時に】&lt;/b&gt;&lt;/span&gt;
&lt;span class="ml"&gt;ラテン語に由来する語で、以下の3つの要素から成る。
&lt;span class="spacer"&gt;&lt;/span&gt;simul（同時に）
taneus
&lt;span class="obsolete"&gt;ly（副詞化）は英語段階で付いた&lt;/span&gt;
&lt;span class="spacer"&gt;&lt;/span&gt;このまま日本語にすると「同時に」という意味になる。
&lt;span class="spacer"&gt;&lt;/span&gt;ラテン語simulは、similarやsameと共通の印欧祖語にさかのぼり「同じ」を意味する。
&lt;span class="spacer"&gt;&lt;/span&gt;taneusは、おそらく他の語（spontaneousのもとになったラテン語）から取って付けられたもので、特別な意味はない。&lt;/span&gt;</v>
      </c>
      <c r="AU1334" s="15"/>
      <c r="AV1334" s="1" t="s">
        <v>38</v>
      </c>
      <c r="BG1334" s="7" t="s">
        <v>1242</v>
      </c>
      <c r="BH1334" s="1" t="s">
        <v>1947</v>
      </c>
      <c r="BI1334" s="2" t="s">
        <v>6529</v>
      </c>
      <c r="BJ1334" s="1" t="s">
        <v>1959</v>
      </c>
      <c r="BK1334" s="2" t="s">
        <v>6530</v>
      </c>
      <c r="BL1334" s="1" t="s">
        <v>1875</v>
      </c>
      <c r="BM1334" s="2" t="s">
        <v>6531</v>
      </c>
      <c r="BN1334" s="1" t="s">
        <v>1877</v>
      </c>
      <c r="BO1334" s="2" t="s">
        <v>6532</v>
      </c>
    </row>
    <row r="1335" spans="1:67" ht="108" x14ac:dyDescent="0.45">
      <c r="A1335" s="5">
        <v>1334</v>
      </c>
      <c r="B1335" s="8" t="s">
        <v>1071</v>
      </c>
      <c r="C1335" s="6" t="s">
        <v>1816</v>
      </c>
      <c r="D1335" s="7" t="s">
        <v>9752</v>
      </c>
      <c r="E1335" s="1" t="s">
        <v>6533</v>
      </c>
      <c r="F1335" s="1" t="s">
        <v>1447</v>
      </c>
      <c r="G1335" s="1"/>
      <c r="J1335" s="1" t="s">
        <v>9753</v>
      </c>
      <c r="L1335" s="2" t="s">
        <v>9823</v>
      </c>
      <c r="P1335" s="7" t="s">
        <v>1241</v>
      </c>
      <c r="AU1335" s="15"/>
      <c r="AV1335" s="1" t="s">
        <v>38</v>
      </c>
      <c r="BG1335" s="7" t="s">
        <v>1242</v>
      </c>
      <c r="BH1335" s="1" t="s">
        <v>1875</v>
      </c>
      <c r="BI1335" s="2" t="s">
        <v>6534</v>
      </c>
      <c r="BJ1335" s="1" t="s">
        <v>1877</v>
      </c>
      <c r="BK1335" s="2" t="s">
        <v>6535</v>
      </c>
    </row>
    <row r="1336" spans="1:67" ht="180" x14ac:dyDescent="0.45">
      <c r="A1336" s="5">
        <v>1335</v>
      </c>
      <c r="B1336" s="6" t="s">
        <v>1072</v>
      </c>
      <c r="C1336" s="6" t="s">
        <v>1816</v>
      </c>
      <c r="D1336" s="7" t="s">
        <v>9752</v>
      </c>
      <c r="E1336" s="1" t="s">
        <v>1072</v>
      </c>
      <c r="F1336" s="1"/>
      <c r="G1336" s="1"/>
      <c r="J1336" s="1" t="s">
        <v>9753</v>
      </c>
      <c r="L1336" s="3" t="s">
        <v>9824</v>
      </c>
      <c r="P1336" s="7" t="s">
        <v>1241</v>
      </c>
      <c r="AU1336" s="15"/>
      <c r="AV1336" s="1" t="s">
        <v>38</v>
      </c>
      <c r="BG1336" s="7" t="s">
        <v>1242</v>
      </c>
      <c r="BH1336" s="1" t="s">
        <v>1877</v>
      </c>
      <c r="BI1336" s="2" t="s">
        <v>6536</v>
      </c>
    </row>
    <row r="1337" spans="1:67" ht="144" x14ac:dyDescent="0.45">
      <c r="A1337" s="5">
        <v>1336</v>
      </c>
      <c r="B1337" s="6" t="s">
        <v>1073</v>
      </c>
      <c r="C1337" s="6" t="s">
        <v>1816</v>
      </c>
      <c r="D1337" s="7" t="s">
        <v>9752</v>
      </c>
      <c r="E1337" s="1" t="s">
        <v>1073</v>
      </c>
      <c r="F1337" s="1"/>
      <c r="G1337" s="1"/>
      <c r="J1337" s="1" t="s">
        <v>9753</v>
      </c>
      <c r="L1337" s="3" t="s">
        <v>9825</v>
      </c>
      <c r="P1337" s="7" t="s">
        <v>1241</v>
      </c>
      <c r="AU1337" s="15"/>
      <c r="AV1337" s="1" t="s">
        <v>38</v>
      </c>
      <c r="BG1337" s="7" t="s">
        <v>1242</v>
      </c>
      <c r="BH1337" s="1" t="s">
        <v>1875</v>
      </c>
      <c r="BI1337" s="2" t="s">
        <v>6537</v>
      </c>
    </row>
    <row r="1338" spans="1:67" ht="144" x14ac:dyDescent="0.45">
      <c r="A1338" s="5">
        <v>1337</v>
      </c>
      <c r="B1338" s="6" t="s">
        <v>1074</v>
      </c>
      <c r="C1338" s="6" t="s">
        <v>1816</v>
      </c>
      <c r="D1338" s="7" t="s">
        <v>9752</v>
      </c>
      <c r="E1338" s="1" t="s">
        <v>1327</v>
      </c>
      <c r="F1338" s="1" t="s">
        <v>6538</v>
      </c>
      <c r="G1338" s="1"/>
      <c r="J1338" s="1" t="s">
        <v>9753</v>
      </c>
      <c r="L1338" s="3" t="s">
        <v>9826</v>
      </c>
      <c r="P1338" s="7" t="s">
        <v>1241</v>
      </c>
      <c r="AU1338" s="15"/>
      <c r="AV1338" s="1" t="s">
        <v>38</v>
      </c>
      <c r="BG1338" s="7" t="s">
        <v>1242</v>
      </c>
      <c r="BH1338" s="1" t="s">
        <v>1947</v>
      </c>
      <c r="BI1338" s="2" t="s">
        <v>6539</v>
      </c>
      <c r="BJ1338" s="1" t="s">
        <v>1959</v>
      </c>
      <c r="BK1338" s="2" t="s">
        <v>6540</v>
      </c>
      <c r="BL1338" s="1" t="s">
        <v>1875</v>
      </c>
      <c r="BM1338" s="2" t="s">
        <v>6541</v>
      </c>
    </row>
    <row r="1339" spans="1:67" ht="180" x14ac:dyDescent="0.45">
      <c r="A1339" s="5">
        <v>1338</v>
      </c>
      <c r="B1339" s="8" t="s">
        <v>1075</v>
      </c>
      <c r="C1339" s="6" t="s">
        <v>1816</v>
      </c>
      <c r="D1339" s="7" t="s">
        <v>9752</v>
      </c>
      <c r="E1339" s="1" t="s">
        <v>1262</v>
      </c>
      <c r="F1339" s="1" t="s">
        <v>9004</v>
      </c>
      <c r="G1339" s="1" t="s">
        <v>8983</v>
      </c>
      <c r="J1339" s="1" t="s">
        <v>9753</v>
      </c>
      <c r="L1339" s="3" t="s">
        <v>9827</v>
      </c>
      <c r="M1339" s="1" t="s">
        <v>12127</v>
      </c>
      <c r="P1339" s="7" t="s">
        <v>1241</v>
      </c>
      <c r="Q1339" s="13" t="str">
        <f>INDEX($L:$L, MATCH("depend", $B:$B, 0))</f>
        <v>&lt;span class="w"&gt;&lt;b&gt;【36.depend：頼る, ～次第である】&lt;/b&gt;&lt;/span&gt;
&lt;span class="ml"&gt;ラテン語に由来する語で、以下の2つの要素から成る。
&lt;span class="spacer"&gt;&lt;/span&gt;de（下に）
pendere（ぶら下がる）
&lt;span class="spacer"&gt;&lt;/span&gt;このまま日本語にすると「下にぶら下がる」となる。ある対象をつかんでぶら下がる
というイメージから、対象に「頼る」という意味になる。
&lt;span class="spacer"&gt;&lt;/span&gt;対象頼みということは、ぶら下がっている対象によってその後どうなるかが決まる。そのため「～次第である」という意味になる。
&lt;div class="sample_image depend"&gt;&lt;/div&gt;&lt;/span&gt;</v>
      </c>
      <c r="R1339" s="13" t="str">
        <f>INDEX($L:$L, MATCH("independent", $B:$B, 0))</f>
        <v>&lt;span class="w"&gt;&lt;b&gt;【295.independent：独立している】&lt;/b&gt;&lt;/span&gt;
&lt;span class="ml"&gt;近代英語にできた語で、以下の2つの要素から成る。
&lt;span class="spacer"&gt;&lt;/span&gt;in（否定）
dependent（依存している）
&lt;span class="spacer"&gt;&lt;/span&gt;independentは「相手にぶら下がっていない」というイメージ。相手に依存せず自分で立っている、つまり「独立している」という意味になる。&lt;/span&gt;</v>
      </c>
      <c r="S1339" s="13" t="str">
        <f>INDEX($L:$L, MATCH("suspend", $B:$B, 0))</f>
        <v>&lt;span class="w"&gt;&lt;b&gt;【1228.suspend：〜を一時的に停止する】&lt;/b&gt;&lt;/span&gt;
&lt;span class="ml"&gt;ラテン語に由来する語で、以下の2つの要素から成る。
&lt;span class="spacer"&gt;&lt;/span&gt;sub（下から）
pendere（吊るす）
&lt;span class="spacer"&gt;&lt;/span&gt;このまま日本語にすると「下から吊るす」となる。下から何かを吊ってぶら下げることから「一時的に停止する」という意味になる。
&lt;div class="sample_image suspend"&gt;&lt;/div&gt;&lt;/span&gt;</v>
      </c>
      <c r="T1339" s="13" t="str">
        <f>INDEX($L:$L, MATCH("expense", $B:$B, 0))</f>
        <v>&lt;span class="w"&gt;&lt;b&gt;【545.expense：経費, 費用, 犠牲】&lt;/b&gt;&lt;/span&gt;
&lt;span class="ml"&gt;ラテン語に由来する語で、以下の2つの要素から成る。
&lt;span class="spacer"&gt;&lt;/span&gt;ex（外に）
pendere（吊るす）
&lt;span class="spacer"&gt;&lt;/span&gt;このまま日本語にすると「外に吊るすもの」となる。当時はお金を天秤に吊るし、重さを量ることで支払いが行われたことから、外に吊るすものは支払われるものを表す。ここから「費用, 経費」という意味になった。
&lt;span class="spacer"&gt;&lt;/span&gt;また、お金を支払うことから意味が広がり、時間や労力、健康などの目に見えない価値あるものを支払うことから「犠牲」という意味にもなった。
&lt;span class="spacer"&gt;&lt;/span&gt;expenseから生まれた形容詞がexpensive（高価な）なので、関連させて覚えるとよい。&lt;/span&gt;</v>
      </c>
      <c r="U1339" s="13" t="str">
        <f>INDEX($L:$L, MATCH("pension", $B:$B, 0))</f>
        <v>&lt;span class="w"&gt;&lt;b&gt;【1246.pension：年金】&lt;/b&gt;&lt;/span&gt;
&lt;span class="ml"&gt;ラテン語に由来する語で、以下の2つの要素から成る。
&lt;span class="spacer"&gt;&lt;/span&gt;pendere（吊るす, 量る, 支払う）
io（名詞化）
&lt;span class="spacer"&gt;&lt;/span&gt;このまま日本語にすると「吊るすこと」となる。古代ローマでは、現代のようにお金に書かれた金額を信じるのではなく、金貨や銀貨などを天秤に吊るし、その重さで価値を決めて支払っていた。そこから吊るすという行為が、支払うという行為につながった。
&lt;span class="spacer"&gt;&lt;/span&gt;当初は報酬や手当といった定期的な支払いを表したが、時代が下り、過去の勤務や奉仕に対する定期的な支払い、すなわち「年金」という意味になった。
&lt;div class="sample_image pension"&gt;&lt;/div&gt;&lt;/span&gt;</v>
      </c>
      <c r="V1339" s="13" t="str">
        <f>INDEX($L:$L, MATCH("indispensable", $B:$B, 0))</f>
        <v>&lt;span class="w"&gt;&lt;b&gt;【1383.indispensable：不可欠な】&lt;/b&gt;&lt;/span&gt;
&lt;span class="ml"&gt;ラテン語に由来する語で、以下の3つの要素から成る。
&lt;span class="spacer"&gt;&lt;/span&gt;in（否定）
dispensare（免除を与える）
bilis（～できる）
&lt;span class="spacer"&gt;&lt;/span&gt;indispensableの意味を理解するには、まず動詞dispense（配る, なしで済ませる）から覚える必要がある。
&lt;span class="spacer"&gt;&lt;/span&gt;&lt;strong&gt;［dispenseの語源］&lt;/strong&gt;
英語dispense（配る, なしで済ませる）の語源であるラテン語dispensare（免除の許可を与える）は、dis（離れて）＋pendere（吊るす）に由来する。
&lt;span class="spacer"&gt;&lt;/span&gt;昔はお金を支払う際、天秤にお金を吊るして重さを量り、必要な分を分けて与えていたため、ラテン語dispensareは、お金を支払うこと・何かを管理して分け与えることを表した。それが英語dispenseには「配る」という意味で残っている。
&lt;span class="spacer"&gt;&lt;/span&gt;また、管理して何かを分け与えるという意味が、当時の教会や法律の文脈において、対象に義務や罰からの免除を与えるという意味で使われるようになった。そのため、英語dispenseは「なしで済ませる」という意味を持っている。
&lt;span class="spacer"&gt;&lt;/span&gt;&lt;strong&gt;［dispensableとindispensableへ］&lt;/strong&gt;
ラテン語dispensare （免除を与える）にbills（〜できる）が付くことで、免除を与えることができる、つまり「何かをなしで済ませることができる」となる（英語dispensable）。
&lt;span class="spacer"&gt;&lt;/span&gt;さらにそこにin（否定）が付くことで、免除できない、すなわち「それなしでは済ませられない」＝「不可欠な」という意味になる（英語indispensable）。&lt;/span&gt;</v>
      </c>
      <c r="AU1339" s="15"/>
      <c r="AV1339" s="1" t="s">
        <v>38</v>
      </c>
      <c r="BG1339" s="7" t="s">
        <v>1242</v>
      </c>
      <c r="BH1339" s="1" t="s">
        <v>1947</v>
      </c>
      <c r="BI1339" s="2" t="s">
        <v>6542</v>
      </c>
      <c r="BJ1339" s="1" t="s">
        <v>1875</v>
      </c>
      <c r="BK1339" s="1" t="s">
        <v>6543</v>
      </c>
      <c r="BL1339" s="1" t="s">
        <v>1877</v>
      </c>
      <c r="BM1339" s="2" t="s">
        <v>6544</v>
      </c>
    </row>
    <row r="1340" spans="1:67" ht="198" x14ac:dyDescent="0.45">
      <c r="A1340" s="5">
        <v>1339</v>
      </c>
      <c r="B1340" s="6" t="s">
        <v>1076</v>
      </c>
      <c r="C1340" s="6" t="s">
        <v>1816</v>
      </c>
      <c r="D1340" s="7" t="s">
        <v>9752</v>
      </c>
      <c r="E1340" s="1" t="s">
        <v>1467</v>
      </c>
      <c r="F1340" s="1" t="s">
        <v>5837</v>
      </c>
      <c r="G1340" s="1"/>
      <c r="J1340" s="1" t="s">
        <v>9753</v>
      </c>
      <c r="L1340" s="3" t="s">
        <v>9828</v>
      </c>
      <c r="P1340" s="7" t="s">
        <v>1241</v>
      </c>
      <c r="Q1340" s="13" t="str">
        <f>INDEX($L:$L, MATCH("enterprise", $B:$B, 0))</f>
        <v>&lt;span class="w"&gt;&lt;b&gt;【1143.enterprise：企業, 事業】&lt;/b&gt;&lt;/span&gt;
&lt;span class="ml"&gt;フランス語に由来する語で、以下の2つの要素から成る。
&lt;span class="spacer"&gt;&lt;/span&gt;entre（間に）
prendre（取る）
&lt;span class="spacer"&gt;&lt;/span&gt;この語の核は「対象の中に踏み込んで手を出してつかむ」＝「何かに取りかかる・何かを引き受ける」。つかんだ物事に対して行動することから、何かに着手することや企てという意味が生じ、さらに規模が大きく計画的・継続的な企てへと発展した。そして「事業」や「企業」という意味になった。&lt;/span&gt;</v>
      </c>
      <c r="R1340" s="13" t="str">
        <f>INDEX($L:$L, MATCH("comprehend", $B:$B, 0))</f>
        <v>&lt;span class="w"&gt;&lt;b&gt;【1420.comprehend：〜を理解する】&lt;/b&gt;&lt;/span&gt;
&lt;span class="ml"&gt;ラテン語
com（完全に）＋pre（前に）＋hendere（つかむ）
&lt;span class="spacer"&gt;&lt;/span&gt;このまま日本語にすると「完全に手を前に伸ばしてつかむ」となる。物理的にしっかりつかみ取ることから比喩的に、対象の理屈や全体像を自分の頭でギュッと掴み取るイメージになり、&lt;strong&gt;物事全体を&lt;/strong&gt;心でしっかりつかんで「理解する」という意味になる。
&lt;div class="sample_image comprehend"&gt;&lt;/div&gt;
&lt;span class="spacer"&gt;&lt;/span&gt;形容詞comprehensiveは「包括的な, 総合的な」という、物事全体を広く包み込むような意味になる。これは、comprehendが単に理解するだけではなく、&lt;strong&gt;物事の全体像&lt;/strong&gt;をしっかり把握することを表すのと共通している。どちらにも「全体をまとめてつかむ」という核となるイメージがある。&lt;/span&gt;</v>
      </c>
      <c r="AU1340" s="15"/>
      <c r="AV1340" s="1" t="s">
        <v>38</v>
      </c>
      <c r="BG1340" s="7" t="s">
        <v>1242</v>
      </c>
      <c r="BH1340" s="1" t="s">
        <v>1947</v>
      </c>
      <c r="BI1340" s="2" t="s">
        <v>6545</v>
      </c>
      <c r="BJ1340" s="1" t="s">
        <v>1959</v>
      </c>
      <c r="BK1340" s="2" t="s">
        <v>6546</v>
      </c>
      <c r="BL1340" s="1" t="s">
        <v>1875</v>
      </c>
      <c r="BM1340" s="2" t="s">
        <v>6547</v>
      </c>
      <c r="BN1340" s="1" t="s">
        <v>1877</v>
      </c>
      <c r="BO1340" s="2" t="s">
        <v>6548</v>
      </c>
    </row>
    <row r="1341" spans="1:67" ht="198" x14ac:dyDescent="0.45">
      <c r="A1341" s="5">
        <v>1340</v>
      </c>
      <c r="B1341" s="8" t="s">
        <v>1077</v>
      </c>
      <c r="C1341" s="6" t="s">
        <v>1816</v>
      </c>
      <c r="D1341" s="7" t="s">
        <v>9752</v>
      </c>
      <c r="E1341" s="1" t="s">
        <v>1338</v>
      </c>
      <c r="F1341" s="1" t="s">
        <v>1903</v>
      </c>
      <c r="G1341" s="1"/>
      <c r="J1341" s="1" t="s">
        <v>9753</v>
      </c>
      <c r="L1341" s="3" t="s">
        <v>9829</v>
      </c>
      <c r="M1341" s="1" t="s">
        <v>12134</v>
      </c>
      <c r="P1341" s="7" t="s">
        <v>1241</v>
      </c>
      <c r="Q1341" s="13" t="str">
        <f>INDEX($L:$L, MATCH("value", $B:$B, 0))</f>
        <v>&lt;span class="w"&gt;&lt;b&gt;【55.value：価値, 評価, 値】&lt;/b&gt;&lt;/span&gt;
&lt;span class="ml"&gt;ラテン語valere（価値がある, 強い）に由来する。
&lt;span class="spacer"&gt;&lt;/span&gt;価値があるという動詞から名詞になり、「価値, 評価, 値」という意味になる。&lt;/span&gt;</v>
      </c>
      <c r="R1341" s="13" t="str">
        <f>INDEX($L:$L, MATCH("available", $B:$B, 0))</f>
        <v>&lt;span class="w"&gt;&lt;b&gt;【93.available：利用できる, 手に入る】&lt;/b&gt;&lt;/span&gt;
&lt;span class="ml"&gt;ラテン語と古フランス語に由来する語で、以下の3つの要素から成る。
&lt;span class="spacer"&gt;&lt;/span&gt;a（〜へ）
valoir（価値がある：ラテン語valere）
&lt;span class="obsolete"&gt;able（できる）は英語段階で付いた&lt;/span&gt;
&lt;span class="spacer"&gt;&lt;/span&gt;aとvaloirから「何かに対して価値がある」つまり「何かに役立つ, 有用である（avail）」となる。役立つということは、必要なときに使える状態でなければならない（使えなければ役立たない）。ここから「手に入る」そして「利用できる」という意味になる。&lt;/span&gt;</v>
      </c>
      <c r="S1341" s="13" t="str">
        <f>INDEX($L:$L, MATCH("equivalent", $B:$B, 0))</f>
        <v>&lt;span class="w"&gt;&lt;b&gt;【685.equivalent：同等の, 相当する】&lt;/b&gt;&lt;/span&gt;
&lt;span class="ml"&gt;ラテン語に由来する語で、以下の2つの要素から成る。
&lt;span class="spacer"&gt;&lt;/span&gt;aequus（等しい）
valere（価値がある）
&lt;span class="spacer"&gt;&lt;/span&gt;このまま日本語にすると「等しい価値がある」となる。ここから「同等の, 相当する」という意味になる。
&lt;span class="spacer"&gt;&lt;/span&gt;equal：AとBが完全に一致
equivalent：AとBは別物だが同等/span&gt;</v>
      </c>
      <c r="T1341" s="13" t="str">
        <f>INDEX($L:$L, MATCH("evaluate", $B:$B, 0))</f>
        <v>&lt;span class="w"&gt;&lt;b&gt;【719.evaluate：〜を評価する, 〜を査定する】&lt;/b&gt;&lt;/span&gt;
&lt;span class="ml"&gt;古フランス語に由来し、以下の2つの要素から成る。
&lt;span class="spacer"&gt;&lt;/span&gt;é（外へ）
valuer（価値を置く）
&lt;span class="spacer"&gt;&lt;/span&gt;このまま日本語にすると「外へ価値を置く」となる。つまり何かの価値を見出すことを表して「評価する, 査定する」という意味になる。&lt;/span&gt;</v>
      </c>
      <c r="U1341" s="13" t="str">
        <f>INDEX($L:$L, MATCH("valid", $B:$B, 0))</f>
        <v>&lt;span class="w"&gt;&lt;b&gt;【1080.valid：妥当な, 正当な, 有効な】&lt;/b&gt;&lt;/span&gt;
&lt;span class="ml"&gt;ラテン語に由来する語で、以下の2つの要素から成る。
&lt;span class="spacer"&gt;&lt;/span&gt;valere（強い, 力がある）
idus（形容詞化）
&lt;span class="spacer"&gt;&lt;/span&gt;この語の核は「強い状態にある」「力を持っている」。法律・ルール・条件などを満たして力を持っている状態から「有効な」という意味になる。また、意見や主張などが論理的に頑丈で崩れることのない強い状態にあることから「正当な, 妥当な」という意味になる。
&lt;div class="sample_image valid"&gt;&lt;/div&gt;&lt;/span&gt;</v>
      </c>
      <c r="AU1341" s="15"/>
      <c r="AV1341" s="1" t="s">
        <v>38</v>
      </c>
      <c r="BG1341" s="7" t="s">
        <v>1242</v>
      </c>
      <c r="BH1341" s="1" t="s">
        <v>1947</v>
      </c>
      <c r="BI1341" s="2" t="s">
        <v>6549</v>
      </c>
      <c r="BJ1341" s="1" t="s">
        <v>1959</v>
      </c>
      <c r="BK1341" s="1" t="s">
        <v>6550</v>
      </c>
      <c r="BL1341" s="1" t="s">
        <v>1875</v>
      </c>
      <c r="BM1341" s="2" t="s">
        <v>6551</v>
      </c>
      <c r="BN1341" s="1" t="s">
        <v>1877</v>
      </c>
      <c r="BO1341" s="2" t="s">
        <v>6552</v>
      </c>
    </row>
    <row r="1342" spans="1:67" ht="126" x14ac:dyDescent="0.45">
      <c r="A1342" s="5">
        <v>1341</v>
      </c>
      <c r="B1342" s="8" t="s">
        <v>1078</v>
      </c>
      <c r="C1342" s="6" t="s">
        <v>6850</v>
      </c>
      <c r="D1342" s="7" t="s">
        <v>9752</v>
      </c>
      <c r="E1342" s="1" t="s">
        <v>1078</v>
      </c>
      <c r="F1342" s="1"/>
      <c r="G1342" s="1"/>
      <c r="J1342" s="1" t="s">
        <v>9753</v>
      </c>
      <c r="L1342" s="2" t="s">
        <v>9830</v>
      </c>
      <c r="M1342" s="1" t="s">
        <v>12116</v>
      </c>
      <c r="P1342" s="7" t="s">
        <v>1241</v>
      </c>
      <c r="Q1342" s="13" t="str">
        <f>INDEX($L:$L, MATCH("require", $B:$B, 0))</f>
        <v>&lt;span class="w"&gt;&lt;b&gt;【13.require：～を要求する】&lt;/b&gt;&lt;/span&gt;
&lt;span class="ml"&gt;ラテン語に由来する語で、以下の2つの要素から成る。
&lt;span class="spacer"&gt;&lt;/span&gt;re（繰り返し）
quaerere（尋ねる, 求める, 探す）
&lt;span class="spacer"&gt;&lt;/span&gt;このまま日本語にすると「繰り返し求める」となり、ここから「要求する」という意味になる。
&lt;span class="spacer"&gt;&lt;/span&gt;requireはrequest（リクエスト）と同じ語源に遡るため、一緒に覚えておく。
request：依頼
require：規則や条件に基づく要求&lt;/span&gt;</v>
      </c>
      <c r="R1342" s="13" t="str">
        <f>INDEX($L:$L, MATCH("acquire", $B:$B, 0))</f>
        <v>&lt;span class="w"&gt;&lt;b&gt;【315.acquire：～を得る, ～を獲得する】&lt;/b&gt;&lt;/span&gt;
&lt;span class="ml"&gt;ラテン語に由来する語で、以下の2つの要素から成る。
&lt;span class="spacer"&gt;&lt;/span&gt;ad（～へ）
quaerere（追い求める）
&lt;span class="spacer"&gt;&lt;/span&gt;このまま日本語にすると「〜へ追い求める」となる。acが求める物の方向へ突き進むイメージで、ただ追い求めるだけではなく、その結果の「得る, 獲得する」という意味にまで至る。
&lt;div class="sample_image acquire"&gt;&lt;/div&gt;&lt;/span&gt;</v>
      </c>
      <c r="S1342" s="13" t="str">
        <f>INDEX($L:$L, MATCH("conquer", $B:$B, 0))</f>
        <v>&lt;span class="w"&gt;&lt;b&gt;【1404.conquer：〜を征服する, 〜を克服する】&lt;/b&gt;&lt;/span&gt;
&lt;span class="ml"&gt;ラテン語に由来する語で、以下の2つの要素から成る。
&lt;span class="spacer"&gt;&lt;/span&gt;com（強意）
quaerere（求める）
&lt;span class="spacer"&gt;&lt;/span&gt;このまま日本語にすると「徹底的に探し求める」となる。そこから、苦労して探し求めて自分のものにする、多大な努力をして獲得するという意味合いに変化し、やがて武力で「征服する」や困難を乗り越えて「克服する」という意味になった。
&lt;div class="sample_image conquer"&gt;&lt;/div&gt;&lt;/span&gt;</v>
      </c>
      <c r="T1342" s="13" t="str">
        <f>INDEX($L:$L, MATCH("request", $B:$B, 0))</f>
        <v>&lt;span class="w"&gt;&lt;b&gt;【504.request：〜に（…するように）頼む, 〜を要請する】&lt;/b&gt;&lt;/span&gt;
&lt;span class="ml"&gt;ラテン語に由来する語で、以下の2つの要素から成る。
&lt;span class="spacer"&gt;&lt;/span&gt;re（再び）
quaerere（求める）
&lt;span class="spacer"&gt;&lt;/span&gt;このまま日本語にすると「再び求める」となる。相手に繰り返し求めることから、相手への依頼＝「〜に頼む, 要請する」という意味になる。
&lt;span class="spacer"&gt;&lt;/span&gt;requestとrequireは同じ語源に遡る。
&lt;span class="spacer"&gt;&lt;/span&gt;request：依頼
require：規則や条件に基づく要求&lt;/span&gt;</v>
      </c>
      <c r="AU1342" s="15"/>
      <c r="AV1342" s="1" t="s">
        <v>38</v>
      </c>
      <c r="BG1342" s="7" t="s">
        <v>1242</v>
      </c>
      <c r="BH1342" s="1" t="s">
        <v>1947</v>
      </c>
      <c r="BI1342" s="2" t="s">
        <v>6553</v>
      </c>
      <c r="BJ1342" s="1" t="s">
        <v>1967</v>
      </c>
      <c r="BK1342" s="1" t="s">
        <v>6554</v>
      </c>
      <c r="BL1342" s="1" t="s">
        <v>1959</v>
      </c>
      <c r="BM1342" s="2" t="s">
        <v>6555</v>
      </c>
      <c r="BN1342" s="1" t="s">
        <v>1875</v>
      </c>
      <c r="BO1342" s="2" t="s">
        <v>6556</v>
      </c>
    </row>
    <row r="1343" spans="1:67" ht="162" x14ac:dyDescent="0.45">
      <c r="A1343" s="5">
        <v>1342</v>
      </c>
      <c r="B1343" s="6" t="s">
        <v>1079</v>
      </c>
      <c r="C1343" s="6" t="s">
        <v>6850</v>
      </c>
      <c r="D1343" s="7" t="s">
        <v>9752</v>
      </c>
      <c r="E1343" s="1" t="s">
        <v>6557</v>
      </c>
      <c r="F1343" s="1" t="s">
        <v>1474</v>
      </c>
      <c r="G1343" s="1"/>
      <c r="J1343" s="1" t="s">
        <v>9753</v>
      </c>
      <c r="L1343" s="3" t="s">
        <v>9858</v>
      </c>
      <c r="P1343" s="7" t="s">
        <v>1241</v>
      </c>
      <c r="AU1343" s="15"/>
      <c r="AV1343" s="1" t="s">
        <v>38</v>
      </c>
      <c r="BG1343" s="7" t="s">
        <v>1242</v>
      </c>
      <c r="BH1343" s="1" t="s">
        <v>1947</v>
      </c>
      <c r="BI1343" s="2" t="s">
        <v>9859</v>
      </c>
      <c r="BJ1343" s="1" t="s">
        <v>1959</v>
      </c>
      <c r="BK1343" s="1" t="s">
        <v>6558</v>
      </c>
      <c r="BL1343" s="1" t="s">
        <v>1875</v>
      </c>
      <c r="BM1343" s="2" t="s">
        <v>6559</v>
      </c>
    </row>
    <row r="1344" spans="1:67" ht="216" x14ac:dyDescent="0.45">
      <c r="A1344" s="5">
        <v>1343</v>
      </c>
      <c r="B1344" s="8" t="s">
        <v>1080</v>
      </c>
      <c r="C1344" s="6" t="s">
        <v>6850</v>
      </c>
      <c r="D1344" s="7" t="s">
        <v>9752</v>
      </c>
      <c r="E1344" s="1" t="s">
        <v>6560</v>
      </c>
      <c r="F1344" s="1" t="s">
        <v>1720</v>
      </c>
      <c r="G1344" s="1" t="s">
        <v>1584</v>
      </c>
      <c r="J1344" s="1" t="s">
        <v>9753</v>
      </c>
      <c r="L1344" s="3" t="s">
        <v>9860</v>
      </c>
      <c r="P1344" s="7" t="s">
        <v>1241</v>
      </c>
      <c r="Q1344" s="13" t="str">
        <f>INDEX($L:$L, MATCH("crisis", $B:$B, 0))</f>
        <v>&lt;span class="w"&gt;&lt;b&gt;【366.crisis：危機】&lt;/b&gt;&lt;/span&gt;
&lt;span class="ml"&gt;ギリシャ語に由来する語で、以下の2つの要素から成る。
&lt;span class="spacer"&gt;&lt;/span&gt;krinein（分ける）
sis（名詞化）
&lt;span class="spacer"&gt;&lt;/span&gt;このまま日本語にすると「分けること」となる。もともとは医療において、病気からの回復か死かを分ける点という意味で使われていた。ここから医療に限らず、物事の危機的な状況＝「危機」という意味になる。
&lt;div class="sample_image crisis"&gt;&lt;/div&gt;&lt;/span&gt;</v>
      </c>
      <c r="R1344" s="13" t="str">
        <f>INDEX($L:$L, MATCH("criticize", $B:$B, 0))</f>
        <v>&lt;span class="w"&gt;&lt;b&gt;【505.criticize：〜を批評する, 〜を批判する】&lt;/b&gt;&lt;/span&gt;
&lt;span class="ml"&gt;近代英語にさかのぼり、以下の2つの要素から成る。
&lt;span class="spacer"&gt;&lt;/span&gt;critic（批評家）
ize（動詞化）
&lt;span class="spacer"&gt;&lt;/span&gt;［criticの語源］
印欧祖語*krei-（ふるいにかける）にさかのぼり、ギリシャ語krinein（分ける, 判断する）に由来する。良いものと悪いものを分ける、区別する、判断するといった意味を経て、良し悪しを判断する者＝「批評家」という意味になった。
&lt;span class="spacer"&gt;&lt;/span&gt;［criticize］
近代英語において、critic（良し悪しを判断する者）に動詞を作る-izeが付いて「批評する」という意味になった。さらに、評価の中でも特に欠点を指摘する意味が強まって「 批判する」という意味になった。&lt;/span&gt;</v>
      </c>
      <c r="AV1344" s="1" t="s">
        <v>38</v>
      </c>
      <c r="BG1344" s="7" t="s">
        <v>1242</v>
      </c>
      <c r="BH1344" s="1" t="s">
        <v>1976</v>
      </c>
      <c r="BI1344" s="1" t="s">
        <v>3523</v>
      </c>
      <c r="BJ1344" s="1" t="s">
        <v>2458</v>
      </c>
      <c r="BK1344" s="2" t="s">
        <v>6561</v>
      </c>
      <c r="BL1344" s="1" t="s">
        <v>1877</v>
      </c>
      <c r="BM1344" s="2" t="s">
        <v>6562</v>
      </c>
    </row>
    <row r="1345" spans="1:71" ht="396" x14ac:dyDescent="0.45">
      <c r="A1345" s="5">
        <v>1344</v>
      </c>
      <c r="B1345" s="6" t="s">
        <v>1081</v>
      </c>
      <c r="C1345" s="6" t="s">
        <v>6850</v>
      </c>
      <c r="D1345" s="7" t="s">
        <v>9752</v>
      </c>
      <c r="E1345" s="1" t="s">
        <v>5987</v>
      </c>
      <c r="F1345" s="1" t="s">
        <v>6563</v>
      </c>
      <c r="G1345" s="1"/>
      <c r="J1345" s="1" t="s">
        <v>9753</v>
      </c>
      <c r="K1345" s="2" t="s">
        <v>9831</v>
      </c>
      <c r="L1345" s="2" t="s">
        <v>9832</v>
      </c>
      <c r="P1345" s="7" t="s">
        <v>1241</v>
      </c>
      <c r="AU1345" s="15"/>
      <c r="AV1345" s="1" t="s">
        <v>38</v>
      </c>
      <c r="BG1345" s="7" t="s">
        <v>1242</v>
      </c>
      <c r="BH1345" s="1" t="s">
        <v>2458</v>
      </c>
      <c r="BI1345" s="2" t="s">
        <v>9833</v>
      </c>
      <c r="BJ1345" s="1" t="s">
        <v>1947</v>
      </c>
      <c r="BK1345" s="1" t="s">
        <v>6564</v>
      </c>
      <c r="BL1345" s="1" t="s">
        <v>1959</v>
      </c>
      <c r="BM1345" s="2" t="s">
        <v>6565</v>
      </c>
      <c r="BN1345" s="1" t="s">
        <v>1877</v>
      </c>
      <c r="BO1345" s="2" t="s">
        <v>6566</v>
      </c>
      <c r="BP1345" s="1" t="s">
        <v>3496</v>
      </c>
      <c r="BQ1345" s="2" t="s">
        <v>6567</v>
      </c>
    </row>
    <row r="1346" spans="1:71" ht="126" x14ac:dyDescent="0.45">
      <c r="A1346" s="5">
        <v>1345</v>
      </c>
      <c r="B1346" s="6" t="s">
        <v>1082</v>
      </c>
      <c r="C1346" s="6" t="s">
        <v>6850</v>
      </c>
      <c r="D1346" s="7" t="s">
        <v>9752</v>
      </c>
      <c r="E1346" s="1" t="s">
        <v>6568</v>
      </c>
      <c r="F1346" s="1" t="s">
        <v>1517</v>
      </c>
      <c r="G1346" s="1"/>
      <c r="J1346" s="1" t="s">
        <v>9753</v>
      </c>
      <c r="L1346" s="2" t="s">
        <v>9834</v>
      </c>
      <c r="P1346" s="7" t="s">
        <v>1241</v>
      </c>
      <c r="AU1346" s="15"/>
      <c r="AV1346" s="1" t="s">
        <v>38</v>
      </c>
      <c r="BG1346" s="7" t="s">
        <v>1242</v>
      </c>
      <c r="BH1346" s="1" t="s">
        <v>1959</v>
      </c>
      <c r="BI1346" s="2" t="s">
        <v>9835</v>
      </c>
      <c r="BJ1346" s="1" t="s">
        <v>1875</v>
      </c>
      <c r="BK1346" s="2" t="s">
        <v>6569</v>
      </c>
    </row>
    <row r="1347" spans="1:71" ht="180" x14ac:dyDescent="0.45">
      <c r="A1347" s="5">
        <v>1346</v>
      </c>
      <c r="B1347" s="8" t="s">
        <v>1083</v>
      </c>
      <c r="C1347" s="6" t="s">
        <v>6850</v>
      </c>
      <c r="D1347" s="7" t="s">
        <v>9752</v>
      </c>
      <c r="E1347" s="1" t="s">
        <v>6570</v>
      </c>
      <c r="F1347" s="1" t="s">
        <v>6571</v>
      </c>
      <c r="G1347" s="1"/>
      <c r="J1347" s="1" t="s">
        <v>9753</v>
      </c>
      <c r="L1347" s="3" t="s">
        <v>9836</v>
      </c>
      <c r="M1347" s="1" t="s">
        <v>12124</v>
      </c>
      <c r="P1347" s="7" t="s">
        <v>1241</v>
      </c>
      <c r="Q1347" s="13" t="str">
        <f>INDEX($L:$L, MATCH("relate", $B:$B, 0))</f>
        <v>&lt;span class="w"&gt;&lt;b&gt;【28.relate：～を関連づける, 関連する】&lt;/b&gt;&lt;/span&gt;
&lt;span class="ml"&gt;ラテン語に由来する語で、以下の2つの要素から成る。
&lt;span class="spacer"&gt;&lt;/span&gt;re（再び）
ferre（運ぶ）の過去分詞latus
&lt;span class="spacer"&gt;&lt;/span&gt;このまま日本語にすると「再び運ぶ」となる。これは場所Aから場所Bへ移動し、そこで何かを取り、再び元の場所Aへ運ぶというイメージ。このようなAとBの間で何かを送り合う関係を作る行動から、AとBを結び付ける、AとBが結びついている＝「関連付ける, 関連している」という意味になる。
&lt;div class="sample_image relate"&gt;&lt;/div&gt;
&lt;span class="spacer"&gt;&lt;/span&gt;このラテン語はrefer（言及する, 参照する）の語源でもあるので関連させて覚える。&lt;/span&gt;</v>
      </c>
      <c r="R1347" s="13" t="str">
        <f>INDEX($L:$L, MATCH("translate", $B:$B, 0))</f>
        <v>&lt;span class="w"&gt;&lt;b&gt;【502.translate：〜を翻訳する】&lt;/b&gt;&lt;/span&gt;
&lt;span class="ml"&gt;ラテン語に由来する語で、以下の2つの要素から成る。
&lt;span class="spacer"&gt;&lt;/span&gt;trans（越えて）
ferre（運ぶ）の過去分詞latus
&lt;span class="spacer"&gt;&lt;/span&gt;このまま日本語にすると「越えて運ぶ」となる。何かがある場所から別の場所へ運ばれるという物理的な移動から、ある言語が別の言語へ運ばれる、つまり「翻訳する」という意味になった。
&lt;div class="sample_image translate"&gt;&lt;/div&gt;&lt;/span&gt;</v>
      </c>
      <c r="S1347" s="13" t="str">
        <f>INDEX($L:$L, MATCH("correlation", $B:$B, 0))</f>
        <v>&lt;span class="w"&gt;&lt;b&gt;【778.correlation：相互関係, 相関】&lt;/b&gt;&lt;/span&gt;
&lt;span class="ml"&gt;フランス語に由来する語で、以下の2つの要素から成る。
&lt;span class="spacer"&gt;&lt;/span&gt;com（共に）
relation（つながり）
&lt;span class="spacer"&gt;&lt;/span&gt;この語の核は「共につながりがある状態」。AとBがあるとき、AからBへのつながりがあり、BからAへのつながりもある状態。そこから「相互関係, 相関」という意味になる。&lt;/span&gt;</v>
      </c>
      <c r="T1347" s="13" t="str">
        <f>INDEX($L:$L, MATCH("unrelated", $B:$B, 0))</f>
        <v>&lt;span class="w"&gt;&lt;b&gt;【992.unrelated：無関係の, 血縁関係がない】&lt;/b&gt;&lt;/span&gt;
&lt;span class="ml"&gt;近代英語にさかのぼり、以下の2つの要素から成る。
&lt;span class="spacer"&gt;&lt;/span&gt;un（否定）
related（関係のある）
&lt;span class="spacer"&gt;&lt;/span&gt;このまま日本語にすると「無関係の, 血縁関係がない」という意味になる。&lt;/span&gt;</v>
      </c>
      <c r="AU1347" s="15"/>
      <c r="AV1347" s="1" t="s">
        <v>38</v>
      </c>
      <c r="BG1347" s="7" t="s">
        <v>1242</v>
      </c>
      <c r="BH1347" s="1" t="s">
        <v>1947</v>
      </c>
      <c r="BI1347" s="2" t="s">
        <v>6572</v>
      </c>
      <c r="BJ1347" s="1" t="s">
        <v>2036</v>
      </c>
      <c r="BK1347" s="1" t="s">
        <v>6573</v>
      </c>
      <c r="BL1347" s="1" t="s">
        <v>1959</v>
      </c>
      <c r="BM1347" s="2" t="s">
        <v>6574</v>
      </c>
      <c r="BN1347" s="2" t="s">
        <v>1877</v>
      </c>
      <c r="BO1347" s="2" t="s">
        <v>6575</v>
      </c>
    </row>
    <row r="1348" spans="1:71" ht="252" x14ac:dyDescent="0.45">
      <c r="A1348" s="5">
        <v>1347</v>
      </c>
      <c r="B1348" s="8" t="s">
        <v>1084</v>
      </c>
      <c r="C1348" s="6" t="s">
        <v>6850</v>
      </c>
      <c r="D1348" s="7" t="s">
        <v>9752</v>
      </c>
      <c r="E1348" s="1" t="s">
        <v>1084</v>
      </c>
      <c r="F1348" s="1"/>
      <c r="G1348" s="1"/>
      <c r="J1348" s="1" t="s">
        <v>9753</v>
      </c>
      <c r="L1348" s="3" t="s">
        <v>9861</v>
      </c>
      <c r="M1348" s="1" t="s">
        <v>12215</v>
      </c>
      <c r="P1348" s="7" t="s">
        <v>1241</v>
      </c>
      <c r="Q1348" s="13" t="str">
        <f>INDEX($L:$L, MATCH("active", $B:$B, 0))</f>
        <v>&lt;span class="w"&gt;&lt;b&gt;【193.active：積極的な, 活動的な】&lt;/b&gt;&lt;/span&gt;
&lt;span class="ml"&gt;ラテン語に由来する語で、以下の2つの要素から成る。
&lt;span class="spacer"&gt;&lt;/span&gt;agere（行う）の過去分詞actus（行為）
ivus（形容詞化）
&lt;span class="spacer"&gt;&lt;/span&gt;この形容詞は何かの行為をしている状態を表し、そこから「活動的な」という意味になる。また自分で進んで活動することから「積極的な」という意味にもなる。&lt;/span&gt;</v>
      </c>
      <c r="R1348" s="13" t="str">
        <f>INDEX($L:$L, MATCH("actual", $B:$B, 0))</f>
        <v>&lt;span class="w"&gt;&lt;b&gt;【297.actual：実際の, 現実の】&lt;/b&gt;&lt;/span&gt;
&lt;span class="ml"&gt;ラテン語に由来する語で、以下の2つの要素から成る。
&lt;span class="spacer"&gt;&lt;/span&gt;agere（行う）から派生したactus（行為）
alis（形容詞化）
&lt;span class="spacer"&gt;&lt;/span&gt;「行為に関する」という形容詞は、理想（ideal）や潜在（potential）ではなく、現実に行われたということを意味する。ここから「実際の, 現実の」となる。&lt;/span&gt;</v>
      </c>
      <c r="S1348" s="13" t="str">
        <f>INDEX($L:$L, MATCH("transaction", $B:$B, 0))</f>
        <v>&lt;span class="w"&gt;&lt;b&gt;【1447.transaction：（商）取引, 決済, 処理】&lt;/b&gt;&lt;/span&gt;
&lt;span class="ml"&gt;ラテン語に由来する語で、以下の3つの要素から成る。
&lt;span class="spacer"&gt;&lt;/span&gt;trans（越えて, 通して）
agere（動かす, 行う）
io（名詞化）
&lt;span class="spacer"&gt;&lt;/span&gt;このまま日本語にすると「（物事を最後まで）通して行うこと」となる。もともとは、何かを最後までやり遂げることを表した。そこから、業務や契約などの正式な「処理」、さらに商業における「取引」や「決済」も意味するようになった。
&lt;div class="sample_image transaction"&gt;&lt;/div&gt;&lt;/span&gt;</v>
      </c>
      <c r="T1348" s="13" t="str">
        <f>INDEX($L:$L, MATCH("interact", $B:$B, 0))</f>
        <v>&lt;span class="w"&gt;&lt;b&gt;【537.interact：影響し合う, 相互に作用する】&lt;/b&gt;&lt;/span&gt;
&lt;span class="ml"&gt;近代英語にさかのぼり、以下の2つの要素から成る。
&lt;span class="spacer"&gt;&lt;/span&gt;inter（〜の間に）
act（行う, 作用する）
&lt;span class="spacer"&gt;&lt;/span&gt;このまま日本語にすると「何かと何かの間で作用する」となる。ここから「お互いが影響し合う」や「相互に作用する」という意味になる。&lt;/span&gt;</v>
      </c>
      <c r="U1348" s="13" t="str">
        <f>INDEX($L:$L, MATCH("exact", $B:$B, 0))</f>
        <v>&lt;span class="w"&gt;&lt;b&gt;【598.exact：正確な, まさにその】&lt;/b&gt;&lt;/span&gt;
&lt;span class="ml"&gt;ラテン語に由来する語で、以下の2つの要素から成る。
&lt;span class="spacer"&gt;&lt;/span&gt;ex（外へ）
agere（動かす, 駆り立てる）
&lt;span class="spacer"&gt;&lt;/span&gt;このまま日本語にすると「外へ駆り立てる」となる。これは、物事を最後まで徹底的にやり切らせることを表した。そこから、抜けや不足がなく徹底的に行われて完了したことを表すようになり、「正確な, まさにその」という意味へとつながった。&lt;/span&gt;</v>
      </c>
      <c r="V1348" s="13" t="str">
        <f>INDEX($L:$L, MATCH("react", $B:$B, 0))</f>
        <v>&lt;span class="w"&gt;&lt;b&gt;【605.react：反応する】&lt;/b&gt;&lt;/span&gt;
&lt;span class="ml"&gt;近代英語にさかのぼり、以下の2つの要素から成る。
&lt;span class="spacer"&gt;&lt;/span&gt;re（後ろへ, 返して）
act（行う）
&lt;span class="spacer"&gt;&lt;/span&gt;このまま日本語にすると「何かに返して行う」となる。出来事や行為に対して何かを行うことから「反応する」という意味になる。&lt;/span&gt;</v>
      </c>
      <c r="W1348" s="13" t="str">
        <f>INDEX($L:$L, MATCH("agent", $B:$B, 0))</f>
        <v>&lt;span class="w"&gt;&lt;b&gt;【752.agent：仲介者, 代理人】&lt;/b&gt;&lt;/span&gt;
&lt;span class="ml"&gt;ラテン語に由来する語で、以下の2つの要素から成る。
&lt;span class="spacer"&gt;&lt;/span&gt;agere（行う）
ens（現在分詞を作る：〜しているもの）
&lt;span class="spacer"&gt;&lt;/span&gt;このまま日本語にすると「何かを行なっているもの」となる。もともとは行為者を表していたが、そこから誰かに代わって行動する者、すなわち「代理人, 仲介者」という意味になった。また「特定の作用を引き起こす原因となる物質や力」という意味もある。&lt;/span&gt;</v>
      </c>
      <c r="X1348" s="13" t="str">
        <f>INDEX($L:$L, MATCH("ambiguous", $B:$B, 0))</f>
        <v>&lt;span class="w"&gt;&lt;b&gt;【1386.ambiguous：あいまいな, 多義的な】&lt;/b&gt;&lt;/span&gt;
&lt;span class="ml"&gt;ラテン語に由来する語で、以下の3つの要素から成る。
&lt;span class="spacer"&gt;&lt;/span&gt;ambi（～の周りに）
agere（駆り立てる, 行う）
us（形容詞化）
&lt;span class="spacer"&gt;&lt;/span&gt;もともとは、あちこち行き来するというような動きや、どちらにも決められず心が揺れ動く状態を表した。このような、どちらの方向にも動けて方向が定まらない、心がふらふらして一つの場所に定まらないという本来のイメージから転じて、言葉や態度がはっきりひとつの意味に定まらず「あいまいな, 多義的な」という意味になった。
&lt;div class="sample_image ambiguous"&gt;&lt;/div&gt;&lt;/span&gt;</v>
      </c>
      <c r="AU1348" s="15"/>
      <c r="AV1348" s="1" t="s">
        <v>38</v>
      </c>
      <c r="BG1348" s="7" t="s">
        <v>1242</v>
      </c>
      <c r="BH1348" s="1" t="s">
        <v>1947</v>
      </c>
      <c r="BI1348" s="2" t="s">
        <v>9862</v>
      </c>
      <c r="BJ1348" s="1" t="s">
        <v>1877</v>
      </c>
      <c r="BK1348" s="2" t="s">
        <v>6576</v>
      </c>
    </row>
    <row r="1349" spans="1:71" ht="180" x14ac:dyDescent="0.45">
      <c r="A1349" s="5">
        <v>1348</v>
      </c>
      <c r="B1349" s="6" t="s">
        <v>1085</v>
      </c>
      <c r="C1349" s="6" t="s">
        <v>6850</v>
      </c>
      <c r="D1349" s="7" t="s">
        <v>9752</v>
      </c>
      <c r="E1349" s="1" t="s">
        <v>6577</v>
      </c>
      <c r="F1349" s="1" t="s">
        <v>6578</v>
      </c>
      <c r="G1349" s="1"/>
      <c r="J1349" s="1" t="s">
        <v>9753</v>
      </c>
      <c r="L1349" s="2" t="s">
        <v>9837</v>
      </c>
      <c r="P1349" s="7" t="s">
        <v>1241</v>
      </c>
      <c r="AU1349" s="15"/>
      <c r="AV1349" s="1" t="s">
        <v>38</v>
      </c>
      <c r="BG1349" s="7" t="s">
        <v>1242</v>
      </c>
      <c r="BH1349" s="1" t="s">
        <v>1877</v>
      </c>
      <c r="BI1349" s="2" t="s">
        <v>6579</v>
      </c>
    </row>
    <row r="1350" spans="1:71" ht="108" x14ac:dyDescent="0.45">
      <c r="A1350" s="5">
        <v>1349</v>
      </c>
      <c r="B1350" s="6" t="s">
        <v>1086</v>
      </c>
      <c r="C1350" s="6" t="s">
        <v>6850</v>
      </c>
      <c r="D1350" s="7" t="s">
        <v>9752</v>
      </c>
      <c r="E1350" s="6" t="s">
        <v>1086</v>
      </c>
      <c r="F1350" s="1"/>
      <c r="G1350" s="1"/>
      <c r="J1350" s="1" t="s">
        <v>9753</v>
      </c>
      <c r="L1350" s="3" t="s">
        <v>9838</v>
      </c>
      <c r="P1350" s="7" t="s">
        <v>1241</v>
      </c>
      <c r="AV1350" s="1" t="s">
        <v>38</v>
      </c>
      <c r="BG1350" s="7" t="s">
        <v>1242</v>
      </c>
      <c r="BH1350" s="1" t="s">
        <v>1959</v>
      </c>
      <c r="BI1350" s="1" t="s">
        <v>6580</v>
      </c>
      <c r="BJ1350" s="1" t="s">
        <v>1877</v>
      </c>
      <c r="BK1350" s="2" t="s">
        <v>6581</v>
      </c>
    </row>
    <row r="1351" spans="1:71" ht="216" x14ac:dyDescent="0.45">
      <c r="A1351" s="5">
        <v>1350</v>
      </c>
      <c r="B1351" s="6" t="s">
        <v>1087</v>
      </c>
      <c r="C1351" s="6" t="s">
        <v>6850</v>
      </c>
      <c r="D1351" s="7" t="s">
        <v>9752</v>
      </c>
      <c r="E1351" s="1" t="s">
        <v>6582</v>
      </c>
      <c r="F1351" s="1" t="s">
        <v>6583</v>
      </c>
      <c r="G1351" s="1" t="s">
        <v>1551</v>
      </c>
      <c r="J1351" s="1" t="s">
        <v>9753</v>
      </c>
      <c r="L1351" s="3" t="s">
        <v>9839</v>
      </c>
      <c r="M1351" s="1" t="s">
        <v>12209</v>
      </c>
      <c r="P1351" s="7" t="s">
        <v>1241</v>
      </c>
      <c r="Q1351" s="13" t="str">
        <f>INDEX($L:$L, MATCH("democracy", $B:$B, 0))</f>
        <v>&lt;span class="w"&gt;&lt;b&gt;【551.democracy：民主主義, 民主政治】&lt;/b&gt;&lt;/span&gt;
&lt;span class="ml"&gt;ギリシャ語に由来する語で、以下の2つの要素から成る。
&lt;span class="spacer"&gt;&lt;/span&gt;dēmos（民衆）
kratos（支配, 統治）
&lt;span class="spacer"&gt;&lt;/span&gt;このまま日本語にすると「人民による統治」となり、「民主主義, 民主政治」という意味になる。&lt;/span&gt;</v>
      </c>
      <c r="R1351" s="13" t="str">
        <f>INDEX($L:$L, MATCH("demographic", $B:$B, 0))</f>
        <v>&lt;span class="w"&gt;&lt;b&gt;【1288.demographic：人口統計（学）の】&lt;/b&gt;&lt;/span&gt;
&lt;span class="ml"&gt;ギリシャ語に由来する語で、以下の3つの要素から成る。
&lt;span class="spacer"&gt;&lt;/span&gt;dēmos（人々）
graphia（〜を書くこと, 〜の記録）
&lt;span class="obsolete"&gt;ic（形容詞化）は英語段階で付いた&lt;/span&gt;
&lt;span class="spacer"&gt;&lt;/span&gt;この語の核は「人々に関して属性で分類して記録すること」。近代において、ある社会の人々の出生、死亡、結婚、病気などの動向を数値化し、統計的に記録・研究する学問（人口統計学）が確立して「人口統計（学）の」という意味になった。
&lt;span class="spacer"&gt;&lt;/span&gt;またビジネスでは、年齢、性別、住んでいる地域など、ある属性で分類された人々の集団＝「層」を意味する名詞としても使われる。
&lt;div class="sample_image demographic"&gt;&lt;/div&gt;&lt;/span&gt;</v>
      </c>
      <c r="AU1351" s="15"/>
      <c r="AV1351" s="1" t="s">
        <v>38</v>
      </c>
      <c r="BG1351" s="7" t="s">
        <v>1242</v>
      </c>
      <c r="BH1351" s="1" t="s">
        <v>2458</v>
      </c>
      <c r="BI1351" s="2" t="s">
        <v>6584</v>
      </c>
      <c r="BJ1351" s="1" t="s">
        <v>1967</v>
      </c>
      <c r="BK1351" s="1" t="s">
        <v>6585</v>
      </c>
      <c r="BL1351" s="1" t="s">
        <v>1996</v>
      </c>
      <c r="BM1351" s="1" t="s">
        <v>6586</v>
      </c>
      <c r="BN1351" s="1" t="s">
        <v>1877</v>
      </c>
      <c r="BO1351" s="2" t="s">
        <v>6587</v>
      </c>
    </row>
    <row r="1352" spans="1:71" ht="90" x14ac:dyDescent="0.45">
      <c r="A1352" s="5">
        <v>1351</v>
      </c>
      <c r="B1352" s="6" t="s">
        <v>1088</v>
      </c>
      <c r="C1352" s="6" t="s">
        <v>6850</v>
      </c>
      <c r="D1352" s="7" t="s">
        <v>9752</v>
      </c>
      <c r="E1352" s="1" t="s">
        <v>1660</v>
      </c>
      <c r="F1352" s="1" t="s">
        <v>6588</v>
      </c>
      <c r="G1352" s="1"/>
      <c r="J1352" s="1" t="s">
        <v>9753</v>
      </c>
      <c r="L1352" s="2" t="s">
        <v>9840</v>
      </c>
      <c r="P1352" s="7" t="s">
        <v>1241</v>
      </c>
      <c r="Q1352" s="13" t="str">
        <f>INDEX($L:$L, MATCH("fraction", $B:$B, 0))</f>
        <v>&lt;span class="w"&gt;&lt;b&gt;【1271.fraction：わずか, 一部, 分数】&lt;/b&gt;&lt;/span&gt;
&lt;span class="ml"&gt;ラテン語に由来する語で、以下の2つの要素から成る。
&lt;span class="spacer"&gt;&lt;/span&gt;frangere（砕く, 壊す）
io（名詞化）
&lt;span class="spacer"&gt;&lt;/span&gt;この語の核は「全体を壊してバラバラになった部分」。そこから、整数を壊して細かくした「分数」や、壊れてバラバラになった「一部, わずか」という意味になる。
&lt;span class="spacer"&gt;&lt;/span&gt;fractionは、break（壊す）と同じ印欧祖語*bhreg-（壊す）にさかのぼる。
frac (tion)
break
f（フ）＋母音＋c（ク）
b（ブ）＋母音＋k（ク）
&lt;span class="spacer"&gt;&lt;/span&gt;現在でも両者は音の類似性を保持している。&lt;/span&gt;</v>
      </c>
      <c r="R1352" s="13" t="str">
        <f>INDEX($L:$L, MATCH("fragile", $B:$B, 0))</f>
        <v>&lt;span class="w"&gt;&lt;b&gt;【1389.fragile：壊れやすい, 虚弱な】&lt;/b&gt;&lt;/span&gt;
&lt;span class="ml"&gt;ラテン語に由来する語で、以下の2つの要素から成る。
&lt;span class="spacer"&gt;&lt;/span&gt;frangere（壊す）
ilis（形容詞化）
&lt;span class="spacer"&gt;&lt;/span&gt;物理的に「壊れやすい」という意味だけではなく、身体的・精神的な崩れやすさから「虚弱な」という意味もある。
&lt;div class="sample_image fragile"&gt;&lt;/div&gt;
&lt;span class="spacer"&gt;&lt;/span&gt;fragileは、break（壊す）と同じ印欧祖語*bhreg-（壊す）にさかのぼる。
frag (ile)
break
f（フ）＋母音＋g（グ）
b（ブ）＋母音＋k（ク）
&lt;span class="spacer"&gt;&lt;/span&gt;現在でも両者は音の類似性を保持している。&lt;/span&gt;</v>
      </c>
      <c r="S1352" s="13" t="str">
        <f>INDEX($L:$L, MATCH("fragment", $B:$B, 0))</f>
        <v>&lt;span class="w"&gt;&lt;b&gt;【1457.fragment：断片】&lt;/b&gt;&lt;/span&gt;
&lt;span class="ml"&gt;ラテン語に由来する語で、以下の2つの要素から成る。
&lt;span class="spacer"&gt;&lt;/span&gt;frangere（壊す）
mentum（名詞化）
&lt;span class="spacer"&gt;&lt;/span&gt;壊れてバラバラになったものから、その「断片」という意味になる。
&lt;span class="spacer"&gt;&lt;/span&gt;fragmentは、break（壊す）と同じ印欧祖語*bhreg-（壊す）にさかのぼる。
frag (ment)
break
f（フ）＋母音＋g（グ）
b（ブ）＋母音＋k（ク）
&lt;span class="spacer"&gt;&lt;/span&gt;現在でも両者は音の類似性を保持している。&lt;/span&gt;</v>
      </c>
      <c r="T1352" s="13" t="str">
        <f>INDEX($L:$L, MATCH("breakthrough", $B:$B, 0))</f>
        <v>&lt;span class="w"&gt;&lt;b&gt;【1462.breakthrough：大発見, 飛躍的進歩】&lt;/b&gt;&lt;/span&gt;
&lt;span class="ml"&gt;中英語にさかのぼり、以下の2つの要素から成る。
&lt;span class="spacer"&gt;&lt;/span&gt;break（壊す）
through（通って）
&lt;span class="spacer"&gt;&lt;/span&gt;この語の核は「障壁を突き破って通り抜けること」。いままで成長や進展を阻み続けた壁を破壊し、通り抜けてさらに先へ進むことから、「大発見, 飛躍的進歩」といった意味になる。
&lt;div class="sample_image breakthrough"&gt;&lt;/div&gt;&lt;/span&gt;</v>
      </c>
      <c r="AU1352" s="15"/>
      <c r="AV1352" s="1" t="s">
        <v>38</v>
      </c>
      <c r="BG1352" s="7" t="s">
        <v>1242</v>
      </c>
      <c r="BH1352" s="1" t="s">
        <v>1875</v>
      </c>
      <c r="BI1352" s="2" t="s">
        <v>6589</v>
      </c>
      <c r="BJ1352" s="1" t="s">
        <v>1877</v>
      </c>
      <c r="BK1352" s="2" t="s">
        <v>6590</v>
      </c>
    </row>
    <row r="1353" spans="1:71" ht="144" x14ac:dyDescent="0.45">
      <c r="A1353" s="5">
        <v>1352</v>
      </c>
      <c r="B1353" s="6" t="s">
        <v>1089</v>
      </c>
      <c r="C1353" s="6" t="s">
        <v>6850</v>
      </c>
      <c r="D1353" s="7" t="s">
        <v>9752</v>
      </c>
      <c r="E1353" s="1" t="s">
        <v>1089</v>
      </c>
      <c r="F1353" s="1"/>
      <c r="G1353" s="1"/>
      <c r="J1353" s="1" t="s">
        <v>9753</v>
      </c>
      <c r="L1353" s="2" t="s">
        <v>9841</v>
      </c>
      <c r="P1353" s="7" t="s">
        <v>1241</v>
      </c>
      <c r="AU1353" s="15"/>
      <c r="AV1353" s="1" t="s">
        <v>38</v>
      </c>
      <c r="BG1353" s="7" t="s">
        <v>1242</v>
      </c>
      <c r="BH1353" s="1" t="s">
        <v>2458</v>
      </c>
      <c r="BI1353" s="2" t="s">
        <v>6591</v>
      </c>
      <c r="BJ1353" s="1" t="s">
        <v>1947</v>
      </c>
      <c r="BK1353" s="1" t="s">
        <v>1089</v>
      </c>
      <c r="BL1353" s="1" t="s">
        <v>1959</v>
      </c>
      <c r="BM1353" s="2" t="s">
        <v>6592</v>
      </c>
      <c r="BN1353" s="1" t="s">
        <v>1875</v>
      </c>
      <c r="BO1353" s="2" t="s">
        <v>6593</v>
      </c>
      <c r="BP1353" s="1" t="s">
        <v>1877</v>
      </c>
      <c r="BQ1353" s="2" t="s">
        <v>6594</v>
      </c>
    </row>
    <row r="1354" spans="1:71" ht="108" x14ac:dyDescent="0.45">
      <c r="A1354" s="5">
        <v>1353</v>
      </c>
      <c r="B1354" s="6" t="s">
        <v>1090</v>
      </c>
      <c r="C1354" s="6" t="s">
        <v>6850</v>
      </c>
      <c r="D1354" s="7" t="s">
        <v>9752</v>
      </c>
      <c r="E1354" s="1" t="s">
        <v>6595</v>
      </c>
      <c r="F1354" s="1" t="s">
        <v>6596</v>
      </c>
      <c r="G1354" s="1"/>
      <c r="J1354" s="1" t="s">
        <v>9753</v>
      </c>
      <c r="L1354" s="2" t="s">
        <v>9842</v>
      </c>
      <c r="P1354" s="7" t="s">
        <v>1241</v>
      </c>
      <c r="AU1354" s="15"/>
      <c r="AV1354" s="1" t="s">
        <v>38</v>
      </c>
      <c r="BG1354" s="7" t="s">
        <v>1242</v>
      </c>
      <c r="BH1354" s="1" t="s">
        <v>1875</v>
      </c>
      <c r="BI1354" s="2" t="s">
        <v>6597</v>
      </c>
      <c r="BJ1354" s="1" t="s">
        <v>1877</v>
      </c>
      <c r="BK1354" s="2" t="s">
        <v>6598</v>
      </c>
    </row>
    <row r="1355" spans="1:71" ht="90" x14ac:dyDescent="0.45">
      <c r="A1355" s="5">
        <v>1354</v>
      </c>
      <c r="B1355" s="6" t="s">
        <v>1091</v>
      </c>
      <c r="C1355" s="6" t="s">
        <v>6850</v>
      </c>
      <c r="D1355" s="7" t="s">
        <v>9752</v>
      </c>
      <c r="E1355" s="1" t="s">
        <v>1091</v>
      </c>
      <c r="F1355" s="1"/>
      <c r="G1355" s="1"/>
      <c r="J1355" s="1" t="s">
        <v>9753</v>
      </c>
      <c r="L1355" s="2" t="s">
        <v>9843</v>
      </c>
      <c r="P1355" s="7" t="s">
        <v>1241</v>
      </c>
      <c r="AU1355" s="15"/>
      <c r="AV1355" s="1" t="s">
        <v>38</v>
      </c>
      <c r="BG1355" s="7" t="s">
        <v>1242</v>
      </c>
      <c r="BH1355" s="1" t="s">
        <v>1947</v>
      </c>
      <c r="BI1355" s="2" t="s">
        <v>6599</v>
      </c>
      <c r="BJ1355" s="1" t="s">
        <v>1959</v>
      </c>
      <c r="BK1355" s="2" t="s">
        <v>6600</v>
      </c>
      <c r="BL1355" s="1" t="s">
        <v>1875</v>
      </c>
      <c r="BM1355" s="2" t="s">
        <v>6601</v>
      </c>
      <c r="BN1355" s="1" t="s">
        <v>3496</v>
      </c>
      <c r="BO1355" s="2" t="s">
        <v>6602</v>
      </c>
    </row>
    <row r="1356" spans="1:71" ht="126" x14ac:dyDescent="0.45">
      <c r="A1356" s="5">
        <v>1355</v>
      </c>
      <c r="B1356" s="6" t="s">
        <v>1092</v>
      </c>
      <c r="C1356" s="6" t="s">
        <v>6850</v>
      </c>
      <c r="D1356" s="7" t="s">
        <v>9752</v>
      </c>
      <c r="E1356" s="6" t="s">
        <v>1092</v>
      </c>
      <c r="F1356" s="1"/>
      <c r="G1356" s="1"/>
      <c r="J1356" s="1" t="s">
        <v>9753</v>
      </c>
      <c r="K1356" s="2" t="s">
        <v>9844</v>
      </c>
      <c r="L1356" s="3" t="s">
        <v>9845</v>
      </c>
      <c r="P1356" s="7" t="s">
        <v>1241</v>
      </c>
      <c r="AV1356" s="1" t="s">
        <v>38</v>
      </c>
      <c r="BG1356" s="7" t="s">
        <v>1242</v>
      </c>
      <c r="BH1356" s="1" t="s">
        <v>1872</v>
      </c>
      <c r="BI1356" s="1" t="s">
        <v>6603</v>
      </c>
      <c r="BJ1356" s="1" t="s">
        <v>1875</v>
      </c>
      <c r="BK1356" s="1" t="s">
        <v>6604</v>
      </c>
      <c r="BL1356" s="1" t="s">
        <v>1877</v>
      </c>
      <c r="BM1356" s="2" t="s">
        <v>6605</v>
      </c>
    </row>
    <row r="1357" spans="1:71" ht="126" x14ac:dyDescent="0.45">
      <c r="A1357" s="5">
        <v>1356</v>
      </c>
      <c r="B1357" s="6" t="s">
        <v>1093</v>
      </c>
      <c r="C1357" s="6" t="s">
        <v>6850</v>
      </c>
      <c r="D1357" s="7" t="s">
        <v>9752</v>
      </c>
      <c r="E1357" s="6" t="s">
        <v>1093</v>
      </c>
      <c r="F1357" s="1"/>
      <c r="G1357" s="1"/>
      <c r="J1357" s="1" t="s">
        <v>9753</v>
      </c>
      <c r="L1357" s="2" t="s">
        <v>9846</v>
      </c>
      <c r="P1357" s="7" t="s">
        <v>1241</v>
      </c>
      <c r="AV1357" s="1" t="s">
        <v>38</v>
      </c>
      <c r="BG1357" s="7" t="s">
        <v>1242</v>
      </c>
      <c r="BH1357" s="1" t="s">
        <v>1947</v>
      </c>
      <c r="BI1357" s="1" t="s">
        <v>6606</v>
      </c>
      <c r="BJ1357" s="1" t="s">
        <v>1877</v>
      </c>
      <c r="BK1357" s="2" t="s">
        <v>6607</v>
      </c>
    </row>
    <row r="1358" spans="1:71" ht="162" x14ac:dyDescent="0.45">
      <c r="A1358" s="5">
        <v>1357</v>
      </c>
      <c r="B1358" s="6" t="s">
        <v>1094</v>
      </c>
      <c r="C1358" s="6" t="s">
        <v>6850</v>
      </c>
      <c r="D1358" s="7" t="s">
        <v>9752</v>
      </c>
      <c r="E1358" s="6" t="s">
        <v>1094</v>
      </c>
      <c r="F1358" s="1"/>
      <c r="G1358" s="1"/>
      <c r="J1358" s="1" t="s">
        <v>9753</v>
      </c>
      <c r="L1358" s="2" t="s">
        <v>9847</v>
      </c>
      <c r="P1358" s="7" t="s">
        <v>1241</v>
      </c>
      <c r="AU1358" s="15"/>
      <c r="AV1358" s="1" t="s">
        <v>38</v>
      </c>
      <c r="BG1358" s="7" t="s">
        <v>1242</v>
      </c>
      <c r="BH1358" s="1" t="s">
        <v>1976</v>
      </c>
      <c r="BI1358" s="2" t="s">
        <v>6608</v>
      </c>
      <c r="BJ1358" s="1" t="s">
        <v>1872</v>
      </c>
      <c r="BK1358" s="1" t="s">
        <v>6609</v>
      </c>
      <c r="BL1358" s="1" t="s">
        <v>1877</v>
      </c>
      <c r="BM1358" s="2" t="s">
        <v>6610</v>
      </c>
    </row>
    <row r="1359" spans="1:71" ht="216" x14ac:dyDescent="0.45">
      <c r="A1359" s="5">
        <v>1358</v>
      </c>
      <c r="B1359" s="6" t="s">
        <v>1095</v>
      </c>
      <c r="C1359" s="6" t="s">
        <v>6850</v>
      </c>
      <c r="D1359" s="7" t="s">
        <v>9752</v>
      </c>
      <c r="E1359" s="1" t="s">
        <v>6018</v>
      </c>
      <c r="F1359" s="1" t="s">
        <v>6611</v>
      </c>
      <c r="G1359" s="1" t="s">
        <v>1584</v>
      </c>
      <c r="J1359" s="1" t="s">
        <v>9753</v>
      </c>
      <c r="L1359" s="3" t="s">
        <v>9863</v>
      </c>
      <c r="P1359" s="7" t="s">
        <v>1241</v>
      </c>
      <c r="AU1359" s="15"/>
      <c r="AV1359" s="1" t="s">
        <v>38</v>
      </c>
      <c r="BG1359" s="7" t="s">
        <v>1242</v>
      </c>
      <c r="BH1359" s="1" t="s">
        <v>1947</v>
      </c>
      <c r="BI1359" s="2" t="s">
        <v>6612</v>
      </c>
      <c r="BJ1359" s="1" t="s">
        <v>1877</v>
      </c>
      <c r="BK1359" s="2" t="s">
        <v>6613</v>
      </c>
    </row>
    <row r="1360" spans="1:71" ht="180" x14ac:dyDescent="0.45">
      <c r="A1360" s="5">
        <v>1359</v>
      </c>
      <c r="B1360" s="6" t="s">
        <v>1096</v>
      </c>
      <c r="C1360" s="6" t="s">
        <v>6850</v>
      </c>
      <c r="D1360" s="7" t="s">
        <v>9752</v>
      </c>
      <c r="E1360" s="1" t="s">
        <v>1096</v>
      </c>
      <c r="F1360" s="1"/>
      <c r="G1360" s="1"/>
      <c r="J1360" s="1" t="s">
        <v>9753</v>
      </c>
      <c r="L1360" s="2" t="s">
        <v>9848</v>
      </c>
      <c r="P1360" s="7" t="s">
        <v>1241</v>
      </c>
      <c r="AU1360" s="15"/>
      <c r="AV1360" s="1" t="s">
        <v>38</v>
      </c>
      <c r="BG1360" s="7" t="s">
        <v>1242</v>
      </c>
      <c r="BH1360" s="1" t="s">
        <v>1976</v>
      </c>
      <c r="BI1360" s="2" t="s">
        <v>6614</v>
      </c>
      <c r="BJ1360" s="1" t="s">
        <v>2458</v>
      </c>
      <c r="BK1360" s="2" t="s">
        <v>6615</v>
      </c>
      <c r="BL1360" s="1" t="s">
        <v>1967</v>
      </c>
      <c r="BM1360" s="1" t="s">
        <v>6616</v>
      </c>
      <c r="BN1360" s="1" t="s">
        <v>1959</v>
      </c>
      <c r="BO1360" s="2" t="s">
        <v>6617</v>
      </c>
      <c r="BP1360" s="1" t="s">
        <v>1875</v>
      </c>
      <c r="BQ1360" s="2" t="s">
        <v>6618</v>
      </c>
      <c r="BR1360" s="1" t="s">
        <v>1877</v>
      </c>
      <c r="BS1360" s="2" t="s">
        <v>6619</v>
      </c>
    </row>
    <row r="1361" spans="1:69" ht="252" x14ac:dyDescent="0.45">
      <c r="A1361" s="5">
        <v>1360</v>
      </c>
      <c r="B1361" s="8" t="s">
        <v>1097</v>
      </c>
      <c r="C1361" s="6" t="s">
        <v>6850</v>
      </c>
      <c r="D1361" s="7" t="s">
        <v>9752</v>
      </c>
      <c r="E1361" s="1" t="s">
        <v>6620</v>
      </c>
      <c r="F1361" s="1" t="s">
        <v>6621</v>
      </c>
      <c r="G1361" s="1"/>
      <c r="J1361" s="1" t="s">
        <v>9753</v>
      </c>
      <c r="L1361" s="2" t="s">
        <v>12111</v>
      </c>
      <c r="M1361" s="1" t="s">
        <v>12114</v>
      </c>
      <c r="P1361" s="7" t="s">
        <v>1241</v>
      </c>
      <c r="Q1361" s="13" t="str">
        <f>INDEX($L:$L, MATCH("precise", $B:$B, 0))</f>
        <v>&lt;span class="w"&gt;&lt;b&gt;【599.precise：精密な, 正確な】&lt;/b&gt;&lt;/span&gt;
&lt;span class="ml"&gt;ラテン語に由来する語で、以下の2つの要素から成る。
&lt;span class="spacer"&gt;&lt;/span&gt;prae（前に）
caedere（切る）
&lt;span class="spacer"&gt;&lt;/span&gt;このまま日本語にすると「前もって切る」となる。これは、あらかじめ無駄な部分を切り落としておくことを表した。この余分な部分や曖昧な部分が一切ないということから、「正確な, 精密な」という意味になった。
&lt;div class="sample_image precise"&gt;&lt;/div&gt;&lt;/span&gt;</v>
      </c>
      <c r="R1361" s="13" t="str">
        <f>INDEX($L:$L, MATCH("decide", $B:$B, 0))</f>
        <v>&lt;span class="w"&gt;&lt;b&gt;【11.decide：～を決める】&lt;/b&gt;&lt;/span&gt;
&lt;span class="ml"&gt;ラテン語に由来する語で、以下の2つの要素からなる。
&lt;span class="spacer"&gt;&lt;/span&gt;de（離れて）
caedere（切る）
&lt;span class="spacer"&gt;&lt;/span&gt;このまま日本語にすると「切り離す」となる。あれこれ考えてしまう物事を思考から切り離すイメージから「決める, 決断する, 決心する」という意味になる。一度決めてしまえば、もう考える必要がないので思考から切り離される。
&lt;span class="spacer"&gt;&lt;/span&gt;決断の「断」は、断つ＝切り離すという意味なので、ラテン語の意味と日本語の感覚はぴったり合っている。&lt;/span&gt;</v>
      </c>
      <c r="S1361" s="13" t="str">
        <f>INDEX($L:$L, MATCH("pesticide", $B:$B, 0))</f>
        <v>&lt;span class="w"&gt;&lt;b&gt;【1073.pesticide：殺虫剤】&lt;/b&gt;&lt;/span&gt;
&lt;span class="ml"&gt;現代英語で、以下の2つの要素から成る。
&lt;span class="spacer"&gt;&lt;/span&gt;pest（害虫）
cide（殺すもの）
&lt;span class="spacer"&gt;&lt;/span&gt;このまま日本語にすると「害虫を殺すもの」つまり「殺虫剤」という意味になる。&lt;/span&gt;</v>
      </c>
      <c r="AU1361" s="15"/>
      <c r="AV1361" s="1" t="s">
        <v>38</v>
      </c>
      <c r="BG1361" s="7" t="s">
        <v>1242</v>
      </c>
      <c r="BH1361" s="1" t="s">
        <v>1947</v>
      </c>
      <c r="BI1361" s="2" t="s">
        <v>6622</v>
      </c>
      <c r="BJ1361" s="1" t="s">
        <v>3408</v>
      </c>
      <c r="BK1361" s="2" t="s">
        <v>6623</v>
      </c>
      <c r="BL1361" s="1" t="s">
        <v>1877</v>
      </c>
      <c r="BM1361" s="2" t="s">
        <v>6624</v>
      </c>
    </row>
    <row r="1362" spans="1:69" ht="144" x14ac:dyDescent="0.45">
      <c r="A1362" s="5">
        <v>1361</v>
      </c>
      <c r="B1362" s="6" t="s">
        <v>1098</v>
      </c>
      <c r="C1362" s="6" t="s">
        <v>6850</v>
      </c>
      <c r="D1362" s="7" t="s">
        <v>9752</v>
      </c>
      <c r="E1362" s="6" t="s">
        <v>1098</v>
      </c>
      <c r="F1362" s="1"/>
      <c r="G1362" s="1"/>
      <c r="J1362" s="1" t="s">
        <v>9753</v>
      </c>
      <c r="L1362" s="2" t="s">
        <v>9849</v>
      </c>
      <c r="P1362" s="7" t="s">
        <v>1241</v>
      </c>
      <c r="AU1362" s="15"/>
      <c r="AV1362" s="1" t="s">
        <v>38</v>
      </c>
      <c r="BG1362" s="7" t="s">
        <v>1242</v>
      </c>
      <c r="BH1362" s="1" t="s">
        <v>1947</v>
      </c>
      <c r="BI1362" s="2" t="s">
        <v>6625</v>
      </c>
      <c r="BJ1362" s="1" t="s">
        <v>2026</v>
      </c>
      <c r="BK1362" s="1" t="s">
        <v>6626</v>
      </c>
      <c r="BL1362" s="1" t="s">
        <v>1959</v>
      </c>
      <c r="BM1362" s="1" t="s">
        <v>6627</v>
      </c>
      <c r="BN1362" s="1" t="s">
        <v>1875</v>
      </c>
      <c r="BO1362" s="2" t="s">
        <v>6628</v>
      </c>
    </row>
    <row r="1363" spans="1:69" ht="144" x14ac:dyDescent="0.45">
      <c r="A1363" s="5">
        <v>1362</v>
      </c>
      <c r="B1363" s="6" t="s">
        <v>1099</v>
      </c>
      <c r="C1363" s="6" t="s">
        <v>6850</v>
      </c>
      <c r="D1363" s="7" t="s">
        <v>9752</v>
      </c>
      <c r="E1363" s="6" t="s">
        <v>1099</v>
      </c>
      <c r="F1363" s="1"/>
      <c r="G1363" s="1"/>
      <c r="J1363" s="1" t="s">
        <v>9753</v>
      </c>
      <c r="L1363" s="2" t="s">
        <v>9850</v>
      </c>
      <c r="P1363" s="7" t="s">
        <v>1241</v>
      </c>
      <c r="AV1363" s="1" t="s">
        <v>38</v>
      </c>
      <c r="BG1363" s="7" t="s">
        <v>1242</v>
      </c>
      <c r="BH1363" s="1" t="s">
        <v>1947</v>
      </c>
      <c r="BI1363" s="1" t="s">
        <v>6629</v>
      </c>
      <c r="BJ1363" s="1" t="s">
        <v>2036</v>
      </c>
      <c r="BK1363" s="1" t="s">
        <v>6630</v>
      </c>
      <c r="BL1363" s="1" t="s">
        <v>1996</v>
      </c>
      <c r="BM1363" s="1" t="s">
        <v>6631</v>
      </c>
      <c r="BN1363" s="1" t="s">
        <v>1877</v>
      </c>
      <c r="BO1363" s="2" t="s">
        <v>6632</v>
      </c>
    </row>
    <row r="1364" spans="1:69" ht="108" x14ac:dyDescent="0.45">
      <c r="A1364" s="5">
        <v>1363</v>
      </c>
      <c r="B1364" s="6" t="s">
        <v>1100</v>
      </c>
      <c r="C1364" s="6" t="s">
        <v>6850</v>
      </c>
      <c r="D1364" s="7" t="s">
        <v>9752</v>
      </c>
      <c r="E1364" s="1" t="s">
        <v>1100</v>
      </c>
      <c r="F1364" s="1"/>
      <c r="G1364" s="1"/>
      <c r="J1364" s="1" t="s">
        <v>9753</v>
      </c>
      <c r="L1364" s="3" t="s">
        <v>9851</v>
      </c>
      <c r="P1364" s="7" t="s">
        <v>1241</v>
      </c>
      <c r="AV1364" s="1" t="s">
        <v>38</v>
      </c>
      <c r="BG1364" s="7" t="s">
        <v>1242</v>
      </c>
      <c r="BH1364" s="1" t="s">
        <v>1947</v>
      </c>
      <c r="BI1364" s="1" t="s">
        <v>6633</v>
      </c>
      <c r="BJ1364" s="1" t="s">
        <v>1959</v>
      </c>
      <c r="BK1364" s="1" t="s">
        <v>6634</v>
      </c>
      <c r="BL1364" s="1" t="s">
        <v>1875</v>
      </c>
      <c r="BM1364" s="2" t="s">
        <v>6635</v>
      </c>
    </row>
    <row r="1365" spans="1:69" ht="144" x14ac:dyDescent="0.45">
      <c r="A1365" s="5">
        <v>1364</v>
      </c>
      <c r="B1365" s="6" t="s">
        <v>1101</v>
      </c>
      <c r="C1365" s="6" t="s">
        <v>6850</v>
      </c>
      <c r="D1365" s="7" t="s">
        <v>9752</v>
      </c>
      <c r="E1365" s="1" t="s">
        <v>31</v>
      </c>
      <c r="F1365" s="1" t="s">
        <v>1816</v>
      </c>
      <c r="G1365" s="1"/>
      <c r="J1365" s="1" t="s">
        <v>9753</v>
      </c>
      <c r="L1365" s="2" t="s">
        <v>9852</v>
      </c>
      <c r="P1365" s="7" t="s">
        <v>1241</v>
      </c>
      <c r="Q1365" s="13" t="str">
        <f>INDEX($L:$L, MATCH("verbal", $B:$B, 0))</f>
        <v>&lt;span class="w"&gt;&lt;b&gt;【679.verbal：言葉の】&lt;/b&gt;&lt;/span&gt;
&lt;span class="ml"&gt;ラテン語に由来する語で、以下の2つの要素から成る。
&lt;span class="spacer"&gt;&lt;/span&gt;verbum（言葉）
alis（形容詞化）
&lt;span class="spacer"&gt;&lt;/span&gt;このまま日本語にすると「言葉の」という意味になる。&lt;/span&gt;</v>
      </c>
      <c r="AU1365" s="15"/>
      <c r="AV1365" s="1" t="s">
        <v>38</v>
      </c>
      <c r="BG1365" s="7" t="s">
        <v>1242</v>
      </c>
      <c r="BH1365" s="1" t="s">
        <v>1947</v>
      </c>
      <c r="BI1365" s="2" t="s">
        <v>6636</v>
      </c>
      <c r="BJ1365" s="1" t="s">
        <v>1959</v>
      </c>
      <c r="BK1365" s="2" t="s">
        <v>6637</v>
      </c>
      <c r="BL1365" s="1" t="s">
        <v>1875</v>
      </c>
      <c r="BM1365" s="2" t="s">
        <v>6638</v>
      </c>
    </row>
    <row r="1366" spans="1:69" ht="198" x14ac:dyDescent="0.45">
      <c r="A1366" s="5">
        <v>1365</v>
      </c>
      <c r="B1366" s="8" t="s">
        <v>1102</v>
      </c>
      <c r="C1366" s="6" t="s">
        <v>6850</v>
      </c>
      <c r="D1366" s="7" t="s">
        <v>9752</v>
      </c>
      <c r="E1366" s="1" t="s">
        <v>4312</v>
      </c>
      <c r="F1366" s="1" t="s">
        <v>1395</v>
      </c>
      <c r="G1366" s="1" t="s">
        <v>1525</v>
      </c>
      <c r="J1366" s="1" t="s">
        <v>9753</v>
      </c>
      <c r="L1366" s="2" t="s">
        <v>9853</v>
      </c>
      <c r="M1366" s="1" t="s">
        <v>12121</v>
      </c>
      <c r="P1366" s="7" t="s">
        <v>1241</v>
      </c>
      <c r="Q1366" s="13" t="str">
        <f>INDEX($L:$L, MATCH("design", $B:$B, 0))</f>
        <v>&lt;span class="w"&gt;&lt;b&gt;【21.design：～を設計する, ～を計画する】&lt;/b&gt;&lt;/span&gt;
&lt;span class="ml"&gt;ラテン語に由来する語で、以下の2つの要素から成る。
&lt;span class="spacer"&gt;&lt;/span&gt;de（外へ）
signare（印をつける：signの語源）
&lt;span class="spacer"&gt;&lt;/span&gt;このまま日本語にすると「外へ印を付ける」となる。設計図や計画表に印をつけるイメージから「設計する, 計画する」という意味になる。&lt;/span&gt;</v>
      </c>
      <c r="R1366" s="13" t="str">
        <f>INDEX($L:$L, MATCH("assign", $B:$B, 0))</f>
        <v>&lt;span class="w"&gt;&lt;b&gt;【739.assign：〜を割り当てる】&lt;/b&gt;&lt;/span&gt;
&lt;span class="ml"&gt;ラテン語に由来する語で、以下の2つの要素から成る。
&lt;span class="spacer"&gt;&lt;/span&gt;ad（〜へ）
signum（印）から派生したsignare（印をつける）
&lt;span class="spacer"&gt;&lt;/span&gt;このまま日本語にすると「〜へ印をつける」となる。印（サイン）をつけて、財産を割り当てたり、誰かに任務を割り当てたりすることから、何かに対してあるものを「割り当てる」という意味になる。
&lt;div class="sample_image assign"&gt;&lt;/div&gt;&lt;/span&gt;</v>
      </c>
      <c r="S1366" s="13" t="str">
        <f>INDEX($L:$L, MATCH("significant", $B:$B, 0))</f>
        <v>&lt;span class="w"&gt;&lt;b&gt;【185.significant：重要な, 重大な, 意義深い】&lt;/b&gt;&lt;/span&gt;
&lt;span class="ml"&gt;ラテン語に由来する語で、以下の2つの要素から成る。
&lt;span class="spacer"&gt;&lt;/span&gt;signum（印：signの語源）
facere（作る, する）
&lt;span class="spacer"&gt;&lt;/span&gt;このまま日本語にすると「印をする」となる。付けられた印が何かを意味することから「意義深い」という意味になる。また印の有無が他と区別することから「重要な, 重大な」という意味になる。
&lt;div class="sample_image significant"&gt;&lt;/div&gt;&lt;/span&gt;</v>
      </c>
      <c r="T1366" s="13" t="str">
        <f>INDEX($L:$L, MATCH("designate", $B:$B, 0))</f>
        <v>&lt;span class="w"&gt;&lt;b&gt;【1411.designate：〜を指定する, 〜を任命する】&lt;/b&gt;&lt;/span&gt;
&lt;span class="ml"&gt;ラテン語に由来する語で、以下の2つの要素から成る。
&lt;span class="spacer"&gt;&lt;/span&gt;de（外へ）
signare（印をつける）
&lt;span class="spacer"&gt;&lt;/span&gt;このまま日本語にすると「印をつけて外へ」となる。数ある中から対象に印をつけて選ぶイメージから「指定する, 任命する」という意味になる。
&lt;div class="sample_image designate"&gt;&lt;/div&gt;&lt;/span&gt;</v>
      </c>
      <c r="U1366" s="13" t="str">
        <f>INDEX($L:$L, MATCH("seal", $B:$B, 0))</f>
        <v>&lt;span class="w"&gt;&lt;b&gt;【1119.seal：〜を密閉する, 〜に封をする】&lt;/b&gt;&lt;/span&gt;
&lt;span class="ml"&gt;ラテン語に由来する語で、以下の2つの要素から成る。
&lt;span class="spacer"&gt;&lt;/span&gt;signum（しるし：signの語源）
illum（小さいことを表す）
&lt;span class="spacer"&gt;&lt;/span&gt;このまま日本語にすると「小さな印」となる。手紙や文書などを溶かした蝋で封じる際に、そこに小さな印を押し当てて、その手紙が本物であることを証明した。そこから「封をする」や、容器などを「密閉する」という意味になった。
&lt;div class="sample_image seal"&gt;&lt;/div&gt;&lt;/span&gt;</v>
      </c>
      <c r="AU1366" s="15"/>
      <c r="AV1366" s="1" t="s">
        <v>38</v>
      </c>
      <c r="BG1366" s="7" t="s">
        <v>1242</v>
      </c>
      <c r="BH1366" s="1" t="s">
        <v>1947</v>
      </c>
      <c r="BI1366" s="2" t="s">
        <v>6639</v>
      </c>
      <c r="BJ1366" s="1" t="s">
        <v>1967</v>
      </c>
      <c r="BK1366" s="1" t="s">
        <v>6640</v>
      </c>
      <c r="BL1366" s="1" t="s">
        <v>1996</v>
      </c>
      <c r="BM1366" s="2" t="s">
        <v>6641</v>
      </c>
      <c r="BN1366" s="1" t="s">
        <v>1877</v>
      </c>
      <c r="BO1366" s="2" t="s">
        <v>6642</v>
      </c>
    </row>
    <row r="1367" spans="1:69" ht="144" x14ac:dyDescent="0.45">
      <c r="A1367" s="5">
        <v>1366</v>
      </c>
      <c r="B1367" s="8" t="s">
        <v>1103</v>
      </c>
      <c r="C1367" s="6" t="s">
        <v>6850</v>
      </c>
      <c r="D1367" s="7" t="s">
        <v>9752</v>
      </c>
      <c r="E1367" s="1" t="s">
        <v>1326</v>
      </c>
      <c r="F1367" s="1" t="s">
        <v>6643</v>
      </c>
      <c r="G1367" s="1"/>
      <c r="J1367" s="1" t="s">
        <v>9753</v>
      </c>
      <c r="L1367" s="2" t="s">
        <v>9854</v>
      </c>
      <c r="M1367" s="1" t="s">
        <v>12207</v>
      </c>
      <c r="P1367" s="7" t="s">
        <v>1241</v>
      </c>
      <c r="Q1367" s="13" t="str">
        <f>INDEX($L:$L, MATCH("inform", $B:$B, 0))</f>
        <v>&lt;span class="w"&gt;&lt;b&gt;【508.inform：〜に知らせる, 情報を提供する】&lt;/b&gt;&lt;/span&gt;
&lt;span class="ml"&gt;ラテン語に由来する語で、以下の2つの要素から成る。
&lt;span class="spacer"&gt;&lt;/span&gt;in（中に）
formare（形作る）
&lt;span class="spacer"&gt;&lt;/span&gt;このまま日本語にすると「内側に形作る」となる。これは、相手の頭の中に知識を形成するというイメージ。ここから、教育によって教えることへとつながる。そして教育することから情報の伝達が意味の中心となり、相手に「情報を与える, 知らせる」という意味になった。&lt;/span&gt;</v>
      </c>
      <c r="R1367" s="13" t="str">
        <f>INDEX($L:$L, MATCH("transform", $B:$B, 0))</f>
        <v>&lt;span class="w"&gt;&lt;b&gt;【519.transform：〜を変える】&lt;/b&gt;&lt;/span&gt;
&lt;span class="ml"&gt;ラテン語に由来する語で、以下の2つの要素から成る。
&lt;span class="spacer"&gt;&lt;/span&gt;trans（越えて）
forma（形）から派生したformare（形作る）
&lt;span class="spacer"&gt;&lt;/span&gt;このまま日本語にすると「越えて形作る」となる。これは、今ある状態から別の状態へと形を変えるイメージで、形や質を「変える」という意味になる。&lt;/span&gt;</v>
      </c>
      <c r="S1367" s="13" t="str">
        <f>INDEX($L:$L, MATCH("reform", $B:$B, 0))</f>
        <v>&lt;span class="w"&gt;&lt;b&gt;【735.reform：〜を改革する, 〜を改心させる】&lt;/b&gt;&lt;/span&gt;
&lt;span class="ml"&gt;ラテン語に由来する語で、以下の2つの要素から成る。
&lt;span class="spacer"&gt;&lt;/span&gt;re（再び）
formare（形作る）
&lt;span class="spacer"&gt;&lt;/span&gt;このまま日本語にすると「再び形作る」となる。これは、前よりも良い形に変えることを表し、人を「改心させる」や政府や制度を「改革する」という意味になる。&lt;/span&gt;</v>
      </c>
      <c r="T1367" s="13" t="str">
        <f>INDEX($L:$L, MATCH("platform", $B:$B, 0))</f>
        <v>&lt;span class="w"&gt;&lt;b&gt;【771.platform：プラットフォーム, 演壇, 舞台】&lt;/b&gt;&lt;/span&gt;
&lt;span class="ml"&gt;古フランス語に由来する語で、以下の2つの要素から成る。
&lt;span class="spacer"&gt;&lt;/span&gt;plat（平らな, 水平な）
forme（形）
&lt;span class="spacer"&gt;&lt;/span&gt;このまま日本語にすると「平らな形」となる。最初は建物の平面図や地形の平らな場所を指したが、そこから物理的な一段高くなった台、つまり「駅のホーム」や「演壇, 舞台」といった意味になった。
&lt;span class="spacer"&gt;&lt;/span&gt;さらにその後、意見や方針を発表するための基盤＝政党の綱領や現代のITプラットフォームなどといった抽象的な意味にも広がった。&lt;/span&gt;</v>
      </c>
      <c r="U1367" s="13" t="str">
        <f>INDEX($L:$L, MATCH("formation", $B:$B, 0))</f>
        <v>&lt;span class="w"&gt;&lt;b&gt;【942.formation：形成】&lt;/b&gt;&lt;/span&gt;
&lt;span class="ml"&gt;ラテン語に由来する語で、以下の2つの要素から成る。
&lt;span class="spacer"&gt;&lt;/span&gt;
forma（形, 姿）から派生した動詞formare（形作る）
io（名詞化）
&lt;span class="spacer"&gt;&lt;/span&gt;このまま日本語にすると「形作ること, 形成」という意味になる。&lt;/span&gt;</v>
      </c>
      <c r="V1367" s="13" t="str">
        <f>INDEX($L:$L, MATCH("format", $B:$B, 0))</f>
        <v>&lt;span class="w"&gt;&lt;b&gt;【1263.format：書式, 形式】&lt;/b&gt;&lt;/span&gt;
&lt;span class="ml"&gt;ラテン語forma（型, 形）に由来する。
&lt;span class="spacer"&gt;&lt;/span&gt;もともとは、本を作る際の形や大きさなど、決められた型を表した。本や文章は決まった形を持たないので、どんなふうにでも表現できてしまう。それらに対して、形やサイズ、どこにどんな文章を配置するかなど、明確な形を与えるのがフォーマット。
&lt;span class="spacer"&gt;&lt;/span&gt;いまでは本に限らず、データや履歴書、テレビ番組などの様々なものに対して決まった形、つまり「書式, 形式」という意味で使われる。&lt;/span&gt;</v>
      </c>
      <c r="W1367" s="13" t="str">
        <f>INDEX($L:$L, MATCH("informal", $B:$B, 0))</f>
        <v>&lt;span class="w"&gt;&lt;b&gt;【982.informal：形式ばらない】&lt;/b&gt;&lt;/span&gt;
&lt;span class="ml"&gt;ラテン語に由来する語で、以下の3つの要素から成る。
&lt;span class="spacer"&gt;&lt;/span&gt;&lt;span class="obsolete"&gt;in（否定）は英語段階で付いた&lt;/span&gt;
forma（形, 型）
alis（形容詞化）
&lt;span class="spacer"&gt;&lt;/span&gt;形や型を表すformから、決まった型があるformalになる。そしてそれを否定したinformalは「型がない, 形式ばらない」という意味になる。&lt;/span&gt;</v>
      </c>
      <c r="AU1367" s="15"/>
      <c r="AV1367" s="1" t="s">
        <v>38</v>
      </c>
      <c r="BG1367" s="7" t="s">
        <v>1242</v>
      </c>
      <c r="BH1367" s="1" t="s">
        <v>1947</v>
      </c>
      <c r="BI1367" s="2" t="s">
        <v>6644</v>
      </c>
      <c r="BJ1367" s="1" t="s">
        <v>1877</v>
      </c>
      <c r="BK1367" s="2" t="s">
        <v>6645</v>
      </c>
    </row>
    <row r="1368" spans="1:69" ht="198" x14ac:dyDescent="0.45">
      <c r="A1368" s="5">
        <v>1367</v>
      </c>
      <c r="B1368" s="6" t="s">
        <v>1104</v>
      </c>
      <c r="C1368" s="6" t="s">
        <v>6850</v>
      </c>
      <c r="D1368" s="7" t="s">
        <v>9752</v>
      </c>
      <c r="E1368" s="1" t="s">
        <v>6319</v>
      </c>
      <c r="F1368" s="1" t="s">
        <v>1584</v>
      </c>
      <c r="G1368" s="1"/>
      <c r="J1368" s="1" t="s">
        <v>9753</v>
      </c>
      <c r="L1368" s="3" t="s">
        <v>9864</v>
      </c>
      <c r="P1368" s="7" t="s">
        <v>1241</v>
      </c>
      <c r="Q1368" s="13" t="str">
        <f>INDEX($L:$L, MATCH("intuition", $B:$B, 0))</f>
        <v>&lt;span class="w"&gt;&lt;b&gt;【1273.intuition：直観, 直感】&lt;/b&gt;&lt;/span&gt;
&lt;span class="ml"&gt;ラテン語に由来する語で、以下の2つの要素から成る。
&lt;span class="spacer"&gt;&lt;/span&gt;in（中に）
tueri（見る, 見守る）
io（名詞化）
&lt;span class="spacer"&gt;&lt;/span&gt;このまま日本語にすると「対象の中をしっかり見ること」となる。これは、対象を外から分析するのではなく、対象の奥深くを心の目でじっと見抜くイメージ。そこから、言葉にして論理的に考えるのではなく、経験や感覚を通して理解する「直観, 直感」という意味になった。
&lt;span class="spacer"&gt;&lt;/span&gt;塾で生徒のサポートを行うチューター（tutor）もラテン語tueri（見る, 見守る）に由来する。&lt;/span&gt;</v>
      </c>
      <c r="AU1368" s="15"/>
      <c r="AV1368" s="1" t="s">
        <v>38</v>
      </c>
      <c r="BG1368" s="7" t="s">
        <v>1242</v>
      </c>
      <c r="BH1368" s="1" t="s">
        <v>1947</v>
      </c>
      <c r="BI1368" s="2" t="s">
        <v>6646</v>
      </c>
      <c r="BJ1368" s="1" t="s">
        <v>1959</v>
      </c>
      <c r="BK1368" s="1" t="s">
        <v>6647</v>
      </c>
      <c r="BL1368" s="1" t="s">
        <v>2114</v>
      </c>
      <c r="BM1368" s="2" t="s">
        <v>6648</v>
      </c>
      <c r="BN1368" s="1" t="s">
        <v>1875</v>
      </c>
      <c r="BO1368" s="2" t="s">
        <v>6649</v>
      </c>
      <c r="BP1368" s="1" t="s">
        <v>1877</v>
      </c>
      <c r="BQ1368" s="2" t="s">
        <v>6650</v>
      </c>
    </row>
    <row r="1369" spans="1:69" ht="126" x14ac:dyDescent="0.45">
      <c r="A1369" s="5">
        <v>1368</v>
      </c>
      <c r="B1369" s="6" t="s">
        <v>1105</v>
      </c>
      <c r="C1369" s="6" t="s">
        <v>6850</v>
      </c>
      <c r="D1369" s="7" t="s">
        <v>9752</v>
      </c>
      <c r="E1369" s="1" t="s">
        <v>27</v>
      </c>
      <c r="F1369" s="1" t="s">
        <v>5736</v>
      </c>
      <c r="G1369" s="1"/>
      <c r="J1369" s="1" t="s">
        <v>9753</v>
      </c>
      <c r="K1369" s="1" t="s">
        <v>6651</v>
      </c>
      <c r="L1369" s="2" t="s">
        <v>9855</v>
      </c>
      <c r="P1369" s="7" t="s">
        <v>1241</v>
      </c>
      <c r="Q1369" s="13" t="str">
        <f>INDEX($L:$L, MATCH("undertake", $B:$B, 0))</f>
        <v>&lt;span class="w"&gt;&lt;b&gt;【1112.undertake：〜を引き受ける, 〜に着手する】&lt;/b&gt;&lt;/span&gt;
&lt;span class="ml"&gt;中英語にさかのぼり、以下の2つの要素から成る。
&lt;span class="spacer"&gt;&lt;/span&gt;under（下から）
taken（取る）
&lt;span class="spacer"&gt;&lt;/span&gt;このまま日本語にすると「下から取る」となる。何かを下から支えるように取ることから、責任ごと受け取るイメージで「引き受ける」という意味になる。またそこから、引き受けたことに「着手する」という意味になった。&lt;/span&gt;</v>
      </c>
      <c r="AU1369" s="15"/>
      <c r="AV1369" s="1" t="s">
        <v>38</v>
      </c>
      <c r="BG1369" s="7" t="s">
        <v>1242</v>
      </c>
      <c r="BH1369" s="1" t="s">
        <v>1877</v>
      </c>
      <c r="BI1369" s="2" t="s">
        <v>6652</v>
      </c>
    </row>
    <row r="1370" spans="1:69" ht="270" x14ac:dyDescent="0.45">
      <c r="A1370" s="5">
        <v>1369</v>
      </c>
      <c r="B1370" s="8" t="s">
        <v>1106</v>
      </c>
      <c r="C1370" s="6" t="s">
        <v>6850</v>
      </c>
      <c r="D1370" s="7" t="s">
        <v>9752</v>
      </c>
      <c r="E1370" s="1" t="s">
        <v>6653</v>
      </c>
      <c r="F1370" s="1" t="s">
        <v>6654</v>
      </c>
      <c r="G1370" s="1"/>
      <c r="J1370" s="1" t="s">
        <v>9753</v>
      </c>
      <c r="L1370" s="3" t="s">
        <v>9856</v>
      </c>
      <c r="M1370" s="1" t="s">
        <v>12135</v>
      </c>
      <c r="P1370" s="7" t="s">
        <v>1241</v>
      </c>
      <c r="Q1370" s="13" t="str">
        <f>INDEX($L:$L, MATCH("respect", $B:$B, 0))</f>
        <v>&lt;span class="w"&gt;&lt;b&gt;【133.respect：〜を尊敬する】&lt;/b&gt;&lt;/span&gt;
&lt;span class="ml"&gt;ラテン語に由来する語で、以下の2つの要素から成る。
&lt;span class="spacer"&gt;&lt;/span&gt;re（後ろへ）
specere（見る）
&lt;span class="spacer"&gt;&lt;/span&gt;このまま日本語にすると「後ろを見る」となる。振り返って見る、1度見たものを何度もよく見るというイメージから、対象に注意、配慮、敬意を向ける、つまり「尊敬する」という意味になる。
&lt;span class="spacer"&gt;&lt;/span&gt;名詞respectは、ある事柄に何度も目を向けることから、目を向ける先の「ポイント」や「関係」を意味する。&lt;/span&gt;</v>
      </c>
      <c r="R1370" s="13" t="str">
        <f>INDEX($L:$L, MATCH("aspect", $B:$B, 0))</f>
        <v>&lt;span class="w"&gt;&lt;b&gt;【174.aspect：側面, 観点】&lt;/b&gt;&lt;/span&gt;
&lt;span class="ml"&gt;ラテン語に由来する語で、以下の3つの要素から成る。
&lt;span class="spacer"&gt;&lt;/span&gt;ad（～へ）
specere（見る）
tus（名詞化）
&lt;span class="spacer"&gt;&lt;/span&gt;このまま日本語にすると「～へ見ること」となる。もともとは占星術用語として使われ、地球と他の惑星がどのように見えるかを意味した。たとえば地球から月を見るとき、地球上の観測点からは月のひとつの面しか見えない。
&lt;span class="spacer"&gt;&lt;/span&gt;ここから、自分から相手、相手から自分を見るそれぞれの「観点」や、見ている相手の「側面」という意味になる。
&lt;div class="sample_image aspect"&gt;&lt;/div&gt;&lt;/span&gt;</v>
      </c>
      <c r="S1370" s="13" t="str">
        <f>INDEX($L:$L, MATCH("suspect", $B:$B, 0))</f>
        <v>&lt;span class="w"&gt;&lt;b&gt;【630.suspect：〜を疑う, 〜ではないかと思う】&lt;/b&gt;&lt;/span&gt;
&lt;span class="ml"&gt;ラテン語に由来する語で、以下の2つの要素から成る。
&lt;span class="spacer"&gt;&lt;/span&gt;sub（下から）
specere（見る）
&lt;span class="spacer"&gt;&lt;/span&gt;このまま日本語にすると「下から見る」となる。これは、下からこっそり見上げて疑いの目を向けるイメージ。ここから「疑う」という意味になる。
&lt;div class="sample_image suspect"&gt;&lt;/div&gt;&lt;/span&gt;</v>
      </c>
      <c r="T1370" s="13" t="str">
        <f>INDEX($L:$L, MATCH("prospect", $B:$B, 0))</f>
        <v>&lt;span class="w"&gt;&lt;b&gt;【860.prospect：見込み, 未来への展望, 有望な人】&lt;/b&gt;&lt;/span&gt;
&lt;span class="ml"&gt;ラテン語に由来する語で、以下の2つの要素から成る。
&lt;span class="spacer"&gt;&lt;/span&gt;pro（前へ）
specere（見る）
&lt;span class="spacer"&gt;&lt;/span&gt;このまま日本語にすると「前方を見る」となる。物理的に遠くを見ることから、時間的に遠い将来を見ることへと発展して「見込み, 未来への展望」という意味になった。また未来を期待される人＝「将来有望な人」という意味にもなった。&lt;/span&gt;</v>
      </c>
      <c r="U1370" s="13" t="str">
        <f>INDEX($L:$L, MATCH("perspective", $B:$B, 0))</f>
        <v>&lt;span class="w"&gt;&lt;b&gt;【365.perspective：観点（≒立場）, 大局観, 遠近法】&lt;/b&gt;&lt;/span&gt;
&lt;span class="ml"&gt;ラテン語に由来する語で、以下の2つの要素から成る。
&lt;span class="spacer"&gt;&lt;/span&gt;per（通して）
specere（見る）
&lt;span class="spacer"&gt;&lt;/span&gt;このまま日本語にすると「見通す」となる。これは「ある視点から対象の奥側まで全体を見通す」というイメージで、次の3つのポイントがある。①見る視点・②全体を見ること・③奥まで見ること。
&lt;span class="spacer"&gt;&lt;/span&gt;「見る視点」からは、物事を見るときの視点＝「観点, 立場」という意味になる。
&lt;span class="spacer"&gt;&lt;/span&gt;「全体を見る」からは、対局を見通す「大局観」という意味になる。
&lt;span class="spacer"&gt;&lt;/span&gt;「奥まで見る」からは、空間を見通して奥行や距離を正しく把握する「遠近法」という意味になる。
&lt;div class="sample_image perspective"&gt;&lt;/div&gt;
&lt;span class="spacer"&gt;&lt;/span&gt;perspectiveは、ある「観点, 立場」から「全体を見ること」。そしてその見方の一例が「遠近法」だと覚えればよい。&lt;/span&gt;</v>
      </c>
      <c r="V1370" s="13" t="str">
        <f>INDEX($L:$L, MATCH("spectator", $B:$B, 0))</f>
        <v>&lt;span class="w"&gt;&lt;b&gt;【1465.spectator：観客】&lt;/b&gt;&lt;/span&gt;
&lt;span class="ml"&gt;ラテン語に由来する語で、以下の2つの要素から成る。
&lt;span class="spacer"&gt;&lt;/span&gt;spectare（繰り返し見る, 観察する）
or（〜する人）
&lt;span class="spacer"&gt;&lt;/span&gt;このまま日本語にすると「しっかり見る人, 観察する人」すなわち「観客」という意味になる。
&lt;span class="spacer"&gt;&lt;/span&gt;spectを見たら「見る」系の意味だと覚えておくとよい。&lt;/span&gt;</v>
      </c>
      <c r="W1370" s="13" t="str">
        <f>INDEX($L:$L, MATCH("species", $B:$B, 0))</f>
        <v>&lt;span class="w"&gt;&lt;b&gt;【56.species：（生物の）種】&lt;/b&gt;&lt;/span&gt;
&lt;span class="ml"&gt;ラテン語specere（注視する）に由来する。
&lt;span class="spacer"&gt;&lt;/span&gt;何かを注視するということは、全体を見るのではなく、全体の中の特定のものに目を向けるということ。ここから生物全体の中の特定の種類＝「生物の種」という意味になる。
&lt;span class="spacer"&gt;&lt;/span&gt;ラテン語のspeciesが英語になっただけなので、-iesは英語の名詞複数形ではない。&lt;/span&gt;</v>
      </c>
      <c r="X1370" s="13" t="str">
        <f>INDEX($L:$L, MATCH("specific", $B:$B, 0))</f>
        <v>&lt;span class="w"&gt;&lt;b&gt;【184.specific：特定の, 明確な, 具体的な, ～に特有の】&lt;/b&gt;&lt;/span&gt;
&lt;span class="ml"&gt;ラテン語に由来する語で、以下の2つの要素から成る。
&lt;span class="spacer"&gt;&lt;/span&gt;species（種類）
facere（作る, する）
&lt;span class="spacer"&gt;&lt;/span&gt;このまま日本語にすると「ある種類を作る」となる。何かの種類を作るとは、他の種類にはない特定の性質を持たせるということ。ここから「特定の, 特有の」という意味になる。
&lt;span class="spacer"&gt;&lt;/span&gt;また特定という意味から曖昧ではなく「明確な, 具体的な」という意味になる。&lt;/span&gt;</v>
      </c>
      <c r="Y1370" s="13" t="str">
        <f>INDEX($L:$L, MATCH("unexpected", $B:$B, 0))</f>
        <v>&lt;span class="w"&gt;&lt;b&gt;【594.unexpected：思いがけない】&lt;/b&gt;&lt;/span&gt;
&lt;span class="ml"&gt;［expectの語源］
ラテン語に由来する語で、以下の2つの要素から成る。
&lt;span class="spacer"&gt;&lt;/span&gt;ex（外に, 徹底的に）
specere（見る）
&lt;span class="spacer"&gt;&lt;/span&gt;このまま日本語にすると「外を徹底的に見る」となる。これが頭の中で未来の出来事に目を向けることへと発展し、未来に起こることを「期待する」という意味になった。
&lt;span class="spacer"&gt;&lt;/span&gt;［unexpectedの語源］
近代英語にさかのぼり、以下の2つの要素から成る。
&lt;span class="spacer"&gt;&lt;/span&gt;un（否定）
expectの過去分詞expected
&lt;span class="spacer"&gt;&lt;/span&gt;ここから、起きることを期待して見ていなかった、つまり「思いがけない」という意味になる。&lt;/span&gt;</v>
      </c>
      <c r="Z1370" s="13" t="str">
        <f>INDEX($L:$L, MATCH("despite", $B:$B, 0))</f>
        <v>&lt;span class="w"&gt;&lt;b&gt;【100.despite：～にもかかわらず】&lt;/b&gt;&lt;/span&gt;
&lt;span class="ml"&gt;ラテン語に由来する語で、以下の2つの要素から成る。
&lt;span class="spacer"&gt;&lt;/span&gt;de（下に）
specere（見る）
&lt;span class="spacer"&gt;&lt;/span&gt;このまま日本語にすると「下に見る」となる。これは見下すという対象の存在を軽く見る行為。「対象があってもなくても関係ない」から「～にもかかわらず」という意味になる。
&lt;span class="spacer"&gt;&lt;/span&gt;ターゲットの例文 "They went hiking despite the fact a storm was coming" は「嵐が来ている事実を、それが事実であろうとなかろうと関係なくハイキングに行った」ということを伝えている。この日本語訳を「嵐が来ているという事実&lt;strong&gt;にもかかわらず&lt;/strong&gt;」と表現しているだけ。&lt;/span&gt;</v>
      </c>
      <c r="AU1370" s="15"/>
      <c r="AV1370" s="1" t="s">
        <v>38</v>
      </c>
      <c r="BG1370" s="7" t="s">
        <v>1242</v>
      </c>
      <c r="BH1370" s="1" t="s">
        <v>1947</v>
      </c>
      <c r="BI1370" s="2" t="s">
        <v>6655</v>
      </c>
      <c r="BJ1370" s="1" t="s">
        <v>1877</v>
      </c>
      <c r="BK1370" s="2" t="s">
        <v>6656</v>
      </c>
      <c r="BL1370" s="1" t="s">
        <v>3496</v>
      </c>
      <c r="BM1370" s="2" t="s">
        <v>6657</v>
      </c>
    </row>
    <row r="1371" spans="1:69" ht="126" x14ac:dyDescent="0.45">
      <c r="A1371" s="5">
        <v>1370</v>
      </c>
      <c r="B1371" s="6" t="s">
        <v>1107</v>
      </c>
      <c r="C1371" s="6" t="s">
        <v>6850</v>
      </c>
      <c r="D1371" s="7" t="s">
        <v>9752</v>
      </c>
      <c r="E1371" s="1" t="s">
        <v>6658</v>
      </c>
      <c r="F1371" s="1" t="s">
        <v>5414</v>
      </c>
      <c r="G1371" s="1"/>
      <c r="J1371" s="1" t="s">
        <v>9753</v>
      </c>
      <c r="L1371" s="3" t="s">
        <v>9865</v>
      </c>
      <c r="P1371" s="7" t="s">
        <v>1241</v>
      </c>
      <c r="AV1371" s="1" t="s">
        <v>38</v>
      </c>
      <c r="BG1371" s="7" t="s">
        <v>1242</v>
      </c>
      <c r="BH1371" s="1" t="s">
        <v>1872</v>
      </c>
      <c r="BI1371" s="1" t="s">
        <v>6659</v>
      </c>
      <c r="BJ1371" s="1" t="s">
        <v>1875</v>
      </c>
      <c r="BK1371" s="2" t="s">
        <v>6660</v>
      </c>
    </row>
    <row r="1372" spans="1:69" ht="126" x14ac:dyDescent="0.45">
      <c r="A1372" s="5">
        <v>1371</v>
      </c>
      <c r="B1372" s="6" t="s">
        <v>1108</v>
      </c>
      <c r="C1372" s="6" t="s">
        <v>6850</v>
      </c>
      <c r="D1372" s="7" t="s">
        <v>9752</v>
      </c>
      <c r="E1372" s="1" t="s">
        <v>1108</v>
      </c>
      <c r="F1372" s="1"/>
      <c r="G1372" s="1"/>
      <c r="J1372" s="1" t="s">
        <v>9753</v>
      </c>
      <c r="K1372" s="1" t="s">
        <v>9866</v>
      </c>
      <c r="L1372" s="2" t="s">
        <v>9867</v>
      </c>
      <c r="P1372" s="7" t="s">
        <v>1241</v>
      </c>
      <c r="AV1372" s="1" t="s">
        <v>38</v>
      </c>
      <c r="BG1372" s="7" t="s">
        <v>1242</v>
      </c>
      <c r="BH1372" s="1" t="s">
        <v>2110</v>
      </c>
      <c r="BI1372" s="1" t="s">
        <v>6661</v>
      </c>
      <c r="BJ1372" s="1" t="s">
        <v>1875</v>
      </c>
      <c r="BK1372" s="2" t="s">
        <v>6662</v>
      </c>
      <c r="BL1372" s="1" t="s">
        <v>1877</v>
      </c>
      <c r="BM1372" s="2" t="s">
        <v>6663</v>
      </c>
    </row>
    <row r="1373" spans="1:69" ht="324" x14ac:dyDescent="0.45">
      <c r="A1373" s="5">
        <v>1372</v>
      </c>
      <c r="B1373" s="6" t="s">
        <v>1109</v>
      </c>
      <c r="C1373" s="6" t="s">
        <v>6850</v>
      </c>
      <c r="D1373" s="7" t="s">
        <v>9752</v>
      </c>
      <c r="E1373" s="6" t="s">
        <v>1109</v>
      </c>
      <c r="F1373" s="1"/>
      <c r="G1373" s="1"/>
      <c r="J1373" s="1" t="s">
        <v>9753</v>
      </c>
      <c r="L1373" s="3" t="s">
        <v>9868</v>
      </c>
      <c r="P1373" s="7" t="s">
        <v>1241</v>
      </c>
      <c r="AV1373" s="1" t="s">
        <v>38</v>
      </c>
      <c r="BG1373" s="7" t="s">
        <v>1242</v>
      </c>
      <c r="BH1373" s="1" t="s">
        <v>1947</v>
      </c>
      <c r="BI1373" s="1" t="s">
        <v>6664</v>
      </c>
      <c r="BJ1373" s="1" t="s">
        <v>1959</v>
      </c>
      <c r="BK1373" s="2" t="s">
        <v>6665</v>
      </c>
      <c r="BL1373" s="1" t="s">
        <v>1875</v>
      </c>
      <c r="BM1373" s="2" t="s">
        <v>6666</v>
      </c>
      <c r="BN1373" s="1" t="s">
        <v>1877</v>
      </c>
      <c r="BO1373" s="2" t="s">
        <v>6667</v>
      </c>
    </row>
    <row r="1374" spans="1:69" ht="144" x14ac:dyDescent="0.45">
      <c r="A1374" s="5">
        <v>1373</v>
      </c>
      <c r="B1374" s="6" t="s">
        <v>1110</v>
      </c>
      <c r="C1374" s="6" t="s">
        <v>6850</v>
      </c>
      <c r="D1374" s="7" t="s">
        <v>9752</v>
      </c>
      <c r="E1374" s="1" t="s">
        <v>1110</v>
      </c>
      <c r="F1374" s="1"/>
      <c r="G1374" s="1"/>
      <c r="J1374" s="1" t="s">
        <v>9753</v>
      </c>
      <c r="L1374" s="3" t="s">
        <v>9901</v>
      </c>
      <c r="P1374" s="7" t="s">
        <v>1241</v>
      </c>
      <c r="Q1374" s="13" t="str">
        <f>INDEX($L:$L, MATCH("gravity", $B:$B, 0))</f>
        <v>&lt;span class="w"&gt;&lt;b&gt;【846.gravity：重力, 引力, 重大さ】&lt;/b&gt;&lt;/span&gt;
&lt;span class="ml"&gt;ラテン語に由来する語で、以下の2つの要素から成る。
&lt;span class="spacer"&gt;&lt;/span&gt;gravis（重い）
tas（名詞化）
&lt;span class="spacer"&gt;&lt;/span&gt;このまま日本語にすると「重さ」となる。そこから物事の「重大さ」や、科学における「重力, 引力」という意味になる。&lt;/span&gt;</v>
      </c>
      <c r="AU1374" s="15"/>
      <c r="AV1374" s="1" t="s">
        <v>38</v>
      </c>
      <c r="BG1374" s="7" t="s">
        <v>1242</v>
      </c>
      <c r="BH1374" s="1" t="s">
        <v>1976</v>
      </c>
      <c r="BI1374" s="2" t="s">
        <v>6668</v>
      </c>
      <c r="BJ1374" s="1" t="s">
        <v>1947</v>
      </c>
      <c r="BK1374" s="2" t="s">
        <v>6669</v>
      </c>
      <c r="BL1374" s="1" t="s">
        <v>1959</v>
      </c>
      <c r="BM1374" s="2" t="s">
        <v>6670</v>
      </c>
      <c r="BN1374" s="1" t="s">
        <v>1875</v>
      </c>
      <c r="BO1374" s="2" t="s">
        <v>6671</v>
      </c>
    </row>
    <row r="1375" spans="1:69" ht="144" x14ac:dyDescent="0.45">
      <c r="A1375" s="5">
        <v>1374</v>
      </c>
      <c r="B1375" s="6" t="s">
        <v>1111</v>
      </c>
      <c r="C1375" s="6" t="s">
        <v>6850</v>
      </c>
      <c r="D1375" s="7" t="s">
        <v>9752</v>
      </c>
      <c r="E1375" s="1" t="s">
        <v>1327</v>
      </c>
      <c r="F1375" s="1" t="s">
        <v>6672</v>
      </c>
      <c r="G1375" s="1" t="s">
        <v>1946</v>
      </c>
      <c r="J1375" s="1" t="s">
        <v>9753</v>
      </c>
      <c r="L1375" s="2" t="s">
        <v>9869</v>
      </c>
      <c r="P1375" s="7" t="s">
        <v>1241</v>
      </c>
      <c r="Q1375" s="13"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R1375" s="13"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S1375" s="13"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T1375" s="13" t="str">
        <f>INDEX($L:$L, MATCH("establish", $B:$B, 0))</f>
        <v>&lt;span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v>
      </c>
      <c r="U1375" s="13" t="str">
        <f>INDEX($L:$L, MATCH("static", $B:$B, 0))</f>
        <v>&lt;span class="w"&gt;&lt;b&gt;【1390.static：静的な, 動きのない】&lt;/b&gt;&lt;/span&gt;
&lt;span class="ml"&gt;ギリシャ語に由来する語で、以下の2つの要素から成る。
&lt;span class="spacer"&gt;&lt;/span&gt;histanai（立たせる, 天秤で計量する）
ikos（形容詞化）
&lt;span class="spacer"&gt;&lt;/span&gt;このギリシャ語は印欧祖語*sta-（立つ）にさかのぼり、何かを立たせることや天秤を釣り合わせることを表した。立つ・釣り合うの核はどちらも「動かないこと」。物理的に動かないということから、状況や状態について「動きのない, 静的な」という意味になった。
&lt;div class="sample_image static"&gt;&lt;/div&gt;&lt;/span&gt;</v>
      </c>
      <c r="V1375" s="13"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W1375" s="13"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X1375" s="13"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Y1375" s="13"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Z1375" s="13"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AA1375" s="13"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AB1375" s="13" t="str">
        <f>INDEX($L:$L, MATCH("steady", $B:$B, 0))</f>
        <v>&lt;span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v>
      </c>
      <c r="AC1375"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D1375" s="13" t="str">
        <f>INDEX($L:$L, MATCH("restore", $B:$B, 0))</f>
        <v>&lt;span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v>
      </c>
      <c r="AE1375" s="13"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AU1375" s="15"/>
      <c r="AV1375" s="1" t="s">
        <v>38</v>
      </c>
      <c r="BG1375" s="7" t="s">
        <v>1242</v>
      </c>
      <c r="BH1375" s="1" t="s">
        <v>1947</v>
      </c>
      <c r="BI1375" s="2" t="s">
        <v>6673</v>
      </c>
      <c r="BJ1375" s="1" t="s">
        <v>1959</v>
      </c>
      <c r="BK1375" s="2" t="s">
        <v>6674</v>
      </c>
      <c r="BL1375" s="1" t="s">
        <v>1875</v>
      </c>
      <c r="BM1375" s="2" t="s">
        <v>6675</v>
      </c>
    </row>
    <row r="1376" spans="1:69" ht="54" x14ac:dyDescent="0.45">
      <c r="A1376" s="5">
        <v>1375</v>
      </c>
      <c r="B1376" s="6" t="s">
        <v>1112</v>
      </c>
      <c r="C1376" s="6" t="s">
        <v>6850</v>
      </c>
      <c r="D1376" s="7" t="s">
        <v>9752</v>
      </c>
      <c r="E1376" s="1" t="s">
        <v>1112</v>
      </c>
      <c r="F1376" s="1"/>
      <c r="G1376" s="1"/>
      <c r="J1376" s="1" t="s">
        <v>9753</v>
      </c>
      <c r="L1376" s="2" t="s">
        <v>9870</v>
      </c>
      <c r="P1376" s="7" t="s">
        <v>1241</v>
      </c>
      <c r="AV1376" s="1" t="s">
        <v>38</v>
      </c>
      <c r="BG1376" s="7" t="s">
        <v>1242</v>
      </c>
      <c r="BH1376" s="1" t="s">
        <v>2110</v>
      </c>
      <c r="BI1376" s="1" t="s">
        <v>6676</v>
      </c>
      <c r="BJ1376" s="1" t="s">
        <v>1875</v>
      </c>
      <c r="BK1376" s="2" t="s">
        <v>6677</v>
      </c>
    </row>
    <row r="1377" spans="1:71" ht="126" x14ac:dyDescent="0.45">
      <c r="A1377" s="5">
        <v>1376</v>
      </c>
      <c r="B1377" s="6" t="s">
        <v>1113</v>
      </c>
      <c r="C1377" s="6" t="s">
        <v>6850</v>
      </c>
      <c r="D1377" s="7" t="s">
        <v>9752</v>
      </c>
      <c r="E1377" s="1" t="s">
        <v>1113</v>
      </c>
      <c r="F1377" s="1"/>
      <c r="G1377" s="1"/>
      <c r="J1377" s="1" t="s">
        <v>9753</v>
      </c>
      <c r="K1377" s="1" t="s">
        <v>9871</v>
      </c>
      <c r="L1377" s="3" t="s">
        <v>9872</v>
      </c>
      <c r="P1377" s="7" t="s">
        <v>1241</v>
      </c>
      <c r="AV1377" s="1" t="s">
        <v>38</v>
      </c>
      <c r="BG1377" s="7" t="s">
        <v>1242</v>
      </c>
      <c r="BH1377" s="1" t="s">
        <v>2458</v>
      </c>
      <c r="BI1377" s="1" t="s">
        <v>6678</v>
      </c>
      <c r="BJ1377" s="1" t="s">
        <v>2036</v>
      </c>
      <c r="BK1377" s="1" t="s">
        <v>6679</v>
      </c>
      <c r="BL1377" s="1" t="s">
        <v>1967</v>
      </c>
      <c r="BM1377" s="1" t="s">
        <v>6680</v>
      </c>
      <c r="BN1377" s="1" t="s">
        <v>1959</v>
      </c>
      <c r="BO1377" s="1" t="s">
        <v>6681</v>
      </c>
      <c r="BP1377" s="1" t="s">
        <v>2114</v>
      </c>
      <c r="BQ1377" s="2" t="s">
        <v>6682</v>
      </c>
      <c r="BR1377" s="1" t="s">
        <v>1875</v>
      </c>
      <c r="BS1377" s="2" t="s">
        <v>6683</v>
      </c>
    </row>
    <row r="1378" spans="1:71" ht="90" x14ac:dyDescent="0.45">
      <c r="A1378" s="5">
        <v>1377</v>
      </c>
      <c r="B1378" s="6" t="s">
        <v>1114</v>
      </c>
      <c r="C1378" s="6" t="s">
        <v>6850</v>
      </c>
      <c r="D1378" s="7" t="s">
        <v>9752</v>
      </c>
      <c r="E1378" s="1" t="s">
        <v>1114</v>
      </c>
      <c r="F1378" s="1"/>
      <c r="G1378" s="1"/>
      <c r="J1378" s="1" t="s">
        <v>9753</v>
      </c>
      <c r="K1378" s="1" t="s">
        <v>6684</v>
      </c>
      <c r="L1378" s="2" t="s">
        <v>9873</v>
      </c>
      <c r="P1378" s="7" t="s">
        <v>1241</v>
      </c>
      <c r="AU1378" s="15"/>
      <c r="AV1378" s="1" t="s">
        <v>38</v>
      </c>
      <c r="BG1378" s="7" t="s">
        <v>1242</v>
      </c>
      <c r="BH1378" s="1" t="s">
        <v>3771</v>
      </c>
      <c r="BI1378" s="2" t="s">
        <v>6685</v>
      </c>
      <c r="BJ1378" s="1" t="s">
        <v>2036</v>
      </c>
      <c r="BK1378" s="1" t="s">
        <v>6686</v>
      </c>
      <c r="BL1378" s="1" t="s">
        <v>2026</v>
      </c>
      <c r="BM1378" s="1" t="s">
        <v>6687</v>
      </c>
      <c r="BN1378" s="1" t="s">
        <v>3999</v>
      </c>
      <c r="BO1378" s="1" t="s">
        <v>6688</v>
      </c>
      <c r="BP1378" s="1" t="s">
        <v>1872</v>
      </c>
      <c r="BQ1378" s="2" t="s">
        <v>9874</v>
      </c>
    </row>
    <row r="1379" spans="1:71" ht="162" x14ac:dyDescent="0.45">
      <c r="A1379" s="5">
        <v>1378</v>
      </c>
      <c r="B1379" s="6" t="s">
        <v>1115</v>
      </c>
      <c r="C1379" s="6" t="s">
        <v>6850</v>
      </c>
      <c r="D1379" s="7" t="s">
        <v>9752</v>
      </c>
      <c r="E1379" s="1" t="s">
        <v>9005</v>
      </c>
      <c r="F1379" s="1" t="s">
        <v>6927</v>
      </c>
      <c r="G1379" s="1"/>
      <c r="J1379" s="1" t="s">
        <v>9753</v>
      </c>
      <c r="L1379" s="2" t="s">
        <v>9875</v>
      </c>
      <c r="P1379" s="7" t="s">
        <v>1241</v>
      </c>
      <c r="AU1379" s="15"/>
      <c r="AV1379" s="1" t="s">
        <v>38</v>
      </c>
      <c r="BG1379" s="7" t="s">
        <v>1242</v>
      </c>
      <c r="BH1379" s="1" t="s">
        <v>2129</v>
      </c>
      <c r="BI1379" s="2" t="s">
        <v>6689</v>
      </c>
      <c r="BJ1379" s="1" t="s">
        <v>2044</v>
      </c>
      <c r="BK1379" s="1" t="s">
        <v>6690</v>
      </c>
    </row>
    <row r="1380" spans="1:71" ht="180" x14ac:dyDescent="0.45">
      <c r="A1380" s="5">
        <v>1379</v>
      </c>
      <c r="B1380" s="6" t="s">
        <v>6691</v>
      </c>
      <c r="C1380" s="6" t="s">
        <v>6851</v>
      </c>
      <c r="D1380" s="7" t="s">
        <v>9752</v>
      </c>
      <c r="E1380" s="1" t="s">
        <v>1660</v>
      </c>
      <c r="F1380" s="1" t="s">
        <v>9006</v>
      </c>
      <c r="G1380" s="1"/>
      <c r="J1380" s="1" t="s">
        <v>9753</v>
      </c>
      <c r="L1380" s="3" t="s">
        <v>9902</v>
      </c>
      <c r="P1380" s="7" t="s">
        <v>1241</v>
      </c>
      <c r="Q1380" s="13" t="str">
        <f>INDEX($L:$L, MATCH("misunderstand", $B:$B, 0))</f>
        <v>&lt;span class="w"&gt;&lt;b&gt;【834.misunderstand：誤解する】&lt;/b&gt;&lt;/span&gt;
&lt;span class="ml"&gt;中英語にさかのぼり、以下の2つの要素から成る。
&lt;span class="spacer"&gt;&lt;/span&gt;mis（誤って）
understonde（理解する）
&lt;span class="spacer"&gt;&lt;/span&gt;誤って理解するから「誤解する」という意味になる。&lt;/span&gt;</v>
      </c>
      <c r="AU1380" s="15"/>
      <c r="AV1380" s="1" t="s">
        <v>38</v>
      </c>
      <c r="BG1380" s="7" t="s">
        <v>1242</v>
      </c>
      <c r="BH1380" s="1" t="s">
        <v>1883</v>
      </c>
      <c r="BI1380" s="2" t="s">
        <v>6692</v>
      </c>
    </row>
    <row r="1381" spans="1:71" ht="162" x14ac:dyDescent="0.45">
      <c r="A1381" s="5">
        <v>1380</v>
      </c>
      <c r="B1381" s="6" t="s">
        <v>6693</v>
      </c>
      <c r="C1381" s="6" t="s">
        <v>6851</v>
      </c>
      <c r="D1381" s="7" t="s">
        <v>9752</v>
      </c>
      <c r="E1381" s="1" t="s">
        <v>1941</v>
      </c>
      <c r="F1381" s="1" t="s">
        <v>6694</v>
      </c>
      <c r="G1381" s="1" t="s">
        <v>1920</v>
      </c>
      <c r="J1381" s="1" t="s">
        <v>9753</v>
      </c>
      <c r="L1381" s="2" t="s">
        <v>9876</v>
      </c>
      <c r="M1381" s="1" t="s">
        <v>12169</v>
      </c>
      <c r="P1381" s="7" t="s">
        <v>1241</v>
      </c>
      <c r="Q1381" s="13" t="str">
        <f>INDEX($L:$L, MATCH("succeed", $B:$B, 0))</f>
        <v>&lt;span class="w"&gt;&lt;b&gt;【240.succeed：成功する（in）, 継承する（to）】&lt;/b&gt;&lt;/span&gt;
&lt;span class="ml"&gt;ラテン語に由来する語で、以下の2つの要素から成る。
&lt;span class="spacer"&gt;&lt;/span&gt;sub（後に）
cedere（行く, 進む）
&lt;span class="spacer"&gt;&lt;/span&gt;このまま日本語にすると「後に行く」となる。ここから次の2つの意味に発展する。
&lt;span class="spacer"&gt;&lt;/span&gt;①前任者の後を行くというイメージから「何かを継承する」という意味になる。この場合はsucceed &lt;strong&gt;to&lt;/strong&gt; Aで「Aに成功する」となる。
&lt;span class="spacer"&gt;&lt;/span&gt;②行為の後に結果が続くというイメージから「成功する」という意味になる。この場合はsucceed &lt;strong&gt;in&lt;/strong&gt; Aで「Aを継承する」となる。
&lt;div class="sample_image succeed"&gt;&lt;/div&gt;
&lt;span class="spacer"&gt;&lt;/span&gt;&lt;span class="obsolete"&gt;succeedは、もともとは何かに続いて結果が出るという意味で、良い結果（成功）を意味したわけではない。
&lt;span class="spacer"&gt;&lt;/span&gt;16世紀頃にsucceed well（ことがうまくいく）という表現があり、ここからwellが省略されてsucceed（成功する）となった。
&lt;span class="spacer"&gt;&lt;/span&gt;これと同じことがlikeでも起こり、最初はlike ~ wellで「好む」という意味だったが、likeの1語のみになった。
&lt;span class="spacer"&gt;&lt;/span&gt;「～の方が好き / ～が一番好き」という場合、wellの比較級 / 最上級を使ってlike ~ better / the bestとなるが、これはlike〜wellの名残である。&lt;/span&gt;&lt;/span&gt;</v>
      </c>
      <c r="R1381" s="13" t="str">
        <f>INDEX($L:$L, MATCH("proceed", $B:$B, 0))</f>
        <v>&lt;span class="w"&gt;&lt;b&gt;【1101.proceed：進む, 進行する】&lt;/b&gt;&lt;/span&gt;
&lt;span class="ml"&gt;ラテン語に由来する語で、以下の2つの要素から成る。
&lt;span class="spacer"&gt;&lt;/span&gt;pro（前へ）
cedere（行く, 進む）
&lt;span class="spacer"&gt;&lt;/span&gt;このまま日本語にすると「前へ進む」となり「進む, 進行する」という意味になる。名詞になるとprocess（過程, 経過）やprocedure（手続き）という進行途中や進行手順を表す。&lt;/span&gt;</v>
      </c>
      <c r="S1381" s="13" t="str">
        <f>INDEX($L:$L, MATCH("exceed", $B:$B, 0))</f>
        <v>&lt;span class="w"&gt;&lt;b&gt;【936.exceed：〜を超える, 〜を勝る】&lt;/b&gt;&lt;/span&gt;
&lt;span class="ml"&gt;ラテン語に由来する語で、以下の2つの要素から成る。
&lt;span class="spacer"&gt;&lt;/span&gt;ex（外に）
cedere（行く）
&lt;span class="spacer"&gt;&lt;/span&gt;このまま日本語にすると「外に行く」となる。ある範囲や基準の外に出て行くことから、何かを「超える, 勝る」という意味になる。
&lt;div class="sample_image exceed"&gt;&lt;/div&gt;&lt;/span&gt;</v>
      </c>
      <c r="T1381" s="13" t="str">
        <f>INDEX($L:$L, MATCH("excess", $B:$B, 0))</f>
        <v>&lt;span class="w"&gt;&lt;b&gt;【1163.excess：過剰, 超過】&lt;/b&gt;&lt;/span&gt;
&lt;span class="ml"&gt;ラテン語に由来する語で、以下の3つの要素から成る。
&lt;span class="spacer"&gt;&lt;/span&gt;ex（外に）
cedere（行く）
us（名詞化）
&lt;span class="spacer"&gt;&lt;/span&gt;このまま日本語にすると「外に行くこと」となる。もともとは、物理的に何かの範囲や領域、境界から外へ出ることを表した。そこから意味が抽象化し、基準や度合を超えること、つまり「超過, 過剰」という意味になった。&lt;/span&gt;</v>
      </c>
      <c r="U1381" s="13" t="str">
        <f>INDEX($L:$L, MATCH("access", $B:$B, 0))</f>
        <v>&lt;span class="w"&gt;&lt;b&gt;【169.access：利用, 入手, 接近】&lt;/b&gt;&lt;/span&gt;
&lt;span class="ml"&gt;ラテン語に由来する語で、以下の2つの要素から成る。
&lt;span class="spacer"&gt;&lt;/span&gt;ad（～へ）
cedere（行く）
&lt;span class="spacer"&gt;&lt;/span&gt;このまま日本語にすると「〜へ行く」となる。ここから「接近」という意味になる。さらに接近という物理的な移動から、近づいて何かを使うという「入手, 利用」という意味になる。
&lt;span class="spacer"&gt;&lt;/span&gt;The hotel has easy access to the station.
そのホテルは駅へのアクセスが良いという物理的な接近の話。
&lt;span class="spacer"&gt;&lt;/span&gt;Students have access to the library.
生徒は図書館を利用できるという利用可能性の話。&lt;/span&gt;</v>
      </c>
      <c r="V1381" s="13" t="str">
        <f>INDEX($L:$L, MATCH("recession", $B:$B, 0))</f>
        <v>&lt;span class="w"&gt;&lt;b&gt;【1171.recession：不況, 後退】&lt;/b&gt;&lt;/span&gt;
&lt;span class="ml"&gt;ラテン語に由来する語で、以下の3つの要素から成る。
&lt;span class="spacer"&gt;&lt;/span&gt;re（後ろへ）
cedere（行く, 進む）
io（名詞化）
&lt;span class="spacer"&gt;&lt;/span&gt;このまま日本語にすると「後ろへ行くこと」つまり「後退」という意味になる。世界恐慌時にdepression（大不況）よりも程度が軽く、一時的な経済の後退を表す言葉として使われたことから「不況」という意味になった。
&lt;div class="sample_image recession"&gt;&lt;/div&gt;&lt;/span&gt;</v>
      </c>
      <c r="W1381" s="13" t="str">
        <f>INDEX($L:$L, MATCH("necessary", $B:$B, 0))</f>
        <v>&lt;span class="w"&gt;&lt;b&gt;【199.necessary：必要な】&lt;/b&gt;&lt;/span&gt;
&lt;span class="ml"&gt;ラテン語に由来する語で、以下の3つの要素から成る。
&lt;span class="spacer"&gt;&lt;/span&gt;ne（=not：否定）
cedere（退く）
arius（形容詞化）
&lt;span class="spacer"&gt;&lt;/span&gt;このまま日本語にすると「退けない」となる。つまり何かを避けられない、それなしでは通れないということから不可欠＝「必要な」という意味になる。&lt;/span&gt;</v>
      </c>
      <c r="X1381" s="13" t="str">
        <f>INDEX($L:$L, MATCH("cease", $B:$B, 0))</f>
        <v>&lt;span class="w"&gt;&lt;b&gt;【1135.cease：〜をやめる】&lt;/b&gt;&lt;/span&gt;
&lt;span class="ml"&gt;ラテン語cedere（行く, 退く）から派生した反復形cessare（やめる）に由来する。
&lt;span class="spacer"&gt;&lt;/span&gt;もともとはその場から立ち去る、身を引くという物理的な動作を表した。そこから、今まで行っていた活動や状態から身を引く＝「やめる」という意味になった。&lt;/span&gt;</v>
      </c>
      <c r="Y1381" s="13" t="str">
        <f>INDEX($L:$L, MATCH("precede", $B:$B, 0))</f>
        <v>&lt;span class="w"&gt;&lt;b&gt;【1302.precede：〜に先行する】&lt;/b&gt;&lt;/span&gt;
&lt;span class="ml"&gt;ラテン語に由来する語で、以下の2つの要素から成る。
&lt;span class="spacer"&gt;&lt;/span&gt;prae（前に）
cedere（行く）
&lt;span class="spacer"&gt;&lt;/span&gt;このまま日本語にすると「前に行く」となり、時間的・空間的に何かに「先行する」という意味になる。&lt;/span&gt;
&lt;div class="animation precede"&gt;&lt;/div&gt;</v>
      </c>
      <c r="Z1381" s="13" t="str">
        <f>INDEX($L:$L, MATCH("ancestor", $B:$B, 0))</f>
        <v>&lt;span class="w"&gt;&lt;b&gt;【274.ancestor：祖先】&lt;/b&gt;&lt;/span&gt;
&lt;span class="ml"&gt;ラテン語に由来する語で、以下の3つの要素から成る。
&lt;span class="spacer"&gt;&lt;/span&gt;ante（前に）
cedere（行く, 進む）
or（〜する人）
&lt;span class="spacer"&gt;&lt;/span&gt;このまま日本語にすると「前に行く人」となる。自分たちよりも時間的に前を行く人から先代の人＝「祖先」という意味になる。
&lt;div class="sample_image ancestor"&gt;&lt;/div&gt;&lt;/span&gt;</v>
      </c>
      <c r="AU1381" s="15"/>
      <c r="AV1381" s="1" t="s">
        <v>38</v>
      </c>
      <c r="BG1381" s="7" t="s">
        <v>1242</v>
      </c>
      <c r="BH1381" s="1" t="s">
        <v>2034</v>
      </c>
      <c r="BI1381" s="2" t="s">
        <v>6695</v>
      </c>
      <c r="BJ1381" s="1" t="s">
        <v>6696</v>
      </c>
      <c r="BK1381" s="1" t="s">
        <v>6697</v>
      </c>
      <c r="BL1381" s="1" t="s">
        <v>2044</v>
      </c>
      <c r="BM1381" s="2" t="s">
        <v>6698</v>
      </c>
      <c r="BN1381" s="1" t="s">
        <v>1883</v>
      </c>
      <c r="BO1381" s="2" t="s">
        <v>6699</v>
      </c>
    </row>
    <row r="1382" spans="1:71" ht="144" x14ac:dyDescent="0.45">
      <c r="A1382" s="5">
        <v>1381</v>
      </c>
      <c r="B1382" s="8" t="s">
        <v>1116</v>
      </c>
      <c r="C1382" s="6" t="s">
        <v>6851</v>
      </c>
      <c r="D1382" s="7" t="s">
        <v>9752</v>
      </c>
      <c r="E1382" s="1" t="s">
        <v>27</v>
      </c>
      <c r="F1382" s="1" t="s">
        <v>9007</v>
      </c>
      <c r="G1382" s="1"/>
      <c r="J1382" s="1" t="s">
        <v>9753</v>
      </c>
      <c r="K1382" s="1" t="s">
        <v>6701</v>
      </c>
      <c r="L1382" s="2" t="s">
        <v>9877</v>
      </c>
      <c r="M1382" s="1" t="s">
        <v>12173</v>
      </c>
      <c r="P1382" s="7" t="s">
        <v>1241</v>
      </c>
      <c r="Q1382" s="13" t="str">
        <f>INDEX($L:$L, MATCH("define", $B:$B, 0))</f>
        <v>&lt;span class="w"&gt;&lt;b&gt;【226.define：〜を定義する, 〜を明確にする】&lt;/b&gt;&lt;/span&gt;
&lt;span class="ml"&gt;ラテン語に由来する語で、以下の2つの要素から成る。
&lt;span class="spacer"&gt;&lt;/span&gt;de（完全に）
finis（境界）から派生した動詞finire（境界を定める）
&lt;span class="spacer"&gt;&lt;/span&gt;このまま日本語にすると「完全に境界を定める」となる。曖昧さをなくし完全に線引きするイメージから、対象を「明確にする」にするという意味になる。これが言葉の意味を対象とすれば、言葉の意味を明確にする＝「定義する」という意味になる。
&lt;div class="sample_image define"&gt;&lt;/div&gt;&lt;/span&gt;</v>
      </c>
      <c r="R1382" s="13" t="str">
        <f>INDEX($L:$L, MATCH("confine", $B:$B, 0))</f>
        <v>&lt;span class="w"&gt;&lt;b&gt;【1316.confine：〜を限定する, 〜を閉じ込める】&lt;/b&gt;&lt;/span&gt;
&lt;span class="ml"&gt;ラテン語に由来する語で、以下の2つの要素から成る。
&lt;span class="spacer"&gt;&lt;/span&gt;com（共に）
finis（終わり, 境界）
&lt;span class="spacer"&gt;&lt;/span&gt;もともとは、物理的に同じ境界を持っている、つまり隣り合っていることを表した。そこから境界を引いて、その中から出ないようにする行為へと発展して「閉じ込める, 限定する」という意味になった。
&lt;span class="spacer"&gt;&lt;/span&gt;confineのfine部分は、finishのfinやdefineのfineと同じ。
&lt;div class="sample_image confine"&gt;&lt;/div&gt;&lt;/span&gt;</v>
      </c>
      <c r="S1382" s="13" t="str">
        <f>INDEX($L:$L, MATCH("refine", $B:$B, 0))</f>
        <v>&lt;span class="w"&gt;&lt;b&gt;【1438.refine：〜を洗練する, 〜を精製する】&lt;/b&gt;&lt;/span&gt;
&lt;span class="ml"&gt;近代英語にさかのぼり、以下の2つの要素から成る。
&lt;span class="spacer"&gt;&lt;/span&gt;re（再び）
fine（洗練させる, 精製する）
&lt;span class="spacer"&gt;&lt;/span&gt;このfineは、ラテン語finis（終わり）に由来する（finishと同じ）。この語の核は「何度も終わりを繰り返して完璧な状態へと仕上げる」。そこから金属などを限りなく純粋で完成されたものにする＝「精製する」という意味になる。
&lt;span class="spacer"&gt;&lt;/span&gt;またマナー・技術・計画・アイデアなどを完成されたものにする＝「洗練させる」という意味になる。
&lt;div class="sample_image refine"&gt;&lt;/div&gt;&lt;/span&gt;</v>
      </c>
      <c r="T1382" s="13" t="str">
        <f>INDEX($L:$L, MATCH("financial", $B:$B, 0))</f>
        <v>&lt;span class="w"&gt;&lt;b&gt;【188.financial：財政の】&lt;/b&gt;&lt;/span&gt;
&lt;span class="ml"&gt;ラテン語fin（終わり）に由来する。
&lt;span class="spacer"&gt;&lt;/span&gt;financeやfinancialは、finis（終わり）が特に「支払いで決着をつける」という金銭的な意味と結びついて発展した語。そこから支払いなどの金銭管理を表すようになり「財政の」という意味になった。&lt;/span&gt;</v>
      </c>
      <c r="AU1382" s="15"/>
      <c r="AV1382" s="1" t="s">
        <v>38</v>
      </c>
      <c r="BG1382" s="7" t="s">
        <v>1242</v>
      </c>
      <c r="BH1382" s="1" t="s">
        <v>2034</v>
      </c>
      <c r="BI1382" s="2" t="s">
        <v>6702</v>
      </c>
      <c r="BJ1382" s="1" t="s">
        <v>6696</v>
      </c>
      <c r="BK1382" s="2" t="s">
        <v>6703</v>
      </c>
      <c r="BL1382" s="1" t="s">
        <v>2044</v>
      </c>
      <c r="BM1382" s="2" t="s">
        <v>6704</v>
      </c>
    </row>
    <row r="1383" spans="1:71" ht="180" x14ac:dyDescent="0.45">
      <c r="A1383" s="5">
        <v>1382</v>
      </c>
      <c r="B1383" s="8" t="s">
        <v>6705</v>
      </c>
      <c r="C1383" s="6" t="s">
        <v>6851</v>
      </c>
      <c r="D1383" s="7" t="s">
        <v>9752</v>
      </c>
      <c r="E1383" s="1" t="s">
        <v>143</v>
      </c>
      <c r="F1383" s="1" t="s">
        <v>9008</v>
      </c>
      <c r="G1383" s="1"/>
      <c r="J1383" s="1" t="s">
        <v>9753</v>
      </c>
      <c r="K1383" s="1" t="s">
        <v>6706</v>
      </c>
      <c r="L1383" s="2" t="s">
        <v>9878</v>
      </c>
      <c r="P1383" s="7" t="s">
        <v>1241</v>
      </c>
      <c r="Q1383" s="13" t="str">
        <f>INDEX($L:$L, MATCH("worth", $B:$B, 0))</f>
        <v>&lt;span class="w"&gt;&lt;b&gt;【191.worth：価値がある, 値する】&lt;/b&gt;&lt;/span&gt;
&lt;span class="ml"&gt;古英語weorþ（価値がある）に由来する。
&lt;span class="spacer"&gt;&lt;/span&gt;古英語から意味の変化はほとんどない。&lt;/span&gt;</v>
      </c>
      <c r="AU1383" s="15"/>
      <c r="AV1383" s="1" t="s">
        <v>38</v>
      </c>
      <c r="BG1383" s="7" t="s">
        <v>1242</v>
      </c>
      <c r="BH1383" s="1" t="s">
        <v>2129</v>
      </c>
      <c r="BI1383" s="2" t="s">
        <v>6707</v>
      </c>
      <c r="BJ1383" s="1" t="s">
        <v>2044</v>
      </c>
      <c r="BK1383" s="2" t="s">
        <v>6708</v>
      </c>
      <c r="BL1383" s="1" t="s">
        <v>1883</v>
      </c>
      <c r="BM1383" s="2" t="s">
        <v>6709</v>
      </c>
    </row>
    <row r="1384" spans="1:71" ht="396" x14ac:dyDescent="0.45">
      <c r="A1384" s="5">
        <v>1383</v>
      </c>
      <c r="B1384" s="8" t="s">
        <v>1117</v>
      </c>
      <c r="C1384" s="6" t="s">
        <v>6851</v>
      </c>
      <c r="D1384" s="7" t="s">
        <v>9752</v>
      </c>
      <c r="E1384" s="1" t="s">
        <v>27</v>
      </c>
      <c r="F1384" s="1" t="s">
        <v>9009</v>
      </c>
      <c r="G1384" s="1" t="s">
        <v>1456</v>
      </c>
      <c r="J1384" s="1" t="s">
        <v>9753</v>
      </c>
      <c r="K1384" s="2"/>
      <c r="L1384" s="2" t="s">
        <v>9879</v>
      </c>
      <c r="M1384" s="1" t="s">
        <v>12222</v>
      </c>
      <c r="P1384" s="7" t="s">
        <v>1241</v>
      </c>
      <c r="Q1384" s="13" t="str">
        <f>INDEX($L:$L, MATCH("depend", $B:$B, 0))</f>
        <v>&lt;span class="w"&gt;&lt;b&gt;【36.depend：頼る, ～次第である】&lt;/b&gt;&lt;/span&gt;
&lt;span class="ml"&gt;ラテン語に由来する語で、以下の2つの要素から成る。
&lt;span class="spacer"&gt;&lt;/span&gt;de（下に）
pendere（ぶら下がる）
&lt;span class="spacer"&gt;&lt;/span&gt;このまま日本語にすると「下にぶら下がる」となる。ある対象をつかんでぶら下がる
というイメージから、対象に「頼る」という意味になる。
&lt;span class="spacer"&gt;&lt;/span&gt;対象頼みということは、ぶら下がっている対象によってその後どうなるかが決まる。そのため「～次第である」という意味になる。
&lt;div class="sample_image depend"&gt;&lt;/div&gt;&lt;/span&gt;</v>
      </c>
      <c r="R1384" s="13" t="str">
        <f>INDEX($L:$L, MATCH("independent", $B:$B, 0))</f>
        <v>&lt;span class="w"&gt;&lt;b&gt;【295.independent：独立している】&lt;/b&gt;&lt;/span&gt;
&lt;span class="ml"&gt;近代英語にできた語で、以下の2つの要素から成る。
&lt;span class="spacer"&gt;&lt;/span&gt;in（否定）
dependent（依存している）
&lt;span class="spacer"&gt;&lt;/span&gt;independentは「相手にぶら下がっていない」というイメージ。相手に依存せず自分で立っている、つまり「独立している」という意味になる。&lt;/span&gt;</v>
      </c>
      <c r="S1384" s="13" t="str">
        <f>INDEX($L:$L, MATCH("suspend", $B:$B, 0))</f>
        <v>&lt;span class="w"&gt;&lt;b&gt;【1228.suspend：〜を一時的に停止する】&lt;/b&gt;&lt;/span&gt;
&lt;span class="ml"&gt;ラテン語に由来する語で、以下の2つの要素から成る。
&lt;span class="spacer"&gt;&lt;/span&gt;sub（下から）
pendere（吊るす）
&lt;span class="spacer"&gt;&lt;/span&gt;このまま日本語にすると「下から吊るす」となる。下から何かを吊ってぶら下げることから「一時的に停止する」という意味になる。
&lt;div class="sample_image suspend"&gt;&lt;/div&gt;&lt;/span&gt;</v>
      </c>
      <c r="T1384" s="13" t="str">
        <f>INDEX($L:$L, MATCH("expense", $B:$B, 0))</f>
        <v>&lt;span class="w"&gt;&lt;b&gt;【545.expense：経費, 費用, 犠牲】&lt;/b&gt;&lt;/span&gt;
&lt;span class="ml"&gt;ラテン語に由来する語で、以下の2つの要素から成る。
&lt;span class="spacer"&gt;&lt;/span&gt;ex（外に）
pendere（吊るす）
&lt;span class="spacer"&gt;&lt;/span&gt;このまま日本語にすると「外に吊るすもの」となる。当時はお金を天秤に吊るし、重さを量ることで支払いが行われたことから、外に吊るすものは支払われるものを表す。ここから「費用, 経費」という意味になった。
&lt;span class="spacer"&gt;&lt;/span&gt;また、お金を支払うことから意味が広がり、時間や労力、健康などの目に見えない価値あるものを支払うことから「犠牲」という意味にもなった。
&lt;span class="spacer"&gt;&lt;/span&gt;expenseから生まれた形容詞がexpensive（高価な）なので、関連させて覚えるとよい。&lt;/span&gt;</v>
      </c>
      <c r="U1384" s="13" t="str">
        <f>INDEX($L:$L, MATCH("pension", $B:$B, 0))</f>
        <v>&lt;span class="w"&gt;&lt;b&gt;【1246.pension：年金】&lt;/b&gt;&lt;/span&gt;
&lt;span class="ml"&gt;ラテン語に由来する語で、以下の2つの要素から成る。
&lt;span class="spacer"&gt;&lt;/span&gt;pendere（吊るす, 量る, 支払う）
io（名詞化）
&lt;span class="spacer"&gt;&lt;/span&gt;このまま日本語にすると「吊るすこと」となる。古代ローマでは、現代のようにお金に書かれた金額を信じるのではなく、金貨や銀貨などを天秤に吊るし、その重さで価値を決めて支払っていた。そこから吊るすという行為が、支払うという行為につながった。
&lt;span class="spacer"&gt;&lt;/span&gt;当初は報酬や手当といった定期的な支払いを表したが、時代が下り、過去の勤務や奉仕に対する定期的な支払い、すなわち「年金」という意味になった。
&lt;div class="sample_image pension"&gt;&lt;/div&gt;&lt;/span&gt;</v>
      </c>
      <c r="V1384" s="13" t="str">
        <f>INDEX($L:$L, MATCH("compensate", $B:$B, 0))</f>
        <v>&lt;span class="w"&gt;&lt;b&gt;【1338.compensate：補償する, 埋め合わせる】&lt;/b&gt;&lt;/span&gt;
&lt;span class="ml"&gt;ラテン語に由来する語で、以下の2つの要素から成る。
&lt;span class="spacer"&gt;&lt;/span&gt;com（共に）
pendere（吊るす, 重さを量る, 支払う）
&lt;span class="spacer"&gt;&lt;/span&gt;このまま日本語にすると「共に吊るす」となる。これは、天秤の両側に物を載せて釣り合わせ、重さを量るイメージ。そこから、誰かが被った損失や被害（マイナス）を天秤の片方に載せ、もう片方に、それと釣り合うだけの金銭や代替物（プラス）を載せてバランスをとる、すなわち何かに対して「補償する, 埋め合わせる」という意味になった。
&lt;div class="sample_image compensate"&gt;&lt;/div&gt;&lt;/span&gt;</v>
      </c>
      <c r="AU1384" s="15"/>
      <c r="AV1384" s="1" t="s">
        <v>38</v>
      </c>
      <c r="BG1384" s="7" t="s">
        <v>1242</v>
      </c>
      <c r="BH1384" s="1" t="s">
        <v>2034</v>
      </c>
      <c r="BI1384" s="2" t="s">
        <v>9880</v>
      </c>
      <c r="BJ1384" s="1" t="s">
        <v>1980</v>
      </c>
      <c r="BK1384" s="2" t="s">
        <v>9881</v>
      </c>
      <c r="BL1384" s="1" t="s">
        <v>1883</v>
      </c>
      <c r="BM1384" s="2" t="s">
        <v>6710</v>
      </c>
    </row>
    <row r="1385" spans="1:71" ht="234" x14ac:dyDescent="0.45">
      <c r="A1385" s="5">
        <v>1384</v>
      </c>
      <c r="B1385" s="6" t="s">
        <v>1118</v>
      </c>
      <c r="C1385" s="6" t="s">
        <v>6851</v>
      </c>
      <c r="D1385" s="7" t="s">
        <v>9752</v>
      </c>
      <c r="E1385" s="1" t="s">
        <v>1467</v>
      </c>
      <c r="F1385" s="1" t="s">
        <v>9010</v>
      </c>
      <c r="G1385" s="1" t="s">
        <v>3331</v>
      </c>
      <c r="J1385" s="1" t="s">
        <v>9753</v>
      </c>
      <c r="L1385" s="2" t="s">
        <v>9882</v>
      </c>
      <c r="P1385" s="7" t="s">
        <v>1241</v>
      </c>
      <c r="Q1385" s="13" t="str">
        <f>INDEX($L:$L, MATCH("appeal", $B:$B, 0))</f>
        <v>&lt;span class="w"&gt;&lt;b&gt;【426.appeal：訴える, 抗議する, 上訴する】&lt;/b&gt;&lt;/span&gt;
&lt;span class="ml"&gt;ラテン語に由来する語で、以下の2つの要素から成る。
&lt;span class="spacer"&gt;&lt;/span&gt;ad（〜へ）
pellere（打つ, 押す）
&lt;span class="spacer"&gt;&lt;/span&gt;このまま日本語にすると「〜へ押す」となる。これは、相手へ向かって強く働きかけるイメージ。そこから、人に向かって訴えかけることを表し、何かを「訴える, 抗議する, 上訴する」という意味になった。&lt;/span&gt;</v>
      </c>
      <c r="R1385" s="13" t="str">
        <f>INDEX($L:$L, MATCH("impulse", $B:$B, 0))</f>
        <v>&lt;span class="w"&gt;&lt;b&gt;【1243.impulse：衝動】&lt;/b&gt;&lt;/span&gt;
&lt;span class="ml"&gt;ラテン語に由来する語で、以下の2つの要素から成る。
&lt;span class="spacer"&gt;&lt;/span&gt;in（中に）
pellere（押す）
&lt;span class="spacer"&gt;&lt;/span&gt;このまま日本語にすると「中に押し込む」となる。もともとは物理的な押し込む力を表したが、そこから心理面において心を突き動かす力、すなわち「衝動」という意味になった。&lt;/span&gt;</v>
      </c>
      <c r="S1385" s="13" t="str">
        <f>INDEX($L:$L, MATCH("compel", $B:$B, 0))</f>
        <v>&lt;span class="w"&gt;&lt;b&gt;【1304.compel：〜に強いる】&lt;/b&gt;&lt;/span&gt;
&lt;span class="ml"&gt;ラテン語に由来する語で、以下の2つの要素から成る。
&lt;span class="spacer"&gt;&lt;/span&gt;com（共に）
pellere（駆り立てる）
&lt;span class="spacer"&gt;&lt;/span&gt;このまま日本語にすると「一緒に駆り立てる」となる。もともとは、家畜の群れをを一箇所に追い立てることを表した。そこから、次第に人に対して使われるようになり、人がやりたくないことを力や権威によって「強いる」という心理的・社会的な強制力を表す意味になった。
&lt;div class="sample_image compel"&gt;&lt;/div&gt;&lt;/span&gt;</v>
      </c>
      <c r="AU1385" s="15"/>
      <c r="AV1385" s="1" t="s">
        <v>38</v>
      </c>
      <c r="BG1385" s="7" t="s">
        <v>1242</v>
      </c>
      <c r="BH1385" s="1" t="s">
        <v>2034</v>
      </c>
      <c r="BI1385" s="2" t="s">
        <v>6711</v>
      </c>
      <c r="BJ1385" s="1" t="s">
        <v>1980</v>
      </c>
      <c r="BK1385" s="2" t="s">
        <v>6712</v>
      </c>
      <c r="BL1385" s="1" t="s">
        <v>1883</v>
      </c>
      <c r="BM1385" s="2" t="s">
        <v>6713</v>
      </c>
    </row>
    <row r="1386" spans="1:71" ht="180" x14ac:dyDescent="0.45">
      <c r="A1386" s="5">
        <v>1385</v>
      </c>
      <c r="B1386" s="8" t="s">
        <v>1119</v>
      </c>
      <c r="C1386" s="6" t="s">
        <v>6851</v>
      </c>
      <c r="D1386" s="7" t="s">
        <v>9752</v>
      </c>
      <c r="E1386" s="1" t="s">
        <v>9011</v>
      </c>
      <c r="F1386" s="1" t="s">
        <v>1456</v>
      </c>
      <c r="G1386" s="1"/>
      <c r="J1386" s="1" t="s">
        <v>9753</v>
      </c>
      <c r="L1386" s="2" t="s">
        <v>9883</v>
      </c>
      <c r="M1386" s="1" t="s">
        <v>12193</v>
      </c>
      <c r="P1386" s="7" t="s">
        <v>1241</v>
      </c>
      <c r="Q1386" s="13" t="str">
        <f>INDEX($L:$L, MATCH("prove", $B:$B, 0))</f>
        <v>&lt;span class="w"&gt;&lt;b&gt;【126.prove：～を証明する, 判明する】&lt;/b&gt;&lt;/span&gt;
&lt;span class="ml"&gt;ラテン語probus（善良な, 立派な, 正直な）から派生したprobare（信頼できるものと示す, 試す）に由来する。
&lt;span class="spacer"&gt;&lt;/span&gt;試して示すことから何かを「証明する」という意味になる。またその結果「判明する」となる。&lt;/span&gt;</v>
      </c>
      <c r="R1386" s="13" t="str">
        <f>INDEX($L:$L, MATCH("approve", $B:$B, 0))</f>
        <v>&lt;span class="w"&gt;&lt;b&gt;【802.approve：賛成する, 〜を承認する】&lt;/b&gt;&lt;/span&gt;
&lt;span class="ml"&gt;ラテン語に由来する語で、以下の2つの要素から成る。
&lt;span class="spacer"&gt;&lt;/span&gt;ad（〜へ）
probus（良い, 正直な）から派生したprobare（良いかどうかを試す, 良いとわかる）
&lt;span class="spacer"&gt;&lt;/span&gt;このまま日本語にすると「何かに対して良いかどうかを試し、良いとわかる」となる。そこから、思考や判断などのプロセスを経て「賛成する, 承認する」という意味になる。
&lt;span class="spacer"&gt;&lt;/span&gt;ad（〜へ）が付かなければproveになる。proveは「証明する, わかる」、approveは何かに対して良いとわかった結果「賛成する, 承認する」というイメージで覚える。
&lt;div class="sample_image approve"&gt;&lt;/div&gt;&lt;/span&gt;</v>
      </c>
      <c r="AU1386" s="15"/>
      <c r="AV1386" s="1" t="s">
        <v>38</v>
      </c>
      <c r="BG1386" s="7" t="s">
        <v>1242</v>
      </c>
      <c r="BH1386" s="1" t="s">
        <v>2034</v>
      </c>
      <c r="BI1386" s="2" t="s">
        <v>6714</v>
      </c>
      <c r="BJ1386" s="1" t="s">
        <v>6696</v>
      </c>
      <c r="BK1386" s="2" t="s">
        <v>6715</v>
      </c>
      <c r="BL1386" s="1" t="s">
        <v>2044</v>
      </c>
      <c r="BM1386" s="2" t="s">
        <v>6716</v>
      </c>
    </row>
    <row r="1387" spans="1:71" ht="198" x14ac:dyDescent="0.45">
      <c r="A1387" s="5">
        <v>1386</v>
      </c>
      <c r="B1387" s="8" t="s">
        <v>6717</v>
      </c>
      <c r="C1387" s="6" t="s">
        <v>6851</v>
      </c>
      <c r="D1387" s="7" t="s">
        <v>9752</v>
      </c>
      <c r="E1387" s="1" t="s">
        <v>9012</v>
      </c>
      <c r="F1387" s="1" t="s">
        <v>9013</v>
      </c>
      <c r="G1387" s="1" t="s">
        <v>9014</v>
      </c>
      <c r="J1387" s="1" t="s">
        <v>9753</v>
      </c>
      <c r="L1387" s="3" t="s">
        <v>9903</v>
      </c>
      <c r="M1387" s="1" t="s">
        <v>12215</v>
      </c>
      <c r="P1387" s="7" t="s">
        <v>1241</v>
      </c>
      <c r="Q1387" s="13" t="str">
        <f>INDEX($L:$L, MATCH("active", $B:$B, 0))</f>
        <v>&lt;span class="w"&gt;&lt;b&gt;【193.active：積極的な, 活動的な】&lt;/b&gt;&lt;/span&gt;
&lt;span class="ml"&gt;ラテン語に由来する語で、以下の2つの要素から成る。
&lt;span class="spacer"&gt;&lt;/span&gt;agere（行う）の過去分詞actus（行為）
ivus（形容詞化）
&lt;span class="spacer"&gt;&lt;/span&gt;この形容詞は何かの行為をしている状態を表し、そこから「活動的な」という意味になる。また自分で進んで活動することから「積極的な」という意味にもなる。&lt;/span&gt;</v>
      </c>
      <c r="R1387" s="13" t="str">
        <f>INDEX($L:$L, MATCH("actual", $B:$B, 0))</f>
        <v>&lt;span class="w"&gt;&lt;b&gt;【297.actual：実際の, 現実の】&lt;/b&gt;&lt;/span&gt;
&lt;span class="ml"&gt;ラテン語に由来する語で、以下の2つの要素から成る。
&lt;span class="spacer"&gt;&lt;/span&gt;agere（行う）から派生したactus（行為）
alis（形容詞化）
&lt;span class="spacer"&gt;&lt;/span&gt;「行為に関する」という形容詞は、理想（ideal）や潜在（potential）ではなく、現実に行われたということを意味する。ここから「実際の, 現実の」となる。&lt;/span&gt;</v>
      </c>
      <c r="S1387" s="13" t="str">
        <f>INDEX($L:$L, MATCH("transaction", $B:$B, 0))</f>
        <v>&lt;span class="w"&gt;&lt;b&gt;【1447.transaction：（商）取引, 決済, 処理】&lt;/b&gt;&lt;/span&gt;
&lt;span class="ml"&gt;ラテン語に由来する語で、以下の3つの要素から成る。
&lt;span class="spacer"&gt;&lt;/span&gt;trans（越えて, 通して）
agere（動かす, 行う）
io（名詞化）
&lt;span class="spacer"&gt;&lt;/span&gt;このまま日本語にすると「（物事を最後まで）通して行うこと」となる。もともとは、何かを最後までやり遂げることを表した。そこから、業務や契約などの正式な「処理」、さらに商業における「取引」や「決済」も意味するようになった。
&lt;div class="sample_image transaction"&gt;&lt;/div&gt;&lt;/span&gt;</v>
      </c>
      <c r="T1387" s="13" t="str">
        <f>INDEX($L:$L, MATCH("interact", $B:$B, 0))</f>
        <v>&lt;span class="w"&gt;&lt;b&gt;【537.interact：影響し合う, 相互に作用する】&lt;/b&gt;&lt;/span&gt;
&lt;span class="ml"&gt;近代英語にさかのぼり、以下の2つの要素から成る。
&lt;span class="spacer"&gt;&lt;/span&gt;inter（〜の間に）
act（行う, 作用する）
&lt;span class="spacer"&gt;&lt;/span&gt;このまま日本語にすると「何かと何かの間で作用する」となる。ここから「お互いが影響し合う」や「相互に作用する」という意味になる。&lt;/span&gt;</v>
      </c>
      <c r="U1387" s="13" t="str">
        <f>INDEX($L:$L, MATCH("exact", $B:$B, 0))</f>
        <v>&lt;span class="w"&gt;&lt;b&gt;【598.exact：正確な, まさにその】&lt;/b&gt;&lt;/span&gt;
&lt;span class="ml"&gt;ラテン語に由来する語で、以下の2つの要素から成る。
&lt;span class="spacer"&gt;&lt;/span&gt;ex（外へ）
agere（動かす, 駆り立てる）
&lt;span class="spacer"&gt;&lt;/span&gt;このまま日本語にすると「外へ駆り立てる」となる。これは、物事を最後まで徹底的にやり切らせることを表した。そこから、抜けや不足がなく徹底的に行われて完了したことを表すようになり、「正確な, まさにその」という意味へとつながった。&lt;/span&gt;</v>
      </c>
      <c r="V1387" s="13" t="str">
        <f>INDEX($L:$L, MATCH("react", $B:$B, 0))</f>
        <v>&lt;span class="w"&gt;&lt;b&gt;【605.react：反応する】&lt;/b&gt;&lt;/span&gt;
&lt;span class="ml"&gt;近代英語にさかのぼり、以下の2つの要素から成る。
&lt;span class="spacer"&gt;&lt;/span&gt;re（後ろへ, 返して）
act（行う）
&lt;span class="spacer"&gt;&lt;/span&gt;このまま日本語にすると「何かに返して行う」となる。出来事や行為に対して何かを行うことから「反応する」という意味になる。&lt;/span&gt;</v>
      </c>
      <c r="W1387" s="13" t="str">
        <f>INDEX($L:$L, MATCH("agent", $B:$B, 0))</f>
        <v>&lt;span class="w"&gt;&lt;b&gt;【752.agent：仲介者, 代理人】&lt;/b&gt;&lt;/span&gt;
&lt;span class="ml"&gt;ラテン語に由来する語で、以下の2つの要素から成る。
&lt;span class="spacer"&gt;&lt;/span&gt;agere（行う）
ens（現在分詞を作る：〜しているもの）
&lt;span class="spacer"&gt;&lt;/span&gt;このまま日本語にすると「何かを行なっているもの」となる。もともとは行為者を表していたが、そこから誰かに代わって行動する者、すなわち「代理人, 仲介者」という意味になった。また「特定の作用を引き起こす原因となる物質や力」という意味もある。&lt;/span&gt;</v>
      </c>
      <c r="X1387" s="13" t="str">
        <f>INDEX($L:$L, MATCH("agenda", $B:$B, 0))</f>
        <v>&lt;span class="w"&gt;&lt;b&gt;【1347.agenda：協議事項, 会議の議題, 予定, 計画, 隠れた意図】&lt;/b&gt;&lt;/span&gt;
&lt;span class="ml"&gt;ラテン語agere（行う, 駆り立てる）から派生したagendus（行われるべき）に由来する。
&lt;span class="spacer"&gt;&lt;/span&gt;この語の核は「行われるべき事柄」。会議で行われるべきことなら「協議事項, 会議の議題」という意味に、個人や組織の行われるべきことなら「予定・計画」という意味に、表に出ていない行われるべきことなら「隠れた意図」という意味になる。
&lt;span class="spacer"&gt;&lt;/span&gt;イメージとしてはto-do list（やるべきことリスト）やplan（計画）に近い。
&lt;div class="sample_image agenda"&gt;&lt;/div&gt;
&lt;span class="spacer"&gt;&lt;/span&gt;ラテン語agereからは、act（行動する）やagent（代理人, 行為者）なども生まれている。actは行うという行為、agentは行う人、agendaは行うべきことの協議リストを指す。&lt;/span&gt;</v>
      </c>
      <c r="AU1387" s="15"/>
      <c r="AV1387" s="1" t="s">
        <v>38</v>
      </c>
      <c r="BG1387" s="7" t="s">
        <v>1242</v>
      </c>
      <c r="BH1387" s="1" t="s">
        <v>2034</v>
      </c>
      <c r="BI1387" s="2" t="s">
        <v>6718</v>
      </c>
      <c r="BJ1387" s="1" t="s">
        <v>1883</v>
      </c>
      <c r="BK1387" s="2" t="s">
        <v>6719</v>
      </c>
    </row>
    <row r="1388" spans="1:71" ht="144" x14ac:dyDescent="0.45">
      <c r="A1388" s="5">
        <v>1387</v>
      </c>
      <c r="B1388" s="6" t="s">
        <v>6720</v>
      </c>
      <c r="C1388" s="6" t="s">
        <v>6851</v>
      </c>
      <c r="D1388" s="7" t="s">
        <v>9752</v>
      </c>
      <c r="E1388" s="1" t="s">
        <v>1397</v>
      </c>
      <c r="F1388" s="1" t="s">
        <v>9015</v>
      </c>
      <c r="G1388" s="1"/>
      <c r="J1388" s="1" t="s">
        <v>9753</v>
      </c>
      <c r="L1388" s="3" t="s">
        <v>9884</v>
      </c>
      <c r="P1388" s="7" t="s">
        <v>1241</v>
      </c>
      <c r="AU1388" s="15"/>
      <c r="AV1388" s="1" t="s">
        <v>38</v>
      </c>
      <c r="BG1388" s="7" t="s">
        <v>1242</v>
      </c>
      <c r="BH1388" s="1" t="s">
        <v>2034</v>
      </c>
      <c r="BI1388" s="2" t="s">
        <v>6721</v>
      </c>
      <c r="BJ1388" s="1" t="s">
        <v>6696</v>
      </c>
      <c r="BK1388" s="1" t="s">
        <v>6722</v>
      </c>
      <c r="BL1388" s="1" t="s">
        <v>2044</v>
      </c>
      <c r="BM1388" s="2" t="s">
        <v>6723</v>
      </c>
      <c r="BN1388" s="1" t="s">
        <v>1883</v>
      </c>
      <c r="BO1388" s="2" t="s">
        <v>6724</v>
      </c>
    </row>
    <row r="1389" spans="1:71" ht="198" x14ac:dyDescent="0.45">
      <c r="A1389" s="5">
        <v>1388</v>
      </c>
      <c r="B1389" s="6" t="s">
        <v>6725</v>
      </c>
      <c r="C1389" s="6" t="s">
        <v>6851</v>
      </c>
      <c r="D1389" s="7" t="s">
        <v>9752</v>
      </c>
      <c r="E1389" s="1" t="s">
        <v>9016</v>
      </c>
      <c r="F1389" s="1" t="s">
        <v>1551</v>
      </c>
      <c r="G1389" s="1" t="s">
        <v>49</v>
      </c>
      <c r="J1389" s="1" t="s">
        <v>9753</v>
      </c>
      <c r="L1389" s="2" t="s">
        <v>9885</v>
      </c>
      <c r="P1389" s="7" t="s">
        <v>1241</v>
      </c>
      <c r="AU1389" s="15"/>
      <c r="AV1389" s="1" t="s">
        <v>38</v>
      </c>
      <c r="BG1389" s="7" t="s">
        <v>1242</v>
      </c>
      <c r="BH1389" s="1" t="s">
        <v>6700</v>
      </c>
      <c r="BI1389" s="2" t="s">
        <v>6726</v>
      </c>
      <c r="BJ1389" s="1" t="s">
        <v>6727</v>
      </c>
      <c r="BK1389" s="1" t="s">
        <v>6728</v>
      </c>
      <c r="BL1389" s="1" t="s">
        <v>1883</v>
      </c>
      <c r="BM1389" s="2" t="s">
        <v>6729</v>
      </c>
    </row>
    <row r="1390" spans="1:71" ht="252" x14ac:dyDescent="0.45">
      <c r="A1390" s="5">
        <v>1389</v>
      </c>
      <c r="B1390" s="6" t="s">
        <v>1120</v>
      </c>
      <c r="C1390" s="6" t="s">
        <v>6851</v>
      </c>
      <c r="D1390" s="7" t="s">
        <v>9752</v>
      </c>
      <c r="E1390" s="1" t="s">
        <v>6987</v>
      </c>
      <c r="F1390" s="1" t="s">
        <v>9017</v>
      </c>
      <c r="G1390" s="1"/>
      <c r="J1390" s="1" t="s">
        <v>9753</v>
      </c>
      <c r="L1390" s="3" t="s">
        <v>9961</v>
      </c>
      <c r="M1390" s="1" t="s">
        <v>12221</v>
      </c>
      <c r="P1390" s="7" t="s">
        <v>1241</v>
      </c>
      <c r="Q1390" s="13" t="str">
        <f>INDEX($L:$L, MATCH("fraction", $B:$B, 0))</f>
        <v>&lt;span class="w"&gt;&lt;b&gt;【1271.fraction：わずか, 一部, 分数】&lt;/b&gt;&lt;/span&gt;
&lt;span class="ml"&gt;ラテン語に由来する語で、以下の2つの要素から成る。
&lt;span class="spacer"&gt;&lt;/span&gt;frangere（砕く, 壊す）
io（名詞化）
&lt;span class="spacer"&gt;&lt;/span&gt;この語の核は「全体を壊してバラバラになった部分」。そこから、整数を壊して細かくした「分数」や、壊れてバラバラになった「一部, わずか」という意味になる。
&lt;span class="spacer"&gt;&lt;/span&gt;fractionは、break（壊す）と同じ印欧祖語*bhreg-（壊す）にさかのぼる。
frac (tion)
break
f（フ）＋母音＋c（ク）
b（ブ）＋母音＋k（ク）
&lt;span class="spacer"&gt;&lt;/span&gt;現在でも両者は音の類似性を保持している。&lt;/span&gt;</v>
      </c>
      <c r="R1390" s="13" t="str">
        <f>INDEX($L:$L, MATCH("fragment", $B:$B, 0))</f>
        <v>&lt;span class="w"&gt;&lt;b&gt;【1457.fragment：断片】&lt;/b&gt;&lt;/span&gt;
&lt;span class="ml"&gt;ラテン語に由来する語で、以下の2つの要素から成る。
&lt;span class="spacer"&gt;&lt;/span&gt;frangere（壊す）
mentum（名詞化）
&lt;span class="spacer"&gt;&lt;/span&gt;壊れてバラバラになったものから、その「断片」という意味になる。
&lt;span class="spacer"&gt;&lt;/span&gt;fragmentは、break（壊す）と同じ印欧祖語*bhreg-（壊す）にさかのぼる。
frag (ment)
break
f（フ）＋母音＋g（グ）
b（ブ）＋母音＋k（ク）
&lt;span class="spacer"&gt;&lt;/span&gt;現在でも両者は音の類似性を保持している。&lt;/span&gt;</v>
      </c>
      <c r="S1390" s="13" t="str">
        <f>INDEX($L:$L, MATCH("outbreak", $B:$B, 0))</f>
        <v>&lt;span class="w"&gt;&lt;b&gt;【1351.outbreak：発生, 勃発】&lt;/b&gt;&lt;/span&gt;
&lt;span class="ml"&gt;中英語outbreak（閉じ込められた状態から突発的に外へ出る）にさかのぼる。
&lt;span class="spacer"&gt;&lt;/span&gt;内側に閉じ込められていたものが、突然壁を破って出てくるイメージから「発生, 勃発」という意味になる。&lt;/span&gt;</v>
      </c>
      <c r="T1390" s="13" t="str">
        <f>INDEX($L:$L, MATCH("breakthrough", $B:$B, 0))</f>
        <v>&lt;span class="w"&gt;&lt;b&gt;【1462.breakthrough：大発見, 飛躍的進歩】&lt;/b&gt;&lt;/span&gt;
&lt;span class="ml"&gt;中英語にさかのぼり、以下の2つの要素から成る。
&lt;span class="spacer"&gt;&lt;/span&gt;break（壊す）
through（通って）
&lt;span class="spacer"&gt;&lt;/span&gt;この語の核は「障壁を突き破って通り抜けること」。いままで成長や進展を阻み続けた壁を破壊し、通り抜けてさらに先へ進むことから、「大発見, 飛躍的進歩」といった意味になる。
&lt;div class="sample_image breakthrough"&gt;&lt;/div&gt;&lt;/span&gt;</v>
      </c>
      <c r="AU1390" s="15"/>
      <c r="AV1390" s="1" t="s">
        <v>38</v>
      </c>
      <c r="BG1390" s="7" t="s">
        <v>1242</v>
      </c>
      <c r="BH1390" s="1" t="s">
        <v>2254</v>
      </c>
      <c r="BI1390" s="2" t="s">
        <v>6730</v>
      </c>
      <c r="BJ1390" s="1" t="s">
        <v>2034</v>
      </c>
      <c r="BK1390" s="2" t="s">
        <v>6731</v>
      </c>
      <c r="BL1390" s="1" t="s">
        <v>1504</v>
      </c>
      <c r="BM1390" s="2" t="s">
        <v>6732</v>
      </c>
      <c r="BN1390" s="1" t="s">
        <v>2017</v>
      </c>
      <c r="BO1390" s="1" t="s">
        <v>6733</v>
      </c>
      <c r="BP1390" s="1" t="s">
        <v>1883</v>
      </c>
      <c r="BQ1390" s="2" t="s">
        <v>6734</v>
      </c>
    </row>
    <row r="1391" spans="1:71" ht="162" x14ac:dyDescent="0.45">
      <c r="A1391" s="5">
        <v>1390</v>
      </c>
      <c r="B1391" s="6" t="s">
        <v>1121</v>
      </c>
      <c r="C1391" s="6" t="s">
        <v>6851</v>
      </c>
      <c r="D1391" s="7" t="s">
        <v>9752</v>
      </c>
      <c r="E1391" s="1" t="s">
        <v>8963</v>
      </c>
      <c r="F1391" s="1" t="s">
        <v>1551</v>
      </c>
      <c r="G1391" s="1"/>
      <c r="J1391" s="1" t="s">
        <v>9753</v>
      </c>
      <c r="K1391" s="1" t="s">
        <v>6735</v>
      </c>
      <c r="L1391" s="3" t="s">
        <v>9886</v>
      </c>
      <c r="P1391" s="7" t="s">
        <v>1241</v>
      </c>
      <c r="Q1391" s="13" t="str">
        <f>INDEX($L:$L, MATCH("status", $B:$B, 0))</f>
        <v>&lt;span class="w"&gt;&lt;b&gt;【256.status：地位, 状態】&lt;/b&gt;&lt;/span&gt;
&lt;span class="ml"&gt;ラテン語stare（立つ）から派生した名詞status（立つ位置, 立場, 状態）に由来する。
&lt;span class="spacer"&gt;&lt;/span&gt;立っている場所から「地位」に、立っている状況から人や物の「状態」という意味になる。&lt;/span&gt;</v>
      </c>
      <c r="R1391" s="13" t="str">
        <f>INDEX($L:$L, MATCH("statement", $B:$B, 0))</f>
        <v>&lt;span class="w"&gt;&lt;b&gt;【72.statement：声明, 主張, 明細書】&lt;/b&gt;&lt;/span&gt;
&lt;span class="ml"&gt;ラテン語status（位置, 場所）に由来する。&lt;span class="obsolete"&gt;ment（名詞化）は英語段階で付いた。&lt;/span&gt;
&lt;span class="spacer"&gt;&lt;/span&gt;「位置, 場所」という名詞から「位置を定める」という動詞になる。ここから言葉を記録上に置く、正式に何かを述べる（state）という意味へ特化する。そしてstate（述べる）に名詞を作るmentが付いて、述べること＝「声明, 主張」という意味になる。
&lt;span class="spacer"&gt;&lt;/span&gt;ビジネスの文脈では、お金の貸し借りを書き記したもの＝「明細書」となる。&lt;/span&gt;</v>
      </c>
      <c r="S1391" s="13" t="str">
        <f>INDEX($L:$L, MATCH("estate", $B:$B, 0))</f>
        <v>&lt;span class="w"&gt;&lt;b&gt;【1149.estate：財産, 私有地】&lt;/b&gt;&lt;/span&gt;
&lt;span class="ml"&gt;ラテン語status（状態, 条件, 位置, 立場, 地位）に由来する。
&lt;span class="spacer"&gt;&lt;/span&gt;この語の核は「立っている場所・立っている状態」。もともとは社会的な状態や立場、地位を表す言葉だったが、高い地位を持つことは、すなわち富や広大な土地を所有していることだったため、地位から「財産, 私有地」という意味になった。&lt;/span&gt;</v>
      </c>
      <c r="T1391" s="13" t="str">
        <f>INDEX($L:$L, MATCH("establish", $B:$B, 0))</f>
        <v>&lt;span class="w"&gt;&lt;b&gt;【119.establish：～を確立する, ～を設立する】&lt;/b&gt;&lt;/span&gt;
&lt;span class="ml"&gt;ラテン語stabilis（安定した, 固定された）に由来する。
&lt;span class="spacer"&gt;&lt;/span&gt;安定した状態にするというイメージから、何かを「確立する, 設立する」となる。
&lt;span class="spacer"&gt;&lt;/span&gt;最初のeには意味がない。後期ローマ人たちがstの発音を嫌った、もしくは発音しにくかったことによりeが足されただけ。&lt;/span&gt;</v>
      </c>
      <c r="U1391" s="13" t="str">
        <f>INDEX($L:$L, MATCH("stable", $B:$B, 0))</f>
        <v>&lt;span class="w"&gt;&lt;b&gt;【589.stable：安定した】&lt;/b&gt;&lt;/span&gt;
&lt;span class="ml"&gt;ラテン語stabilis（立つことができる, 揺るがない, 安定した）に由来する。
&lt;span class="spacer"&gt;&lt;/span&gt;sta部分は「立つ」ことを表し、ble部分は「できる」を表す。このまま日本語にすると「立つことができる」となる。倒れることなく立っているイメージから、何かが「安定した」という意味になる。&lt;/span&gt;</v>
      </c>
      <c r="V1391" s="13" t="str">
        <f>INDEX($L:$L, MATCH("constant", $B:$B, 0))</f>
        <v>&lt;span class="w"&gt;&lt;b&gt;【391.constant：絶え間ない, 一定の】&lt;/b&gt;&lt;/span&gt;
&lt;span class="ml"&gt;ラテン語に由来する語で、以下の2つの要素から成る。
&lt;span class="spacer"&gt;&lt;/span&gt;com（強意）
stare（立つ）
&lt;span class="spacer"&gt;&lt;/span&gt;このまま日本語にすると「しっかり立つ」となる。しっかりと立って動かないというイメージから、変化せず同じ状態を保つことを表し、「絶え間なく続く, 一定のまま」という意味になる。&lt;/span&gt;</v>
      </c>
      <c r="W1391" s="13" t="str">
        <f>INDEX($L:$L, MATCH("instant", $B:$B, 0))</f>
        <v>&lt;span class="w"&gt;&lt;b&gt;【891.instant：即時の, すぐの】&lt;/b&gt;&lt;/span&gt;
&lt;span class="ml"&gt;ラテン語に由来する語で、以下の2つの要素から成る。
&lt;span class="spacer"&gt;&lt;/span&gt;in（上に, 中に）
stare（立つ）
&lt;span class="spacer"&gt;&lt;/span&gt;この語の核は「相手の上に立つようにすぐ近くに立っている」。この物理的な近さや圧迫感が時間的な接近へと発展して「いますぐの, 即時の」という意味になった。&lt;/span&gt;</v>
      </c>
      <c r="X1391" s="13" t="str">
        <f>INDEX($L:$L, MATCH("instance", $B:$B, 0))</f>
        <v>&lt;span class="w"&gt;&lt;b&gt;【178.instance：例】&lt;/b&gt;&lt;/span&gt;
&lt;span class="ml"&gt;ラテン語に由来する語で、以下の2つの要素から成る。
&lt;span class="spacer"&gt;&lt;/span&gt;in（近くに）
stare（立つ）
&lt;span class="spacer"&gt;&lt;/span&gt;このまま日本語にすると「近くに立つ」となる。もともとは論理学の用語で、ある命題の近くに添える「事例」として使われた。ここから一般的な何かの「例」という意味になる。&lt;/span&gt;</v>
      </c>
      <c r="Y1391" s="13" t="str">
        <f>INDEX($L:$L, MATCH("substance", $B:$B, 0))</f>
        <v>&lt;span class="w"&gt;&lt;b&gt;【478.substance：物質, 実体, 趣旨】&lt;/b&gt;&lt;/span&gt;
&lt;span class="ml"&gt;ラテン語に由来する語で、以下の2つの要素から成る。
&lt;span class="spacer"&gt;&lt;/span&gt;sub（下に）
stare（立つ）
&lt;span class="spacer"&gt;&lt;/span&gt;このまま日本語にすると「下に立つ」となる。この語の核は、下に立って支えている「本質的なもの」。
&lt;span class="spacer"&gt;&lt;/span&gt;物事の表面部分＝見かけは様々に変化するが、それを支える部分は変わらない。ここから、変化しにくい物事の「本質」や「実体」を意味するようになった。さらに物理的に実体のある「物質」や、話の本質である「趣旨」という意味にも発展した。
&lt;div class="sample_image substance"&gt;&lt;/div&gt;&lt;/span&gt;</v>
      </c>
      <c r="Z1391" s="13" t="str">
        <f>INDEX($L:$L, MATCH("circumstance", $B:$B, 0))</f>
        <v>&lt;span class="w"&gt;&lt;b&gt;【350.circumstance：状況, 事情】&lt;/b&gt;&lt;/span&gt;
&lt;span class="ml"&gt;ラテン語に由来する語で、以下の2つの要素から成る。
&lt;span class="spacer"&gt;&lt;/span&gt;circus（円）からcircum（周囲に）
stare（立つ）
&lt;span class="spacer"&gt;&lt;/span&gt;circum部分は「周りを囲む」イメージ。英語circus（サーカス, 円形劇場）の語源であるラテン語circus（円）と関連している。
&lt;span class="spacer"&gt;&lt;/span&gt;sta部分は印欧祖語*sta-（立つ）にさかのぼる。staを見たらまず「立つ」を思い浮かべていい（絶対ではない）。
&lt;span class="spacer"&gt;&lt;/span&gt;このまま日本語にすると「周りに立つ」となり、そこから周りを取り囲んでいる「状況, 事情」という意味になる。
&lt;div class="sample_image circumstance"&gt;&lt;/div&gt;&lt;/span&gt;</v>
      </c>
      <c r="AA1391" s="13" t="str">
        <f>INDEX($L:$L, MATCH("steady", $B:$B, 0))</f>
        <v>&lt;span class="w"&gt;&lt;b&gt;【898.steady：着実な, 一定の, 安定した】&lt;/b&gt;&lt;/span&gt;
&lt;span class="ml"&gt;古英語stede（立っていること, 堅固さ, 安定性, 固定性）にさかのぼる。
&lt;span class="spacer"&gt;&lt;/span&gt;この語はさらに、印欧祖語の *sta-（立つ）に由来する。特定の場所に「揺れることなくしっかりと立っている」という語源的な核から、足場や状態がブレないイメージへと繋がり、「一定の, 安定した, 着実な」という意味になった。&lt;/span&gt;</v>
      </c>
      <c r="AB1391" s="13" t="str">
        <f>INDEX($L:$L, MATCH("substitute", $B:$B, 0))</f>
        <v>&lt;span class="w"&gt;&lt;b&gt;【910.substitute：〜を代わりに使う, 代理をする】&lt;/b&gt;&lt;/span&gt;
&lt;span class="ml"&gt;ラテン語に由来する語で、以下の2つの要素から成る。
&lt;span class="spacer"&gt;&lt;/span&gt;sub（下に）
statuere（立てる, 設置する）
&lt;span class="spacer"&gt;&lt;/span&gt;このまま日本語にすると「下に置く」となる。既にあるものの下に控えとして置くことから、既にあるものと別のものを差し替える、そして何かの「代わりに使う」という意味になった。誰かの代わりとなって動く場合は「代理する」という意味になる。
&lt;div class="sample_image substitute"&gt;&lt;/div&gt;&lt;/span&gt;</v>
      </c>
      <c r="AC1391" s="13" t="str">
        <f>INDEX($L:$L, MATCH("restore", $B:$B, 0))</f>
        <v>&lt;span class="w"&gt;&lt;b&gt;【913.restore：〜を回復させる, 〜を修復する】&lt;/b&gt;&lt;/span&gt;
&lt;span class="ml"&gt;ラテン語に由来する語で、以下の2つの要素から成る。
&lt;span class="spacer"&gt;&lt;/span&gt;re（再び）
~staurare（立てる系の意味）
&lt;span class="spacer"&gt;&lt;/span&gt;このまま日本語にすると「再び立てる」となる。壊れたものや崩れたものを再び立て直すことから、何かを「回復させる, 修理する」という意味になった。&lt;/span&gt;</v>
      </c>
      <c r="AD1391" s="13" t="str">
        <f>INDEX($L:$L, MATCH("obstacle", $B:$B, 0))</f>
        <v>&lt;span class="w"&gt;&lt;b&gt;【861.obstacle：障害（物）】&lt;/b&gt;&lt;/span&gt;
&lt;span class="ml"&gt;ラテン語に由来する語で、以下の3つの要素から成る。
&lt;span class="spacer"&gt;&lt;/span&gt;ob（前に, ～に対して）
stare（立つ）
culum（名詞化）
&lt;span class="spacer"&gt;&lt;/span&gt;このまま日本語にすると「前に立ちはだかるもの」となる。前に立ちはだかって妨げるものから「障害物」という意味になる。
&lt;div class="sample_image obstacle"&gt;&lt;/div&gt;&lt;/span&gt;</v>
      </c>
      <c r="AE1391" s="13" t="str">
        <f>INDEX($L:$L, MATCH("destiny", $B:$B, 0))</f>
        <v>&lt;span class="w"&gt;&lt;b&gt;【1374.destiny：運命】&lt;/b&gt;&lt;/span&gt;
&lt;span class="ml"&gt;ラテン語に由来する語で、以下の2つの要素から成る。
&lt;span class="spacer"&gt;&lt;/span&gt;de（完全に）
stinare（立つ）
&lt;span class="spacer"&gt;&lt;/span&gt;このまま日本語にすると「完全に立つ」となる。しっかりと立って動かないイメージから、物事や出来事が固定されている、決定していることへと発展した。そして神や超越的な存在によってしっかりと定められた事の成り行き、すなわち「運命」という意味になった。&lt;/span&gt;</v>
      </c>
      <c r="AV1391" s="1" t="s">
        <v>38</v>
      </c>
      <c r="BG1391" s="7" t="s">
        <v>1242</v>
      </c>
      <c r="BH1391" s="1" t="s">
        <v>2254</v>
      </c>
      <c r="BI1391" s="1" t="s">
        <v>4782</v>
      </c>
      <c r="BJ1391" s="1" t="s">
        <v>6736</v>
      </c>
      <c r="BK1391" s="2" t="s">
        <v>9887</v>
      </c>
      <c r="BL1391" s="1" t="s">
        <v>2162</v>
      </c>
      <c r="BM1391" s="1" t="s">
        <v>6737</v>
      </c>
      <c r="BN1391" s="1" t="s">
        <v>1883</v>
      </c>
      <c r="BO1391" s="2" t="s">
        <v>6738</v>
      </c>
    </row>
    <row r="1392" spans="1:71" ht="144" x14ac:dyDescent="0.45">
      <c r="A1392" s="5">
        <v>1391</v>
      </c>
      <c r="B1392" s="8" t="s">
        <v>6739</v>
      </c>
      <c r="C1392" s="6" t="s">
        <v>6851</v>
      </c>
      <c r="D1392" s="7" t="s">
        <v>9752</v>
      </c>
      <c r="E1392" s="1" t="s">
        <v>9018</v>
      </c>
      <c r="F1392" s="1" t="s">
        <v>49</v>
      </c>
      <c r="G1392" s="1"/>
      <c r="J1392" s="1" t="s">
        <v>9753</v>
      </c>
      <c r="L1392" s="3" t="s">
        <v>9888</v>
      </c>
      <c r="M1392" s="1" t="s">
        <v>12185</v>
      </c>
      <c r="P1392" s="7" t="s">
        <v>1241</v>
      </c>
      <c r="Q1392" s="13" t="str">
        <f>INDEX($L:$L, MATCH("progress", $B:$B, 0))</f>
        <v>&lt;span class="w"&gt;&lt;b&gt;【278.progress：進歩, 前進】&lt;/b&gt;&lt;/span&gt;
&lt;span class="ml"&gt;ラテン語に由来する語で、以下の2つの要素から成る。
&lt;span class="spacer"&gt;&lt;/span&gt;pro（前に）
gradus（一歩）から派生したgradi（進む, 歩く）
&lt;span class="spacer"&gt;&lt;/span&gt;この語の核は「前に一歩踏み出して進む」となる。ここから「前進, 進歩」という意味になる。
&lt;div class="sample_image progress"&gt;&lt;/div&gt;&lt;/span&gt;</v>
      </c>
      <c r="R1392" s="13" t="str">
        <f>INDEX($L:$L, MATCH("ingredient", $B:$B, 0))</f>
        <v>&lt;span class="w"&gt;&lt;b&gt;【575.ingredient：成分, 材料】&lt;/b&gt;&lt;/span&gt;
&lt;span class="ml"&gt;ラテン語に由来する語で、以下の2つの要素から成る。
&lt;span class="spacer"&gt;&lt;/span&gt;in（中に）
gradi（歩く, 進む）
&lt;span class="spacer"&gt;&lt;/span&gt;このまま日本語にすると「中に歩く」となる。これは「何かの中に入る」イメージ。そこから、混合物や調合などに入るもの、つまり「成分, 材料」という意味になる。
&lt;div class="sample_image ingredient"&gt;&lt;/div&gt;&lt;/span&gt;</v>
      </c>
      <c r="S1392" s="13" t="str">
        <f>INDEX($L:$L, MATCH("aggressive", $B:$B, 0))</f>
        <v>&lt;span class="w"&gt;&lt;b&gt;【592.aggressive：攻撃的な】&lt;/b&gt;&lt;/span&gt;
&lt;span class="ml"&gt;ラテン語に由来する語で、以下の2つの要素から成る。
&lt;span class="spacer"&gt;&lt;/span&gt;ad（〜へ）
gradus（一歩）から派生した動詞gradi（歩く, 進む）
&lt;span class="obsolete"&gt;ive（形容詞化）は英語段階で付いた&lt;/span&gt;
&lt;span class="spacer"&gt;&lt;/span&gt;このまま日本語にすると「〜へ歩き進む」となり、対象への接近や、さらに襲いかかる・攻撃することを表した。ここから「攻撃的な」という意味になった。&lt;/span&gt;</v>
      </c>
      <c r="T1392" s="13" t="str">
        <f>INDEX($L:$L, MATCH("congress", $B:$B, 0))</f>
        <v>&lt;span class="w"&gt;&lt;b&gt;【1145.congress：米国議会, 会議】&lt;/b&gt;&lt;/span&gt;
&lt;span class="ml"&gt;ラテン語に由来する語で、以下の2つの要素から成る。
&lt;span class="spacer"&gt;&lt;/span&gt;com（共に）
gradus（一歩）から派生したgradi（歩く）
&lt;span class="spacer"&gt;&lt;/span&gt;この語の核は「共に歩み寄ること」。もともとは、歩いてきて人が同じ場所に集まることから「会合」や「会議」という意味になった。その後、アメリカ合衆国において、連邦議会の名称としてCongressが採用されて「米国議会」という意味になった。
&lt;div class="sample_image congress"&gt;&lt;/div&gt;&lt;/span&gt;</v>
      </c>
      <c r="U1392" s="13" t="str">
        <f>INDEX($L:$L, MATCH("undergraduate", $B:$B, 0))</f>
        <v>&lt;span class="w"&gt;&lt;b&gt;【1167.undergraduate：学部生】&lt;/b&gt;&lt;/span&gt;
&lt;span class="ml"&gt;近代英語にさかのぼり、以下の2つの要素から成る。
&lt;span class="spacer"&gt;&lt;/span&gt;under（下に）
graduate（卒業生, 学位取得者）
&lt;span class="spacer"&gt;&lt;/span&gt;大学卒業生＝最初の学位（学士号）を取得した人の下の段階を表すことから、「学部生（大学生）」という意味になる。&lt;/span&gt;</v>
      </c>
      <c r="AV1392" s="1" t="s">
        <v>38</v>
      </c>
      <c r="BG1392" s="7" t="s">
        <v>1242</v>
      </c>
      <c r="BH1392" s="1" t="s">
        <v>2034</v>
      </c>
      <c r="BI1392" s="1" t="s">
        <v>6740</v>
      </c>
      <c r="BJ1392" s="1" t="s">
        <v>1980</v>
      </c>
      <c r="BK1392" s="2" t="s">
        <v>6741</v>
      </c>
      <c r="BL1392" s="1" t="s">
        <v>2044</v>
      </c>
      <c r="BM1392" s="2" t="s">
        <v>6742</v>
      </c>
      <c r="BN1392" s="1" t="s">
        <v>1883</v>
      </c>
      <c r="BO1392" s="2" t="s">
        <v>6743</v>
      </c>
    </row>
    <row r="1393" spans="1:69" ht="126" x14ac:dyDescent="0.45">
      <c r="A1393" s="5">
        <v>1392</v>
      </c>
      <c r="B1393" s="8" t="s">
        <v>1122</v>
      </c>
      <c r="C1393" s="6" t="s">
        <v>6851</v>
      </c>
      <c r="D1393" s="7" t="s">
        <v>9752</v>
      </c>
      <c r="E1393" s="1" t="s">
        <v>9019</v>
      </c>
      <c r="F1393" s="1" t="s">
        <v>49</v>
      </c>
      <c r="G1393" s="1"/>
      <c r="J1393" s="1" t="s">
        <v>9753</v>
      </c>
      <c r="L1393" s="2" t="s">
        <v>9889</v>
      </c>
      <c r="M1393" s="1" t="s">
        <v>12200</v>
      </c>
      <c r="P1393" s="7" t="s">
        <v>1241</v>
      </c>
      <c r="Q1393" s="13" t="str">
        <f>INDEX($L:$L, MATCH("advocate", $B:$B, 0))</f>
        <v>&lt;span class="w"&gt;&lt;b&gt;【1110.advocate：〜を主張する, 〜を擁護する】&lt;/b&gt;&lt;/span&gt;
&lt;span class="ml"&gt;ラテン語に由来する語で、以下の2つの要素から成る。
&lt;span class="spacer"&gt;&lt;/span&gt;ad（〜へ）
vocare（呼ぶ）
&lt;span class="spacer"&gt;&lt;/span&gt;このまま日本語にすると「〜へ呼ぶ」となる。もともとは人を呼び寄せることを表し、特に法廷で助言や弁護のために呼ばれる人を指した。そこから、ある人の代わりに声を上げる存在という意味になり、人や立場、考えの側に立ってそれを「支持する, 擁護する, 主張する」という意味へと発展した。&lt;/span&gt;</v>
      </c>
      <c r="R1393" s="13" t="str">
        <f>INDEX($L:$L, MATCH("vocabulary", $B:$B, 0))</f>
        <v>&lt;span class="w"&gt;&lt;b&gt;【378.vocabulary：語彙, 単語の集合】&lt;/b&gt;&lt;/span&gt;
&lt;span class="ml"&gt;ラテン語に由来する語で、以下の3つの要素から成る。
&lt;span class="spacer"&gt;&lt;/span&gt;vocare（呼ぶ）
bulum（～するためのもの）
arium（～の集合）
&lt;span class="spacer"&gt;&lt;/span&gt;このまま日本語にすると「呼ぶためのものの集合」となる。呼ぶためのものとは、名前や単語のこと。その単語の集合なので「語彙」という意味になる。&lt;/span&gt;</v>
      </c>
      <c r="AU1393" s="15"/>
      <c r="AV1393" s="1" t="s">
        <v>38</v>
      </c>
      <c r="BG1393" s="7" t="s">
        <v>1242</v>
      </c>
      <c r="BH1393" s="1" t="s">
        <v>2034</v>
      </c>
      <c r="BI1393" s="2" t="s">
        <v>6744</v>
      </c>
      <c r="BJ1393" s="1" t="s">
        <v>6696</v>
      </c>
      <c r="BK1393" s="2" t="s">
        <v>6745</v>
      </c>
      <c r="BL1393" s="1" t="s">
        <v>2044</v>
      </c>
      <c r="BM1393" s="2" t="s">
        <v>6746</v>
      </c>
      <c r="BN1393" s="1" t="s">
        <v>1883</v>
      </c>
      <c r="BO1393" s="2" t="s">
        <v>6747</v>
      </c>
    </row>
    <row r="1394" spans="1:69" ht="162" x14ac:dyDescent="0.45">
      <c r="A1394" s="5">
        <v>1393</v>
      </c>
      <c r="B1394" s="8" t="s">
        <v>6748</v>
      </c>
      <c r="C1394" s="6" t="s">
        <v>6851</v>
      </c>
      <c r="D1394" s="7" t="s">
        <v>9752</v>
      </c>
      <c r="E1394" s="1" t="s">
        <v>9020</v>
      </c>
      <c r="F1394" s="1" t="s">
        <v>1853</v>
      </c>
      <c r="G1394" s="1"/>
      <c r="J1394" s="1" t="s">
        <v>9753</v>
      </c>
      <c r="L1394" s="2" t="s">
        <v>9890</v>
      </c>
      <c r="M1394" s="1" t="s">
        <v>12160</v>
      </c>
      <c r="P1394" s="7" t="s">
        <v>1241</v>
      </c>
      <c r="Q1394" s="13" t="str">
        <f>INDEX($L:$L, MATCH("survive", $B:$B, 0))</f>
        <v>&lt;span class="w"&gt;&lt;b&gt;【139.survive：生き残る, より長生きする】&lt;/b&gt;&lt;/span&gt;
&lt;span class="ml"&gt;ラテン語に由来する語で、以下の2つの要素から成る。
&lt;span class="spacer"&gt;&lt;/span&gt;super（越えて）
vivere（生きる）
&lt;span class="spacer"&gt;&lt;/span&gt;このまま日本語にすると「何かを越えて生きる」となる。つまり何かを乗り越えて「生き残る, より長生きする」という意味になる。&lt;/span&gt;</v>
      </c>
      <c r="R1394" s="13" t="str">
        <f>INDEX($L:$L, MATCH("revive", $B:$B, 0))</f>
        <v>&lt;span class="w"&gt;&lt;b&gt;【1303.revive：〜を復活させる, 復活する】&lt;/b&gt;&lt;/span&gt;
&lt;span class="ml"&gt;ラテン語に由来する語で、以下の2つの要素から成る。
&lt;span class="spacer"&gt;&lt;/span&gt;re（再び）
vivere（生きる）
&lt;span class="spacer"&gt;&lt;/span&gt;このまま日本語にすると「再び生きる」となり、「復活させる, 復活する」という意味になる。vive部分はsurvive（生き延びる）と同じ。&lt;/span&gt;</v>
      </c>
      <c r="S1394" s="13" t="str">
        <f>INDEX($L:$L, MATCH("vital", $B:$B, 0))</f>
        <v>&lt;span class="w"&gt;&lt;b&gt;【584.vital：必要不可欠な, 生命に関わる】&lt;/b&gt;&lt;/span&gt;
&lt;span class="ml"&gt;ラテン語に由来する語で、以下の2つの要素から成る。
&lt;span class="spacer"&gt;&lt;/span&gt;vivere（生きる）に関連するvita（生命）
alis（形容詞化）
&lt;span class="spacer"&gt;&lt;/span&gt;このまま日本語にすると「生命に関わる」という意味になる。また、実際に生命の維持に関わることから比喩的に、何かにおいて欠かせないほど重要であることを表し、「必要不可欠な」という意味になった。&lt;/span&gt;</v>
      </c>
      <c r="AU1394" s="15"/>
      <c r="AV1394" s="1" t="s">
        <v>38</v>
      </c>
      <c r="BG1394" s="7" t="s">
        <v>1242</v>
      </c>
      <c r="BH1394" s="1" t="s">
        <v>2034</v>
      </c>
      <c r="BI1394" s="2" t="s">
        <v>6749</v>
      </c>
      <c r="BJ1394" s="1" t="s">
        <v>2017</v>
      </c>
      <c r="BK1394" s="1" t="s">
        <v>6750</v>
      </c>
      <c r="BL1394" s="1" t="s">
        <v>1883</v>
      </c>
      <c r="BM1394" s="2" t="s">
        <v>6751</v>
      </c>
    </row>
    <row r="1395" spans="1:69" ht="288" x14ac:dyDescent="0.45">
      <c r="A1395" s="5">
        <v>1394</v>
      </c>
      <c r="B1395" s="8" t="s">
        <v>6752</v>
      </c>
      <c r="C1395" s="6" t="s">
        <v>6851</v>
      </c>
      <c r="D1395" s="7" t="s">
        <v>9752</v>
      </c>
      <c r="E1395" s="1" t="s">
        <v>29</v>
      </c>
      <c r="F1395" s="1" t="s">
        <v>8862</v>
      </c>
      <c r="G1395" s="1" t="s">
        <v>49</v>
      </c>
      <c r="J1395" s="1" t="s">
        <v>9753</v>
      </c>
      <c r="K1395" s="2"/>
      <c r="L1395" s="2" t="s">
        <v>9891</v>
      </c>
      <c r="P1395" s="7" t="s">
        <v>1241</v>
      </c>
      <c r="Q1395" s="13" t="str">
        <f>INDEX($L:$L, MATCH("repair", $B:$B, 0))</f>
        <v>&lt;span class="w"&gt;&lt;b&gt;【439.repair：〜を修理する, 〜を修復する】&lt;/b&gt;&lt;/span&gt;
&lt;span class="ml"&gt;ラテン語に由来する語で、以下の2つの要素から成る。
&lt;span class="spacer"&gt;&lt;/span&gt;re（再び）
parāre（整える）
&lt;span class="spacer"&gt;&lt;/span&gt;このまま日本語にすると「再び整える」となる。もとの状態に整えることから「修理する, 修復する」という意味になる。&lt;/span&gt;</v>
      </c>
      <c r="R1395" s="13" t="str">
        <f>INDEX($L:$L, MATCH("prepare", $B:$B, 0))</f>
        <v>&lt;span class="w"&gt;&lt;b&gt;【116.prepare：～を準備する】&lt;/b&gt;&lt;/span&gt;
&lt;span class="ml"&gt;ラテン語に由来する語で、以下の2つの要素から成る。
&lt;span class="spacer"&gt;&lt;/span&gt;prae（前に）
parare（整える, 用意する）
&lt;span class="spacer"&gt;&lt;/span&gt;このまま日本語にすると「前に整える」となる。つまり前もって（あらかじめ）整えておくことから「準備する」という意味になる。&lt;/span&gt;</v>
      </c>
      <c r="AU1395" s="15"/>
      <c r="AV1395" s="1" t="s">
        <v>38</v>
      </c>
      <c r="BG1395" s="7" t="s">
        <v>1242</v>
      </c>
      <c r="BH1395" s="1" t="s">
        <v>2034</v>
      </c>
      <c r="BI1395" s="2" t="s">
        <v>9892</v>
      </c>
      <c r="BJ1395" s="1" t="s">
        <v>6696</v>
      </c>
      <c r="BK1395" s="1" t="s">
        <v>6753</v>
      </c>
      <c r="BL1395" s="1" t="s">
        <v>2044</v>
      </c>
      <c r="BM1395" s="2" t="s">
        <v>6754</v>
      </c>
    </row>
    <row r="1396" spans="1:69" ht="216" x14ac:dyDescent="0.45">
      <c r="A1396" s="5">
        <v>1395</v>
      </c>
      <c r="B1396" s="8" t="s">
        <v>6755</v>
      </c>
      <c r="C1396" s="6" t="s">
        <v>6851</v>
      </c>
      <c r="D1396" s="7" t="s">
        <v>9752</v>
      </c>
      <c r="E1396" s="1" t="s">
        <v>233</v>
      </c>
      <c r="F1396" s="1" t="s">
        <v>9017</v>
      </c>
      <c r="G1396" s="1"/>
      <c r="J1396" s="1" t="s">
        <v>9753</v>
      </c>
      <c r="L1396" s="2" t="s">
        <v>9893</v>
      </c>
      <c r="P1396" s="7" t="s">
        <v>1241</v>
      </c>
      <c r="Q1396" s="13" t="str">
        <f>INDEX($L:$L, MATCH("host", $B:$B, 0))</f>
        <v>&lt;span class="w"&gt;&lt;b&gt;【337.host：～を主催する, ～をもてなす】&lt;/b&gt;&lt;/span&gt;
&lt;span class="ml"&gt;印欧祖語の以下の2つの要素から成る。
&lt;span class="spacer"&gt;&lt;/span&gt;*ghos-ti-（よそ者, 客, 主人）
*poti-（力ある者, 主）
&lt;span class="spacer"&gt;&lt;/span&gt;このまま日本語にすると「客の主」となる。ここから動詞で「もてなす, 主催する」という意味になる。
&lt;span class="spacer"&gt;&lt;/span&gt;似たような語でhostileがある。hostとhostileはどちらも印欧祖語*ghos-ti-（客, 見知らぬ人）にさかのぼるが、hostは印欧祖語*poti-（主）が付いていることによって主催者側となる。
&lt;span class="spacer"&gt;&lt;/span&gt;一方hostileは印欧祖語*ghos-ti-（客, 見知らぬ人）のみに由来するので敵側となる。&lt;/span&gt;</v>
      </c>
      <c r="AU1396" s="15"/>
      <c r="AV1396" s="1" t="s">
        <v>38</v>
      </c>
      <c r="BG1396" s="7" t="s">
        <v>1242</v>
      </c>
      <c r="BH1396" s="1" t="s">
        <v>2254</v>
      </c>
      <c r="BI1396" s="2" t="s">
        <v>6756</v>
      </c>
      <c r="BJ1396" s="1" t="s">
        <v>2034</v>
      </c>
      <c r="BK1396" s="2" t="s">
        <v>6757</v>
      </c>
      <c r="BL1396" s="1" t="s">
        <v>2017</v>
      </c>
      <c r="BM1396" s="2" t="s">
        <v>6758</v>
      </c>
      <c r="BN1396" s="1" t="s">
        <v>2044</v>
      </c>
      <c r="BO1396" s="2" t="s">
        <v>6759</v>
      </c>
    </row>
    <row r="1397" spans="1:69" ht="198" x14ac:dyDescent="0.45">
      <c r="A1397" s="5">
        <v>1396</v>
      </c>
      <c r="B1397" s="6" t="s">
        <v>6760</v>
      </c>
      <c r="C1397" s="6" t="s">
        <v>6851</v>
      </c>
      <c r="D1397" s="7" t="s">
        <v>9752</v>
      </c>
      <c r="E1397" s="1" t="s">
        <v>6761</v>
      </c>
      <c r="F1397" s="1" t="s">
        <v>1515</v>
      </c>
      <c r="G1397" s="1" t="s">
        <v>49</v>
      </c>
      <c r="J1397" s="1" t="s">
        <v>9753</v>
      </c>
      <c r="L1397" s="2" t="s">
        <v>9894</v>
      </c>
      <c r="P1397" s="7" t="s">
        <v>1241</v>
      </c>
      <c r="AU1397" s="15"/>
      <c r="AV1397" s="1" t="s">
        <v>38</v>
      </c>
      <c r="BG1397" s="7" t="s">
        <v>1242</v>
      </c>
      <c r="BH1397" s="1" t="s">
        <v>2034</v>
      </c>
      <c r="BI1397" s="2" t="s">
        <v>6762</v>
      </c>
      <c r="BJ1397" s="1" t="s">
        <v>2147</v>
      </c>
      <c r="BK1397" s="2" t="s">
        <v>6763</v>
      </c>
      <c r="BL1397" s="1" t="s">
        <v>1504</v>
      </c>
      <c r="BM1397" s="1" t="s">
        <v>6760</v>
      </c>
      <c r="BN1397" s="1" t="s">
        <v>2044</v>
      </c>
      <c r="BO1397" s="2" t="s">
        <v>6764</v>
      </c>
    </row>
    <row r="1398" spans="1:69" ht="144" x14ac:dyDescent="0.45">
      <c r="A1398" s="5">
        <v>1397</v>
      </c>
      <c r="B1398" s="6" t="s">
        <v>6765</v>
      </c>
      <c r="C1398" s="6" t="s">
        <v>6851</v>
      </c>
      <c r="D1398" s="7" t="s">
        <v>9752</v>
      </c>
      <c r="E1398" s="1" t="s">
        <v>4643</v>
      </c>
      <c r="F1398" s="1" t="s">
        <v>9021</v>
      </c>
      <c r="G1398" s="1"/>
      <c r="J1398" s="1" t="s">
        <v>9753</v>
      </c>
      <c r="L1398" s="3" t="s">
        <v>9895</v>
      </c>
      <c r="P1398" s="7" t="s">
        <v>1241</v>
      </c>
      <c r="AU1398" s="15"/>
      <c r="AV1398" s="1" t="s">
        <v>38</v>
      </c>
      <c r="BG1398" s="7" t="s">
        <v>1242</v>
      </c>
      <c r="BH1398" s="1" t="s">
        <v>2034</v>
      </c>
      <c r="BI1398" s="2" t="s">
        <v>6766</v>
      </c>
      <c r="BJ1398" s="1" t="s">
        <v>2048</v>
      </c>
      <c r="BK1398" s="2" t="s">
        <v>6767</v>
      </c>
      <c r="BL1398" s="1" t="s">
        <v>2410</v>
      </c>
      <c r="BM1398" s="1" t="s">
        <v>6768</v>
      </c>
      <c r="BN1398" s="1" t="s">
        <v>2044</v>
      </c>
      <c r="BO1398" s="2" t="s">
        <v>6769</v>
      </c>
    </row>
    <row r="1399" spans="1:69" ht="216" x14ac:dyDescent="0.45">
      <c r="A1399" s="5">
        <v>1398</v>
      </c>
      <c r="B1399" s="6" t="s">
        <v>6770</v>
      </c>
      <c r="C1399" s="6" t="s">
        <v>6851</v>
      </c>
      <c r="D1399" s="7" t="s">
        <v>9752</v>
      </c>
      <c r="E1399" s="1" t="s">
        <v>1123</v>
      </c>
      <c r="F1399" s="1"/>
      <c r="G1399" s="1"/>
      <c r="J1399" s="1" t="s">
        <v>9753</v>
      </c>
      <c r="K1399" s="2" t="s">
        <v>9896</v>
      </c>
      <c r="L1399" s="2" t="s">
        <v>9897</v>
      </c>
      <c r="P1399" s="7" t="s">
        <v>1241</v>
      </c>
      <c r="AV1399" s="1" t="s">
        <v>38</v>
      </c>
      <c r="BG1399" s="7" t="s">
        <v>1242</v>
      </c>
      <c r="BH1399" s="1" t="s">
        <v>2324</v>
      </c>
      <c r="BI1399" s="1" t="s">
        <v>6771</v>
      </c>
      <c r="BJ1399" s="1" t="s">
        <v>1980</v>
      </c>
      <c r="BK1399" s="1" t="s">
        <v>6772</v>
      </c>
      <c r="BL1399" s="1" t="s">
        <v>6696</v>
      </c>
      <c r="BM1399" s="1" t="s">
        <v>6773</v>
      </c>
      <c r="BN1399" s="1" t="s">
        <v>2044</v>
      </c>
      <c r="BO1399" s="2" t="s">
        <v>6774</v>
      </c>
      <c r="BP1399" s="1" t="s">
        <v>1883</v>
      </c>
      <c r="BQ1399" s="2" t="s">
        <v>9898</v>
      </c>
    </row>
    <row r="1400" spans="1:69" ht="126" x14ac:dyDescent="0.45">
      <c r="A1400" s="5">
        <v>1399</v>
      </c>
      <c r="B1400" s="6" t="s">
        <v>1124</v>
      </c>
      <c r="C1400" s="6" t="s">
        <v>6851</v>
      </c>
      <c r="D1400" s="7" t="s">
        <v>9752</v>
      </c>
      <c r="E1400" s="1" t="s">
        <v>27</v>
      </c>
      <c r="F1400" s="1" t="s">
        <v>9022</v>
      </c>
      <c r="G1400" s="1" t="s">
        <v>1698</v>
      </c>
      <c r="J1400" s="1" t="s">
        <v>9753</v>
      </c>
      <c r="L1400" s="2" t="s">
        <v>9899</v>
      </c>
      <c r="P1400" s="7" t="s">
        <v>1241</v>
      </c>
      <c r="AU1400" s="15"/>
      <c r="AV1400" s="1" t="s">
        <v>38</v>
      </c>
      <c r="BG1400" s="7" t="s">
        <v>1242</v>
      </c>
      <c r="BH1400" s="1" t="s">
        <v>2034</v>
      </c>
      <c r="BI1400" s="2" t="s">
        <v>6775</v>
      </c>
      <c r="BJ1400" s="1" t="s">
        <v>1883</v>
      </c>
      <c r="BK1400" s="2" t="s">
        <v>6776</v>
      </c>
    </row>
    <row r="1401" spans="1:69" ht="216" x14ac:dyDescent="0.45">
      <c r="A1401" s="5">
        <v>1400</v>
      </c>
      <c r="B1401" s="8" t="s">
        <v>6777</v>
      </c>
      <c r="C1401" s="6" t="s">
        <v>6851</v>
      </c>
      <c r="D1401" s="7" t="s">
        <v>9752</v>
      </c>
      <c r="E1401" s="1" t="s">
        <v>9023</v>
      </c>
      <c r="F1401" s="1" t="s">
        <v>4531</v>
      </c>
      <c r="G1401" s="1"/>
      <c r="J1401" s="1" t="s">
        <v>9753</v>
      </c>
      <c r="L1401" s="2" t="s">
        <v>9900</v>
      </c>
      <c r="M1401" s="1" t="s">
        <v>12193</v>
      </c>
      <c r="P1401" s="7" t="s">
        <v>1241</v>
      </c>
      <c r="AU1401" s="15"/>
      <c r="AV1401" s="1" t="s">
        <v>38</v>
      </c>
      <c r="BG1401" s="7" t="s">
        <v>1242</v>
      </c>
      <c r="BH1401" s="1" t="s">
        <v>2034</v>
      </c>
      <c r="BI1401" s="2" t="s">
        <v>6778</v>
      </c>
      <c r="BJ1401" s="1" t="s">
        <v>6696</v>
      </c>
      <c r="BK1401" s="1" t="s">
        <v>6779</v>
      </c>
      <c r="BL1401" s="1" t="s">
        <v>2044</v>
      </c>
      <c r="BM1401" s="2" t="s">
        <v>6780</v>
      </c>
    </row>
    <row r="1402" spans="1:69" ht="126" x14ac:dyDescent="0.45">
      <c r="A1402" s="5">
        <v>1401</v>
      </c>
      <c r="B1402" s="6" t="s">
        <v>1137</v>
      </c>
      <c r="C1402" s="6" t="s">
        <v>1816</v>
      </c>
      <c r="D1402" s="7" t="s">
        <v>9752</v>
      </c>
      <c r="E1402" s="1" t="s">
        <v>1797</v>
      </c>
      <c r="F1402" s="1" t="s">
        <v>6783</v>
      </c>
      <c r="G1402" s="1"/>
      <c r="J1402" s="1" t="s">
        <v>9753</v>
      </c>
      <c r="L1402" s="2" t="s">
        <v>9904</v>
      </c>
      <c r="P1402" s="7" t="s">
        <v>1241</v>
      </c>
      <c r="AU1402" s="15"/>
      <c r="AV1402" s="1" t="s">
        <v>38</v>
      </c>
      <c r="BG1402" s="7" t="s">
        <v>1242</v>
      </c>
      <c r="BH1402" s="1" t="s">
        <v>3496</v>
      </c>
      <c r="BI1402" s="2" t="s">
        <v>6784</v>
      </c>
    </row>
    <row r="1403" spans="1:69" ht="144" x14ac:dyDescent="0.45">
      <c r="A1403" s="5">
        <v>1402</v>
      </c>
      <c r="B1403" s="6" t="s">
        <v>1138</v>
      </c>
      <c r="C1403" s="6" t="s">
        <v>1816</v>
      </c>
      <c r="D1403" s="7" t="s">
        <v>9752</v>
      </c>
      <c r="E1403" s="1" t="s">
        <v>1251</v>
      </c>
      <c r="F1403" s="1" t="s">
        <v>6785</v>
      </c>
      <c r="G1403" s="1"/>
      <c r="J1403" s="1" t="s">
        <v>9753</v>
      </c>
      <c r="L1403" s="2" t="s">
        <v>9905</v>
      </c>
      <c r="P1403" s="7" t="s">
        <v>1241</v>
      </c>
      <c r="AU1403" s="15"/>
      <c r="AV1403" s="1" t="s">
        <v>38</v>
      </c>
      <c r="BG1403" s="7" t="s">
        <v>1242</v>
      </c>
      <c r="BH1403" s="1" t="s">
        <v>1959</v>
      </c>
      <c r="BI1403" s="2" t="s">
        <v>6786</v>
      </c>
      <c r="BJ1403" s="1" t="s">
        <v>1875</v>
      </c>
      <c r="BK1403" s="2" t="s">
        <v>6787</v>
      </c>
    </row>
    <row r="1404" spans="1:69" ht="90" x14ac:dyDescent="0.45">
      <c r="A1404" s="5">
        <v>1403</v>
      </c>
      <c r="B1404" s="6" t="s">
        <v>1139</v>
      </c>
      <c r="C1404" s="6" t="s">
        <v>1816</v>
      </c>
      <c r="D1404" s="7" t="s">
        <v>9752</v>
      </c>
      <c r="E1404" s="1" t="s">
        <v>1139</v>
      </c>
      <c r="F1404" s="1"/>
      <c r="G1404" s="1"/>
      <c r="J1404" s="1" t="s">
        <v>9753</v>
      </c>
      <c r="K1404" s="1" t="s">
        <v>6788</v>
      </c>
      <c r="L1404" s="2" t="s">
        <v>9906</v>
      </c>
      <c r="P1404" s="7" t="s">
        <v>1241</v>
      </c>
      <c r="AU1404" s="15"/>
      <c r="AV1404" s="1" t="s">
        <v>38</v>
      </c>
      <c r="BG1404" s="7" t="s">
        <v>1242</v>
      </c>
      <c r="BH1404" s="1" t="s">
        <v>1976</v>
      </c>
      <c r="BI1404" s="2" t="s">
        <v>6789</v>
      </c>
      <c r="BJ1404" s="1" t="s">
        <v>2110</v>
      </c>
      <c r="BK1404" s="1" t="s">
        <v>6790</v>
      </c>
      <c r="BL1404" s="1" t="s">
        <v>1875</v>
      </c>
      <c r="BM1404" s="2" t="s">
        <v>6791</v>
      </c>
    </row>
    <row r="1405" spans="1:69" ht="162" x14ac:dyDescent="0.45">
      <c r="A1405" s="5">
        <v>1404</v>
      </c>
      <c r="B1405" s="6" t="s">
        <v>1140</v>
      </c>
      <c r="C1405" s="6" t="s">
        <v>1816</v>
      </c>
      <c r="D1405" s="7" t="s">
        <v>9752</v>
      </c>
      <c r="E1405" s="1" t="s">
        <v>46</v>
      </c>
      <c r="F1405" s="1" t="s">
        <v>6792</v>
      </c>
      <c r="G1405" s="1"/>
      <c r="J1405" s="1" t="s">
        <v>9753</v>
      </c>
      <c r="L1405" s="3" t="s">
        <v>12073</v>
      </c>
      <c r="M1405" s="1" t="s">
        <v>12116</v>
      </c>
      <c r="P1405" s="7" t="s">
        <v>1241</v>
      </c>
      <c r="Q1405" s="13" t="str">
        <f>INDEX($L:$L, MATCH("require", $B:$B, 0))</f>
        <v>&lt;span class="w"&gt;&lt;b&gt;【13.require：～を要求する】&lt;/b&gt;&lt;/span&gt;
&lt;span class="ml"&gt;ラテン語に由来する語で、以下の2つの要素から成る。
&lt;span class="spacer"&gt;&lt;/span&gt;re（繰り返し）
quaerere（尋ねる, 求める, 探す）
&lt;span class="spacer"&gt;&lt;/span&gt;このまま日本語にすると「繰り返し求める」となり、ここから「要求する」という意味になる。
&lt;span class="spacer"&gt;&lt;/span&gt;requireはrequest（リクエスト）と同じ語源に遡るため、一緒に覚えておく。
request：依頼
require：規則や条件に基づく要求&lt;/span&gt;</v>
      </c>
      <c r="R1405" s="13" t="str">
        <f>INDEX($L:$L, MATCH("acquire", $B:$B, 0))</f>
        <v>&lt;span class="w"&gt;&lt;b&gt;【315.acquire：～を得る, ～を獲得する】&lt;/b&gt;&lt;/span&gt;
&lt;span class="ml"&gt;ラテン語に由来する語で、以下の2つの要素から成る。
&lt;span class="spacer"&gt;&lt;/span&gt;ad（～へ）
quaerere（追い求める）
&lt;span class="spacer"&gt;&lt;/span&gt;このまま日本語にすると「〜へ追い求める」となる。acが求める物の方向へ突き進むイメージで、ただ追い求めるだけではなく、その結果の「得る, 獲得する」という意味にまで至る。
&lt;div class="sample_image acquire"&gt;&lt;/div&gt;&lt;/span&gt;</v>
      </c>
      <c r="S1405" s="13" t="str">
        <f>INDEX($L:$L, MATCH("quest", $B:$B, 0))</f>
        <v>&lt;span class="w"&gt;&lt;b&gt;【1341.quest：探求】&lt;/b&gt;&lt;/span&gt;
&lt;span class="ml"&gt;ラテン語quaerere（探求する, 尋ねる）に由来する。
&lt;span class="spacer"&gt;&lt;/span&gt;このラテン語からはquest. question, requestといった名詞が生まれている。これら3つの核は「求めること」。questは、何かを探し求めて進むことから「探求（探し求める旅）」という意味になった。
&lt;span class="spacer"&gt;&lt;/span&gt;questionは答えを求めることから「疑問」に、requestは繰り返し（re）求めることから「要求」という意味になった。&lt;/span&gt;</v>
      </c>
      <c r="T1405" s="13" t="str">
        <f>INDEX($L:$L, MATCH("request", $B:$B, 0))</f>
        <v>&lt;span class="w"&gt;&lt;b&gt;【504.request：〜に（…するように）頼む, 〜を要請する】&lt;/b&gt;&lt;/span&gt;
&lt;span class="ml"&gt;ラテン語に由来する語で、以下の2つの要素から成る。
&lt;span class="spacer"&gt;&lt;/span&gt;re（再び）
quaerere（求める）
&lt;span class="spacer"&gt;&lt;/span&gt;このまま日本語にすると「再び求める」となる。相手に繰り返し求めることから、相手への依頼＝「〜に頼む, 要請する」という意味になる。
&lt;span class="spacer"&gt;&lt;/span&gt;requestとrequireは同じ語源に遡る。
&lt;span class="spacer"&gt;&lt;/span&gt;request：依頼
require：規則や条件に基づく要求&lt;/span&gt;</v>
      </c>
      <c r="AU1405" s="15"/>
      <c r="AV1405" s="1" t="s">
        <v>38</v>
      </c>
      <c r="BG1405" s="7" t="s">
        <v>1242</v>
      </c>
      <c r="BH1405" s="1" t="s">
        <v>1947</v>
      </c>
      <c r="BI1405" s="2" t="s">
        <v>6793</v>
      </c>
      <c r="BJ1405" s="1" t="s">
        <v>2026</v>
      </c>
      <c r="BK1405" s="1" t="s">
        <v>6794</v>
      </c>
      <c r="BL1405" s="1" t="s">
        <v>1959</v>
      </c>
      <c r="BM1405" s="1" t="s">
        <v>6795</v>
      </c>
      <c r="BN1405" s="1" t="s">
        <v>1875</v>
      </c>
      <c r="BO1405" s="2" t="s">
        <v>6796</v>
      </c>
    </row>
    <row r="1406" spans="1:69" ht="144" x14ac:dyDescent="0.45">
      <c r="A1406" s="5">
        <v>1405</v>
      </c>
      <c r="B1406" s="8" t="s">
        <v>1141</v>
      </c>
      <c r="C1406" s="6" t="s">
        <v>1816</v>
      </c>
      <c r="D1406" s="7" t="s">
        <v>9752</v>
      </c>
      <c r="E1406" s="1" t="s">
        <v>27</v>
      </c>
      <c r="F1406" s="1" t="s">
        <v>6797</v>
      </c>
      <c r="G1406" s="1"/>
      <c r="J1406" s="1" t="s">
        <v>9753</v>
      </c>
      <c r="L1406" s="3" t="s">
        <v>9907</v>
      </c>
      <c r="M1406" s="1" t="s">
        <v>12113</v>
      </c>
      <c r="P1406" s="7" t="s">
        <v>1241</v>
      </c>
      <c r="Q1406" s="13" t="str">
        <f>INDEX($L:$L, MATCH("produce", $B:$B, 0))</f>
        <v>&lt;span class="w"&gt;&lt;b&gt;【10.produce：～を生産する】&lt;/b&gt;&lt;/span&gt;
&lt;span class="ml"&gt;ラテン語に由来する語で、以下の2つの要素からなる。
&lt;span class="spacer"&gt;&lt;/span&gt;pro（前に）
decere（導く）
&lt;span class="spacer"&gt;&lt;/span&gt;このまま日本語にすると「前に導く」となる。目の前にないものを相手の前に導き出すというイメージから「何かを生産する」という意味になる。&lt;/span&gt;</v>
      </c>
      <c r="R1406" s="13" t="str">
        <f>INDEX($L:$L, MATCH("reduce", $B:$B, 0))</f>
        <v>&lt;span class="w"&gt;&lt;b&gt;【20.reduce：～を減らす】&lt;/b&gt;&lt;/span&gt;
&lt;span class="ml"&gt;ラテン語に由来する語で、以下の2つの要素から成る。
&lt;span class="spacer"&gt;&lt;/span&gt;re（元へ, 後ろへ）
ducere（導く）
&lt;span class="spacer"&gt;&lt;/span&gt;このまま日本語にすると「後ろに導く」となる。現状から後ろに下がる、つまりマイナスになるイメージから「減らす」という意味になる。&lt;/span&gt;</v>
      </c>
      <c r="S1406" s="13" t="str">
        <f>INDEX($L:$L, MATCH("reproduce", $B:$B, 0))</f>
        <v>&lt;span class="w"&gt;&lt;b&gt;【917.reproduce：〜を複製する, 〜を繁殖させる】&lt;/b&gt;&lt;/span&gt;
&lt;span class="ml"&gt;近代英語に由来する語で、以下の2つの要素から成る。
&lt;span class="spacer"&gt;&lt;/span&gt;re（再び）
produce（生産する） 
&lt;span class="spacer"&gt;&lt;/span&gt;このまま日本語にすると「再び生産する」となる。既に存在するオリジナルをもとに再び生産することから、何かを「複製する」という意味になる。また生物学においては、遺伝子を複製して「繁殖させる」という意味になる。&lt;/span&gt;</v>
      </c>
      <c r="T1406" s="13" t="str">
        <f>INDEX($L:$L, MATCH("educate", $B:$B, 0))</f>
        <v>&lt;span class="w"&gt;&lt;b&gt;【403.educate：〜を教育する】&lt;/b&gt;&lt;/span&gt;
&lt;span class="ml"&gt;ラテン語に由来する語で、以下の2つの要素から成る。
&lt;span class="spacer"&gt;&lt;/span&gt;ex（外に）
ducere（導く）
&lt;span class="spacer"&gt;&lt;/span&gt;このまま日本語にすると「外へ導く」となる。これはもともと内側にあるものを外へ引き出すイメージから、知能や能力を引き出して成長させることを表し、「教育する」という意味になる。&lt;/span&gt;</v>
      </c>
      <c r="U1406" s="13" t="str">
        <f>INDEX($L:$L, MATCH("conduct", $B:$B, 0))</f>
        <v>&lt;span class="w"&gt;&lt;b&gt;【210.conduct：実施する, 導く】&lt;/b&gt;&lt;/span&gt;
&lt;span class="ml"&gt;ラテン語に由来する語で、以下の2つの要素から成る。
&lt;span class="spacer"&gt;&lt;/span&gt;com（共に）
ducere（導く）
&lt;span class="spacer"&gt;&lt;/span&gt;このまま日本語にすると「共に導く」となる。ある物事が行われるように導いていくイメージから「実施する, 導く」という意味になる。
&lt;div class="sample_image conduct"&gt;&lt;/div&gt;&lt;/span&gt;</v>
      </c>
      <c r="AU1406" s="15"/>
      <c r="AV1406" s="1" t="s">
        <v>38</v>
      </c>
      <c r="BG1406" s="7" t="s">
        <v>1242</v>
      </c>
      <c r="BH1406" s="1" t="s">
        <v>1947</v>
      </c>
      <c r="BI1406" s="2" t="s">
        <v>6798</v>
      </c>
      <c r="BJ1406" s="1" t="s">
        <v>1875</v>
      </c>
      <c r="BK1406" s="2" t="s">
        <v>6799</v>
      </c>
    </row>
    <row r="1407" spans="1:69" ht="180" x14ac:dyDescent="0.45">
      <c r="A1407" s="5">
        <v>1406</v>
      </c>
      <c r="B1407" s="8" t="s">
        <v>1142</v>
      </c>
      <c r="C1407" s="6" t="s">
        <v>1816</v>
      </c>
      <c r="D1407" s="7" t="s">
        <v>9752</v>
      </c>
      <c r="E1407" s="1" t="s">
        <v>1395</v>
      </c>
      <c r="F1407" s="1" t="s">
        <v>1332</v>
      </c>
      <c r="G1407" s="1"/>
      <c r="J1407" s="1" t="s">
        <v>9753</v>
      </c>
      <c r="L1407" s="3" t="s">
        <v>9908</v>
      </c>
      <c r="M1407" s="1" t="s">
        <v>12158</v>
      </c>
      <c r="P1407" s="7" t="s">
        <v>1241</v>
      </c>
      <c r="Q1407" s="13" t="str">
        <f>INDEX($L:$L, MATCH("contact", $B:$B, 0))</f>
        <v>&lt;span class="w"&gt;&lt;b&gt;【131.contact：〜と連絡を取る, 接触する】&lt;/b&gt;&lt;/span&gt;
&lt;span class="ml"&gt;ラテン語に由来する語で、以下の2つの要素から成る。
&lt;span class="spacer"&gt;&lt;/span&gt;com（共に）
tangere（触れる）
&lt;span class="spacer"&gt;&lt;/span&gt;このまま日本語にすると「共に触れる」となる。誰かと誰かが直接触れるなら「接触する」となり、離れていたら「連絡を取る」となる。&lt;/span&gt;</v>
      </c>
      <c r="R1407" s="13" t="str">
        <f>INDEX($L:$L, MATCH("entire", $B:$B, 0))</f>
        <v>&lt;span class="w"&gt;&lt;b&gt;【285.entire：全体の, 全部の, 完全な】&lt;/b&gt;&lt;/span&gt;
&lt;span class="ml"&gt;ラテン語に由来する語で、以下の2つの要素から成る。
&lt;span class="spacer"&gt;&lt;/span&gt;in（否定）
tangere（触れる）
&lt;span class="spacer"&gt;&lt;/span&gt;このまま日本語にすると「触れられていない」となる。誰も触っていないから汚れておらず、何も失われていない完全な状態。ここから「全体の, 全部の, 完全な」という意味になる。&lt;/span&gt;</v>
      </c>
      <c r="S1407" s="13" t="str">
        <f>INDEX($L:$L, MATCH("integrate", $B:$B, 0))</f>
        <v>&lt;span class="w"&gt;&lt;b&gt;【1239.integrate：〜を統合する, 〜を融合する】&lt;/b&gt;&lt;/span&gt;
&lt;span class="ml"&gt;ラテン語に由来する語で、以下の2つの要素から成る。
&lt;span class="spacer"&gt;&lt;/span&gt;in（否定）
tangere（触れる）
&lt;span class="spacer"&gt;&lt;/span&gt;このまま日本語にすると「触れられていない」となる。触れられていないということは、欠けている部分が全くなく、汚れてもいない完全な状態を表す。そこから、何かを完全な状態にすることへと発展し、バラバラな要素をひとつにまとめて完全にする＝「統合する, 融合する」という意味になった。
&lt;div class="sample_image integrate"&gt;&lt;/div&gt;
&lt;span class="spacer"&gt;&lt;/span&gt;全く同じ語源からはinteger（整数）も生まれている。小数や分数のように端数や分割のない完全な数字＝整数を意味する。&lt;/span&gt;</v>
      </c>
      <c r="AU1407" s="15"/>
      <c r="AV1407" s="1" t="s">
        <v>38</v>
      </c>
      <c r="BG1407" s="7" t="s">
        <v>1242</v>
      </c>
      <c r="BH1407" s="1" t="s">
        <v>1947</v>
      </c>
      <c r="BI1407" s="2" t="s">
        <v>6800</v>
      </c>
      <c r="BJ1407" s="1" t="s">
        <v>2026</v>
      </c>
      <c r="BK1407" s="1" t="s">
        <v>6801</v>
      </c>
      <c r="BL1407" s="1" t="s">
        <v>1959</v>
      </c>
      <c r="BM1407" s="1" t="s">
        <v>6802</v>
      </c>
      <c r="BN1407" s="1" t="s">
        <v>1875</v>
      </c>
      <c r="BO1407" s="2" t="s">
        <v>6803</v>
      </c>
    </row>
    <row r="1408" spans="1:69" ht="72" x14ac:dyDescent="0.45">
      <c r="A1408" s="5">
        <v>1407</v>
      </c>
      <c r="B1408" s="8" t="s">
        <v>1143</v>
      </c>
      <c r="C1408" s="6" t="s">
        <v>1816</v>
      </c>
      <c r="D1408" s="7" t="s">
        <v>9752</v>
      </c>
      <c r="E1408" s="1" t="s">
        <v>1143</v>
      </c>
      <c r="F1408" s="1"/>
      <c r="G1408" s="1"/>
      <c r="J1408" s="1" t="s">
        <v>9753</v>
      </c>
      <c r="L1408" s="2" t="s">
        <v>9909</v>
      </c>
      <c r="P1408" s="7" t="s">
        <v>1241</v>
      </c>
      <c r="AV1408" s="1" t="s">
        <v>38</v>
      </c>
      <c r="BG1408" s="7" t="s">
        <v>1242</v>
      </c>
      <c r="BH1408" s="1" t="s">
        <v>3414</v>
      </c>
      <c r="BI1408" s="1" t="s">
        <v>6804</v>
      </c>
      <c r="BJ1408" s="1" t="s">
        <v>1877</v>
      </c>
      <c r="BK1408" s="2" t="s">
        <v>6805</v>
      </c>
    </row>
    <row r="1409" spans="1:67" ht="216" x14ac:dyDescent="0.45">
      <c r="A1409" s="5">
        <v>1408</v>
      </c>
      <c r="B1409" s="6" t="s">
        <v>1144</v>
      </c>
      <c r="C1409" s="6" t="s">
        <v>1816</v>
      </c>
      <c r="D1409" s="7" t="s">
        <v>9752</v>
      </c>
      <c r="E1409" s="1" t="s">
        <v>1251</v>
      </c>
      <c r="F1409" s="1" t="s">
        <v>6806</v>
      </c>
      <c r="G1409" s="1"/>
      <c r="J1409" s="1" t="s">
        <v>9753</v>
      </c>
      <c r="L1409" s="3" t="s">
        <v>9925</v>
      </c>
      <c r="P1409" s="7" t="s">
        <v>1241</v>
      </c>
      <c r="AU1409" s="15"/>
      <c r="AV1409" s="1" t="s">
        <v>38</v>
      </c>
      <c r="BG1409" s="7" t="s">
        <v>1242</v>
      </c>
      <c r="BH1409" s="1" t="s">
        <v>1959</v>
      </c>
      <c r="BI1409" s="2" t="s">
        <v>6807</v>
      </c>
      <c r="BJ1409" s="1" t="s">
        <v>1875</v>
      </c>
      <c r="BK1409" s="2" t="s">
        <v>6808</v>
      </c>
      <c r="BL1409" s="1" t="s">
        <v>1877</v>
      </c>
      <c r="BM1409" s="2" t="s">
        <v>6809</v>
      </c>
      <c r="BN1409" s="1" t="s">
        <v>3496</v>
      </c>
      <c r="BO1409" s="2" t="s">
        <v>6810</v>
      </c>
    </row>
    <row r="1410" spans="1:67" ht="144" x14ac:dyDescent="0.45">
      <c r="A1410" s="5">
        <v>1409</v>
      </c>
      <c r="B1410" s="8" t="s">
        <v>1145</v>
      </c>
      <c r="C1410" s="6" t="s">
        <v>1816</v>
      </c>
      <c r="D1410" s="7" t="s">
        <v>9752</v>
      </c>
      <c r="E1410" s="1" t="s">
        <v>6811</v>
      </c>
      <c r="F1410" s="1" t="s">
        <v>6812</v>
      </c>
      <c r="G1410" s="1"/>
      <c r="J1410" s="1" t="s">
        <v>9753</v>
      </c>
      <c r="L1410" s="3" t="s">
        <v>9926</v>
      </c>
      <c r="M1410" s="1" t="s">
        <v>12154</v>
      </c>
      <c r="P1410" s="7" t="s">
        <v>1241</v>
      </c>
      <c r="Q1410" s="13" t="str">
        <f>INDEX($L:$L, MATCH("treat", $B:$B, 0))</f>
        <v>&lt;span class="w"&gt;&lt;b&gt;【125.treat：～を扱う, ～を治療する, ごちそうする】&lt;/b&gt;&lt;/span&gt;
&lt;span class="ml"&gt;ラテン語trahere（引く, 引きずる）から派生したtractare（繰り返し引く, 引きずり回す, 取り扱う）に由来する。
&lt;span class="spacer"&gt;&lt;/span&gt;何かを繰り返し引く様子から、何かを「扱う」というイメージになる。医療における患者の扱いなら「治療する」という意味になり、客への扱いならもてなし＝「食べ物や飲み物をふるまう, ごちそうする」という意味になる。&lt;/span&gt;</v>
      </c>
      <c r="R1410" s="13" t="str">
        <f>INDEX($L:$L, MATCH("treaty", $B:$B, 0))</f>
        <v>&lt;span class="w"&gt;&lt;b&gt;【1478.treaty：条約, 協定】&lt;/b&gt;&lt;/span&gt;
&lt;span class="ml"&gt;ラテン語trahere（引っ張る）から派生したtractare（扱う, 管理する）に由来する。
&lt;span class="spacer"&gt;&lt;/span&gt;もともとは、物理的に引っ張るという動作を表したが、そこから比喩的に問題を引き出して扱うこと、議論すること、そして交渉という意味へと発展していった。
&lt;span class="spacer"&gt;&lt;/span&gt;さらに交渉という行為そのものから、それによって結ばれる合意へと発展し、ある集団や国家の間で結ばれる「条約, 協定」という意味になった。&lt;/span&gt;</v>
      </c>
      <c r="S1410" s="13" t="str">
        <f>INDEX($L:$L, MATCH("retreat", $B:$B, 0))</f>
        <v>&lt;span class="w"&gt;&lt;b&gt;【1172.retreat：後退, 退却, 撤回】&lt;/b&gt;&lt;/span&gt;
&lt;span class="ml"&gt;ラテン語に由来する語で、以下の2つの要素から成る。
&lt;span class="spacer"&gt;&lt;/span&gt;re（後ろへ）
trahere（引く）
&lt;span class="spacer"&gt;&lt;/span&gt;この語の核は「後ろへ引くこと」。物理的に引っ込めることから「後退, 撤退, 撤回」といった意味になった。また引っ込んで隠れることから「隠れ家, 避難所」という意味にもなる。
&lt;div class="sample_image retreat"&gt;&lt;/div&gt;&lt;/span&gt;</v>
      </c>
      <c r="T1410" s="13" t="str">
        <f>INDEX($L:$L, MATCH("trace", $B:$B, 0))</f>
        <v>&lt;span class="w"&gt;&lt;b&gt;【618.trace：（足跡・起源など）をたどる】&lt;/b&gt;&lt;/span&gt;
&lt;span class="ml"&gt;ラテン語trahere（引く）に由来する。
&lt;span class="spacer"&gt;&lt;/span&gt;何かを引くとそのあとに跡ができる。その跡を目印にしてなぞることから「たどる」という意味になった。&lt;/span&gt;</v>
      </c>
      <c r="U1410" s="13" t="str">
        <f>INDEX($L:$L, MATCH("trait", $B:$B, 0))</f>
        <v>&lt;span class="w"&gt;&lt;b&gt;【455.trait：特性, 特徴】&lt;/b&gt;&lt;/span&gt;
&lt;span class="ml"&gt;ラテン語trahere（引く）に由来する。
&lt;span class="spacer"&gt;&lt;/span&gt;もともとは「（物理的にものを）引っ張る」という動作を意味していたが、そこからペンや筆で「引かれた線」を指すようになった。
&lt;span class="spacer"&gt;&lt;/span&gt;特に顔の絵を描く際の線は、他者と区別される「その人固有の顔立ち（身体的特徴）」となることから、最終的に目に見えない内面的な「特徴, 特性」という意味へと発展した。
&lt;div class="sample_image trait"&gt;&lt;/div&gt;&lt;/span&gt;</v>
      </c>
      <c r="V1410" s="13" t="str">
        <f>INDEX($L:$L, MATCH("trail", $B:$B, 0))</f>
        <v>&lt;span class="w"&gt;&lt;b&gt;【972.trail：小道, 跡】&lt;/b&gt;&lt;/span&gt;
&lt;span class="ml"&gt;古フランス語trailler（引く, 引きずる）に由来する。
&lt;span class="spacer"&gt;&lt;/span&gt;この語の核は「引きずってできたもの」。人や動物が通って引かれた「跡」や、繰り返し通ることでできる「小道」という意味になる。&lt;/span&gt;</v>
      </c>
      <c r="AV1410" s="1" t="s">
        <v>38</v>
      </c>
      <c r="BG1410" s="7" t="s">
        <v>1242</v>
      </c>
      <c r="BH1410" s="1" t="s">
        <v>1947</v>
      </c>
      <c r="BI1410" s="1" t="s">
        <v>6813</v>
      </c>
      <c r="BJ1410" s="1" t="s">
        <v>1959</v>
      </c>
      <c r="BK1410" s="2" t="s">
        <v>6814</v>
      </c>
      <c r="BL1410" s="1" t="s">
        <v>2114</v>
      </c>
      <c r="BM1410" s="1" t="s">
        <v>6815</v>
      </c>
      <c r="BN1410" s="1" t="s">
        <v>1875</v>
      </c>
      <c r="BO1410" s="2" t="s">
        <v>6816</v>
      </c>
    </row>
    <row r="1411" spans="1:67" ht="108" x14ac:dyDescent="0.45">
      <c r="A1411" s="5">
        <v>1410</v>
      </c>
      <c r="B1411" s="6" t="s">
        <v>1146</v>
      </c>
      <c r="C1411" s="6" t="s">
        <v>1816</v>
      </c>
      <c r="D1411" s="7" t="s">
        <v>9752</v>
      </c>
      <c r="E1411" s="6" t="s">
        <v>1146</v>
      </c>
      <c r="F1411" s="1"/>
      <c r="G1411" s="1"/>
      <c r="J1411" s="1" t="s">
        <v>9753</v>
      </c>
      <c r="L1411" s="2" t="s">
        <v>9910</v>
      </c>
      <c r="P1411" s="7" t="s">
        <v>1241</v>
      </c>
      <c r="AU1411" s="15"/>
      <c r="AV1411" s="1" t="s">
        <v>38</v>
      </c>
      <c r="BG1411" s="7" t="s">
        <v>1242</v>
      </c>
      <c r="BH1411" s="1" t="s">
        <v>1875</v>
      </c>
      <c r="BI1411" s="2" t="s">
        <v>6817</v>
      </c>
      <c r="BJ1411" s="1" t="s">
        <v>1877</v>
      </c>
      <c r="BK1411" s="2" t="s">
        <v>6818</v>
      </c>
    </row>
    <row r="1412" spans="1:67" ht="126" x14ac:dyDescent="0.45">
      <c r="A1412" s="5">
        <v>1411</v>
      </c>
      <c r="B1412" s="8" t="s">
        <v>1147</v>
      </c>
      <c r="C1412" s="6" t="s">
        <v>1816</v>
      </c>
      <c r="D1412" s="7" t="s">
        <v>9752</v>
      </c>
      <c r="E1412" s="1" t="s">
        <v>1327</v>
      </c>
      <c r="F1412" s="1" t="s">
        <v>4312</v>
      </c>
      <c r="G1412" s="1" t="s">
        <v>1818</v>
      </c>
      <c r="J1412" s="1" t="s">
        <v>9753</v>
      </c>
      <c r="L1412" s="3" t="s">
        <v>9911</v>
      </c>
      <c r="M1412" s="1" t="s">
        <v>12121</v>
      </c>
      <c r="P1412" s="7" t="s">
        <v>1241</v>
      </c>
      <c r="Q1412" s="13" t="str">
        <f>INDEX($L:$L, MATCH("design", $B:$B, 0))</f>
        <v>&lt;span class="w"&gt;&lt;b&gt;【21.design：～を設計する, ～を計画する】&lt;/b&gt;&lt;/span&gt;
&lt;span class="ml"&gt;ラテン語に由来する語で、以下の2つの要素から成る。
&lt;span class="spacer"&gt;&lt;/span&gt;de（外へ）
signare（印をつける：signの語源）
&lt;span class="spacer"&gt;&lt;/span&gt;このまま日本語にすると「外へ印を付ける」となる。設計図や計画表に印をつけるイメージから「設計する, 計画する」という意味になる。&lt;/span&gt;</v>
      </c>
      <c r="R1412" s="13" t="str">
        <f>INDEX($L:$L, MATCH("assign", $B:$B, 0))</f>
        <v>&lt;span class="w"&gt;&lt;b&gt;【739.assign：〜を割り当てる】&lt;/b&gt;&lt;/span&gt;
&lt;span class="ml"&gt;ラテン語に由来する語で、以下の2つの要素から成る。
&lt;span class="spacer"&gt;&lt;/span&gt;ad（〜へ）
signum（印）から派生したsignare（印をつける）
&lt;span class="spacer"&gt;&lt;/span&gt;このまま日本語にすると「〜へ印をつける」となる。印（サイン）をつけて、財産を割り当てたり、誰かに任務を割り当てたりすることから、何かに対してあるものを「割り当てる」という意味になる。
&lt;div class="sample_image assign"&gt;&lt;/div&gt;&lt;/span&gt;</v>
      </c>
      <c r="S1412" s="13" t="str">
        <f>INDEX($L:$L, MATCH("signature", $B:$B, 0))</f>
        <v>&lt;span class="w"&gt;&lt;b&gt;【1365.signature：署名, 特徴】&lt;/b&gt;&lt;/span&gt;
&lt;span class="ml"&gt;ラテン語に由来する語で、以下の2つの要素から成る。
&lt;span class="spacer"&gt;&lt;/span&gt;signare（印を付ける, 署名する）
ura（名詞化）
&lt;span class="spacer"&gt;&lt;/span&gt;もともとは、所有者が誰かや、あるものが本物であることを示すために、何かに印をつける行為そのものを表した。しかし次第に印をつけることから、その結果として残された印自体へと焦点が移り、文書が本物であることを証明する手書きの「署名」という意味になった。
&lt;span class="spacer"&gt;&lt;/span&gt;また署名はその人にしか書けない固有の印であることからから意味が発展して、特定の人や物を象徴するような、際立った「特徴」という意味にもなった。&lt;/span&gt;</v>
      </c>
      <c r="T1412" s="13" t="str">
        <f>INDEX($L:$L, MATCH("significant", $B:$B, 0))</f>
        <v>&lt;span class="w"&gt;&lt;b&gt;【185.significant：重要な, 重大な, 意義深い】&lt;/b&gt;&lt;/span&gt;
&lt;span class="ml"&gt;ラテン語に由来する語で、以下の2つの要素から成る。
&lt;span class="spacer"&gt;&lt;/span&gt;signum（印：signの語源）
facere（作る, する）
&lt;span class="spacer"&gt;&lt;/span&gt;このまま日本語にすると「印をする」となる。付けられた印が何かを意味することから「意義深い」という意味になる。また印の有無が他と区別することから「重要な, 重大な」という意味になる。
&lt;div class="sample_image significant"&gt;&lt;/div&gt;&lt;/span&gt;</v>
      </c>
      <c r="U1412" s="13" t="str">
        <f>INDEX($L:$L, MATCH("seal", $B:$B, 0))</f>
        <v>&lt;span class="w"&gt;&lt;b&gt;【1119.seal：〜を密閉する, 〜に封をする】&lt;/b&gt;&lt;/span&gt;
&lt;span class="ml"&gt;ラテン語に由来する語で、以下の2つの要素から成る。
&lt;span class="spacer"&gt;&lt;/span&gt;signum（しるし：signの語源）
illum（小さいことを表す）
&lt;span class="spacer"&gt;&lt;/span&gt;このまま日本語にすると「小さな印」となる。手紙や文書などを溶かした蝋で封じる際に、そこに小さな印を押し当てて、その手紙が本物であることを証明した。そこから「封をする」や、容器などを「密閉する」という意味になった。
&lt;div class="sample_image seal"&gt;&lt;/div&gt;&lt;/span&gt;</v>
      </c>
      <c r="AU1412" s="15"/>
      <c r="AV1412" s="1" t="s">
        <v>38</v>
      </c>
      <c r="BG1412" s="7" t="s">
        <v>1242</v>
      </c>
      <c r="BH1412" s="1" t="s">
        <v>1947</v>
      </c>
      <c r="BI1412" s="2" t="s">
        <v>6819</v>
      </c>
      <c r="BJ1412" s="1" t="s">
        <v>1875</v>
      </c>
      <c r="BK1412" s="2" t="s">
        <v>6820</v>
      </c>
      <c r="BL1412" s="1" t="s">
        <v>1877</v>
      </c>
      <c r="BM1412" s="2" t="s">
        <v>6821</v>
      </c>
    </row>
    <row r="1413" spans="1:67" ht="144" x14ac:dyDescent="0.45">
      <c r="A1413" s="5">
        <v>1412</v>
      </c>
      <c r="B1413" s="8" t="s">
        <v>1148</v>
      </c>
      <c r="C1413" s="6" t="s">
        <v>1816</v>
      </c>
      <c r="D1413" s="7" t="s">
        <v>9752</v>
      </c>
      <c r="E1413" s="1" t="s">
        <v>1426</v>
      </c>
      <c r="F1413" s="1" t="s">
        <v>6822</v>
      </c>
      <c r="G1413" s="1"/>
      <c r="J1413" s="1" t="s">
        <v>9753</v>
      </c>
      <c r="L1413" s="3" t="s">
        <v>9912</v>
      </c>
      <c r="M1413" s="1" t="s">
        <v>12223</v>
      </c>
      <c r="P1413" s="7" t="s">
        <v>1241</v>
      </c>
      <c r="Q1413" s="13" t="str">
        <f>INDEX($L:$L, MATCH("indicate", $B:$B, 0))</f>
        <v>&lt;span class="w"&gt;&lt;b&gt;【203.indicate：～を指し示す, ～を述べる】&lt;/b&gt;&lt;/span&gt;
&lt;span class="ml"&gt;ラテン語に由来する語で、以下の2つの要素から成る。
&lt;span class="spacer"&gt;&lt;/span&gt;in（中に）
dicare（宣言する, 示す）
&lt;span class="spacer"&gt;&lt;/span&gt;このまま日本語にすると「何かの中に向かって示す・宣言する」となる。この「中に向かって」は方向性を、「示す・宣言する」は情報の提示を表す。つまりindicateは対象（目的語）＝情報へ向け、その情報を示す役割をする。
&lt;span class="spacer"&gt;&lt;/span&gt;S indicate Oは、SがOの方向に相手を向けてその情報を示す。
&lt;div class="sample_image indicate"&gt;&lt;/div&gt;&lt;/span&gt;</v>
      </c>
      <c r="R1413" s="13" t="str">
        <f>INDEX($L:$L, MATCH("dedicate", $B:$B, 0))</f>
        <v>&lt;span class="w"&gt;&lt;b&gt;【1039.dedicate：〜を捧げる, 〜を献呈する】&lt;/b&gt;&lt;/span&gt;
&lt;span class="ml"&gt;ラテン語に由来する語で、以下の2つの要素から成る。
&lt;span class="spacer"&gt;&lt;/span&gt;de（離れて）
dicare（宣言する）
&lt;span class="spacer"&gt;&lt;/span&gt;もともとは、世間から切り離して神に属するものだと宣言する、宗教的な奉献を表した。そこから宗教に関わらず、一般的な意味として、時間やエネルギーなどを「捧げる」、作品や碑などを「献呈する」という意味になった。
&lt;div class="sample_image dedicate"&gt;&lt;/div&gt;&lt;/span&gt;</v>
      </c>
      <c r="S1413" s="13" t="str">
        <f>INDEX($L:$L, MATCH("predict", $B:$B, 0))</f>
        <v>&lt;span class="w"&gt;&lt;b&gt;【301.predict：～を予言する, ～を予測する】&lt;/b&gt;&lt;/span&gt;
&lt;span class="ml"&gt;ラテン語に由来する語で、以下の2つの要素から成る。
&lt;span class="spacer"&gt;&lt;/span&gt;prae（前に, 以前に）
dicere（言う）
&lt;span class="spacer"&gt;&lt;/span&gt;このまま日本語にすると「前に言う」となる。何かが起こる前に言うことから「予言する, 予測する」という意味になる。
&lt;div class="sample_image predict"&gt;&lt;/div&gt;&lt;/span&gt;</v>
      </c>
      <c r="T1413" s="13" t="str">
        <f>INDEX($L:$L, MATCH("index", $B:$B, 0))</f>
        <v>&lt;span class="w"&gt;&lt;b&gt;【1272.index：指し示すもの, 指数, 指標, 索引】&lt;/b&gt;&lt;/span&gt;
&lt;span class="ml"&gt;ラテン語に由来する語で、以下の2つの要素から成る。
&lt;span class="spacer"&gt;&lt;/span&gt;in（中に）
dicare（宣言する, 指し示す）
&lt;span class="spacer"&gt;&lt;/span&gt;この語の核は「ある方向に指をさして示し、何かを宣言すること」。この指をさすということから、ラテン語indexは人差し指という意味をもち、英語でも人差し指をindex fingerと呼ぶ。
&lt;span class="spacer"&gt;&lt;/span&gt;この何かを指し示すものという意味から、英語では当初、本の中で特定の情報が何ページに書かれているかを示す「索引」という意味で使われた。さらにそこから、経済やデータなどで、状態や傾向を客観的な数値で指し示す「指数, 指標」という意味にもなった。
例：BMI（Body Mass Index）＝肥満度を示す体格指数&lt;/span&gt;</v>
      </c>
      <c r="U1413" s="13" t="str">
        <f>INDEX($L:$L, MATCH("judge", $B:$B, 0))</f>
        <v>&lt;span class="w"&gt;&lt;b&gt;【310.judge：～を判断する, 判決を下す】&lt;/b&gt;&lt;/span&gt;
&lt;span class="ml"&gt;ラテン語に由来する語で、以下の2つの要素から成る。
&lt;span class="spacer"&gt;&lt;/span&gt;ius（法）
dicere（宣言する, 示す）
&lt;span class="spacer"&gt;&lt;/span&gt;このまま日本語にすると「法を宣言する」となる。ここから法を宣言する人＝裁判官という意味を経て「判決を下す」という意味になる。また法とは関係なく、自分で考えて「判断する」となる。&lt;/span&gt;</v>
      </c>
      <c r="V1413" s="13" t="str">
        <f>INDEX($L:$L, MATCH("prejudice", $B:$B, 0))</f>
        <v>&lt;span class="w"&gt;&lt;b&gt;【768.prejudice：偏見】&lt;/b&gt;&lt;/span&gt;
&lt;span class="ml"&gt;ラテン語に由来する語で、以下の2つの要素から成る。
&lt;span class="spacer"&gt;&lt;/span&gt;prae（前もって）
iudexから派生したiudicium（判断）
&lt;span class="spacer"&gt;&lt;/span&gt;このまま日本語にすると「前もって行われる判断」となる。そこから先入観となり、特に否定的な意味での「偏見」という意味になった。
&lt;span class="spacer"&gt;&lt;/span&gt;ラテン語iudexはjudgeの語源でもある。そのためprejudiceは、前もって（pre）行われるジャッジ（判断）というイメージで覚えればよい。&lt;/span&gt;</v>
      </c>
      <c r="W1413" s="13" t="str">
        <f>INDEX($L:$L, MATCH("contrast", $B:$B, 0))</f>
        <v>&lt;span class="w"&gt;&lt;b&gt;【245.contrast：対照】&lt;/b&gt;&lt;/span&gt;
&lt;span class="ml"&gt;ラテン語に由来する語で、以下の2つの要素から成る。
&lt;span class="spacer"&gt;&lt;/span&gt;contra（～に対して）
stare（立つ）
&lt;span class="spacer"&gt;&lt;/span&gt;このまま日本語にすると「反対に立つ」となる。あるものと反対に立つものを比べて違いがはっきりするイメージから「対照」という意味になる。&lt;/span&gt;</v>
      </c>
      <c r="X1413" s="13" t="str">
        <f>INDEX($L:$L, MATCH("contrary", $B:$B, 0))</f>
        <v>&lt;span class="w"&gt;&lt;b&gt;【488.contrary：反対の】&lt;/b&gt;&lt;/span&gt;
&lt;span class="ml"&gt;ラテン語に由来する語で、以下の2つの要素から成る。
&lt;span class="spacer"&gt;&lt;/span&gt;contra（〜に対して, 反対に）
arius（形容詞化）
&lt;span class="spacer"&gt;&lt;/span&gt;このまま日本語にすると「反対の」という意味になる。&lt;/span&gt;</v>
      </c>
      <c r="Y1413" s="13" t="str">
        <f>INDEX($L:$L, MATCH("controversy", $B:$B, 0))</f>
        <v>&lt;span class="w"&gt;&lt;b&gt;【1152.controversy：論争】&lt;/b&gt;&lt;/span&gt;
&lt;span class="ml"&gt;ラテン語に由来する語で、以下の3つの要素から成る。
&lt;span class="spacer"&gt;&lt;/span&gt;contra（反対に）
versus（〜の方に向けられた)
ia（名詞化）
&lt;span class="spacer"&gt;&lt;/span&gt;この語の核は「相手と同じ方向ではなく反対に向いていること、向き合っていること」。つまり考えや立場が対立して争っていることを表し、そこから 「論争」という意味になる。
&lt;div class="sample_image controversy"&gt;&lt;/div&gt;&lt;/span&gt;</v>
      </c>
      <c r="Z1413" s="13" t="str">
        <f>INDEX($L:$L, MATCH("encounter", $B:$B, 0))</f>
        <v>&lt;span class="w"&gt;&lt;b&gt;【415.encounter：〜に遭遇する, 〜に偶然出会う】&lt;/b&gt;&lt;/span&gt;
&lt;span class="ml"&gt;ラテン語に由来する語で、以下の2つの要素から成る。
&lt;span class="spacer"&gt;&lt;/span&gt;in（中に）
contra（反対して, 〜に対して）
&lt;span class="spacer"&gt;&lt;/span&gt;この語の核は「何かと対する状況の中にいる」ということ。何かと向かい合う状況の中にいるイメージから「遭遇する, 偶然出会う」という意味になる。
&lt;div class="sample_image encounter"&gt;&lt;/div&gt;&lt;/span&gt;</v>
      </c>
      <c r="AA1413" s="13" t="str">
        <f>INDEX($L:$L, MATCH("counterpart", $B:$B, 0))</f>
        <v>&lt;span class="w"&gt;&lt;b&gt;【969.counterpart：相当する物や人】&lt;/b&gt;&lt;/span&gt;
&lt;span class="ml"&gt;フランス語に由来する語で、以下の2つの要素から成る。
&lt;span class="spacer"&gt;&lt;/span&gt;contra（対して）
partie（分けられたもの, 部分, 写し）
&lt;span class="spacer"&gt;&lt;/span&gt;このまま日本語にすると「何かに対応させて分けられたもの」となる。もともとは法的な文書を写して分けたものを表した。法的文書の写しは元の文書と同等のものであることから、一般的な意味に発展し、何かに「相当する物や人」という意味になった。&lt;/span&gt;</v>
      </c>
      <c r="AU1413" s="15"/>
      <c r="AV1413" s="1" t="s">
        <v>38</v>
      </c>
      <c r="BG1413" s="7" t="s">
        <v>1242</v>
      </c>
      <c r="BH1413" s="1" t="s">
        <v>1947</v>
      </c>
      <c r="BI1413" s="2" t="s">
        <v>6823</v>
      </c>
      <c r="BJ1413" s="1" t="s">
        <v>1877</v>
      </c>
      <c r="BK1413" s="2" t="s">
        <v>6824</v>
      </c>
    </row>
    <row r="1414" spans="1:67" ht="90" x14ac:dyDescent="0.45">
      <c r="A1414" s="5">
        <v>1413</v>
      </c>
      <c r="B1414" s="6" t="s">
        <v>1149</v>
      </c>
      <c r="C1414" s="6" t="s">
        <v>1816</v>
      </c>
      <c r="D1414" s="7" t="s">
        <v>9752</v>
      </c>
      <c r="E1414" s="6" t="s">
        <v>1149</v>
      </c>
      <c r="F1414" s="1"/>
      <c r="G1414" s="1"/>
      <c r="J1414" s="1" t="s">
        <v>9753</v>
      </c>
      <c r="L1414" s="2" t="s">
        <v>9913</v>
      </c>
      <c r="P1414" s="7" t="s">
        <v>1241</v>
      </c>
      <c r="AU1414" s="15"/>
      <c r="AV1414" s="1" t="s">
        <v>38</v>
      </c>
      <c r="BG1414" s="7" t="s">
        <v>1242</v>
      </c>
      <c r="BH1414" s="1" t="s">
        <v>1872</v>
      </c>
      <c r="BI1414" s="2" t="s">
        <v>6825</v>
      </c>
      <c r="BJ1414" s="1" t="s">
        <v>1875</v>
      </c>
      <c r="BK1414" s="2" t="s">
        <v>6826</v>
      </c>
    </row>
    <row r="1415" spans="1:67" ht="180" x14ac:dyDescent="0.45">
      <c r="A1415" s="5">
        <v>1414</v>
      </c>
      <c r="B1415" s="8" t="s">
        <v>1150</v>
      </c>
      <c r="C1415" s="6" t="s">
        <v>1816</v>
      </c>
      <c r="D1415" s="7" t="s">
        <v>9752</v>
      </c>
      <c r="E1415" s="1" t="s">
        <v>1505</v>
      </c>
      <c r="F1415" s="1" t="s">
        <v>4659</v>
      </c>
      <c r="G1415" s="1"/>
      <c r="J1415" s="1" t="s">
        <v>9753</v>
      </c>
      <c r="L1415" s="3" t="s">
        <v>9914</v>
      </c>
      <c r="M1415" s="1" t="s">
        <v>12218</v>
      </c>
      <c r="P1415" s="7" t="s">
        <v>1241</v>
      </c>
      <c r="Q1415" s="13" t="str">
        <f>INDEX($L:$L, MATCH("interrupt", $B:$B, 0))</f>
        <v>&lt;span class="w"&gt;&lt;b&gt;【830.interrupt：〜を中断させる, 邪魔をする】&lt;/b&gt;&lt;/span&gt;
&lt;span class="ml"&gt;ラテン語に由来する語で、以下の2つの要素から成る。
&lt;span class="spacer"&gt;&lt;/span&gt;inter（〜の間に）
rumpere（壊す）
&lt;span class="spacer"&gt;&lt;/span&gt;このまま日本語にすると「何かの間に入って壊す」となる。会話や行為の最中に入り込み、その状況を壊すことから、何かを「中断させる, 邪魔をする」という意味になる。
&lt;div class="sample_image interrupt"&gt;&lt;/div&gt;&lt;/span&gt;</v>
      </c>
      <c r="AU1415" s="15"/>
      <c r="AV1415" s="1" t="s">
        <v>38</v>
      </c>
      <c r="BG1415" s="7" t="s">
        <v>1242</v>
      </c>
      <c r="BH1415" s="1" t="s">
        <v>1947</v>
      </c>
      <c r="BI1415" s="2" t="s">
        <v>6827</v>
      </c>
      <c r="BJ1415" s="1" t="s">
        <v>1877</v>
      </c>
      <c r="BK1415" s="2" t="s">
        <v>6828</v>
      </c>
    </row>
    <row r="1416" spans="1:67" ht="198" x14ac:dyDescent="0.45">
      <c r="A1416" s="5">
        <v>1415</v>
      </c>
      <c r="B1416" s="8" t="s">
        <v>1151</v>
      </c>
      <c r="C1416" s="6" t="s">
        <v>1816</v>
      </c>
      <c r="D1416" s="7" t="s">
        <v>9752</v>
      </c>
      <c r="E1416" s="1" t="s">
        <v>1327</v>
      </c>
      <c r="F1416" s="1" t="s">
        <v>5205</v>
      </c>
      <c r="G1416" s="1"/>
      <c r="J1416" s="1" t="s">
        <v>9753</v>
      </c>
      <c r="L1416" s="3" t="s">
        <v>9915</v>
      </c>
      <c r="P1416" s="7" t="s">
        <v>1241</v>
      </c>
      <c r="Q1416" s="13" t="str">
        <f>INDEX($L:$L, MATCH("proportion", $B:$B, 0))</f>
        <v>&lt;span class="w"&gt;&lt;b&gt;【464.proportion：割合, つり合い, 比例】&lt;/b&gt;&lt;/span&gt;
&lt;span class="ml"&gt;ラテン語に由来する語で、以下の2つの要素から成る。
&lt;span class="spacer"&gt;&lt;/span&gt;pro（〜に対して）
pars（部分）から派生した*portio（部分）
&lt;span class="spacer"&gt;&lt;/span&gt;この二つが合わさることで、「全体や他の要素に対して（pro）、ある部分（portio）がどのような関係にあるか」を表すようになる。
&lt;span class="spacer"&gt;&lt;/span&gt;具体的には、全体と部分、あるいは部分同士の大きさを比較する考え方から、主に以下の3つの意味へと派生した。
&lt;span class="spacer"&gt;&lt;/span&gt;「割合」： 全体と部分の大きさの比較。全体（100）に対して、ある部分（10）なら10％という割合になる。
&lt;span class="spacer"&gt;&lt;/span&gt;「比例」： ある部分と全体・他の部分との比較。ある部分が変化した際、同じ比率で全体や他の部分も連動して変化する。
&lt;span class="spacer"&gt;&lt;/span&gt;「つり合い」： ある部分と全体・他の部分との比較。全体や他の部分に対して、ある部分の大きさやバランスが適切に保たれている状態。
&lt;div class="sample_image proportion"&gt;&lt;/div&gt;&lt;/span&gt;</v>
      </c>
      <c r="R1416" s="13" t="str">
        <f>INDEX($L:$L, MATCH("portion", $B:$B, 0))</f>
        <v>&lt;span class="w"&gt;&lt;b&gt;【869.portion：部分, 1人前, 割り当て】&lt;/b&gt;&lt;/span&gt;
&lt;span class="ml"&gt;ラテン語portio（部分, 分け前）に由来する。
&lt;span class="spacer"&gt;&lt;/span&gt;この語の核は「全体を分けて何かに割り当てた部分」。そこから「1人前, 割り当て, 部分」という意味になる。&lt;/span&gt;</v>
      </c>
      <c r="S1416" s="13" t="str">
        <f>INDEX($L:$L, MATCH("particle", $B:$B, 0))</f>
        <v>&lt;span class="w"&gt;&lt;b&gt;【1059.particle：（微）粒子, ほんのわずか】&lt;/b&gt;&lt;/span&gt;
&lt;span class="ml"&gt;ラテン語に由来する語で、以下の2つの要素から成る。
&lt;span class="spacer"&gt;&lt;/span&gt;pars（部分）
cula（小さいことを表す）
&lt;span class="spacer"&gt;&lt;/span&gt;このまま日本語にすると「小さい部分」となり、そこから「（微）粒子, ほんのわずか」という意味になった。&lt;/span&gt;</v>
      </c>
      <c r="T1416" s="13" t="str">
        <f>INDEX($L:$L, MATCH("partial", $B:$B, 0))</f>
        <v>&lt;span class="w"&gt;&lt;b&gt;【1491.partial：部分的な, 不公平な】&lt;/b&gt;&lt;/span&gt;
&lt;span class="ml"&gt;ラテン語に由来する語で、以下の2つの要素から成る。
&lt;span class="spacer"&gt;&lt;/span&gt;pars（部分）
alis（形容詞化）
&lt;span class="spacer"&gt;&lt;/span&gt;これはpart（部分）の形容詞として考えればよい。「部分的な」という意味だけではなく、全体的に公平ではなくある一部分に偏っているという発想から「不公平な」という意味にもなる。&lt;/span&gt;</v>
      </c>
      <c r="U1416" s="13" t="str">
        <f>INDEX($L:$L, MATCH("counterpart", $B:$B, 0))</f>
        <v>&lt;span class="w"&gt;&lt;b&gt;【969.counterpart：相当する物や人】&lt;/b&gt;&lt;/span&gt;
&lt;span class="ml"&gt;フランス語に由来する語で、以下の2つの要素から成る。
&lt;span class="spacer"&gt;&lt;/span&gt;contra（対して）
partie（分けられたもの, 部分, 写し）
&lt;span class="spacer"&gt;&lt;/span&gt;このまま日本語にすると「何かに対応させて分けられたもの」となる。もともとは法的な文書を写して分けたものを表した。法的文書の写しは元の文書と同等のものであることから、一般的な意味に発展し、何かに「相当する物や人」という意味になった。&lt;/span&gt;</v>
      </c>
      <c r="V1416" s="13" t="str">
        <f>INDEX($L:$L, MATCH("particular", $B:$B, 0))</f>
        <v>&lt;span class="w"&gt;&lt;b&gt;【90.particular：特定の, こだわる】&lt;/b&gt;&lt;/span&gt;
&lt;span class="ml"&gt;ラテン語に由来する語で、以下の3つの要素から成る。
&lt;span class="spacer"&gt;&lt;/span&gt;pars（部分：partの語源）
cula（小さいことを表す）
arius（形容詞化）
&lt;span class="spacer"&gt;&lt;/span&gt;このまま日本語にすると「小さな部分の」となる。全体ではなく、ある一部分に目を向けることから、「特定の」という意味になる。また全体ではなく、細かい部分に目がいくということから、「こだわる, 口うるさい」という意味になる。&lt;/span&gt;</v>
      </c>
      <c r="AV1416" s="1" t="s">
        <v>38</v>
      </c>
      <c r="BG1416" s="7" t="s">
        <v>1242</v>
      </c>
      <c r="BH1416" s="1" t="s">
        <v>1947</v>
      </c>
      <c r="BI1416" s="1" t="s">
        <v>6829</v>
      </c>
      <c r="BJ1416" s="1" t="s">
        <v>2036</v>
      </c>
      <c r="BK1416" s="2" t="s">
        <v>6830</v>
      </c>
      <c r="BL1416" s="1" t="s">
        <v>4019</v>
      </c>
      <c r="BM1416" s="2" t="s">
        <v>6831</v>
      </c>
      <c r="BN1416" s="1" t="s">
        <v>1875</v>
      </c>
      <c r="BO1416" s="2" t="s">
        <v>6832</v>
      </c>
    </row>
    <row r="1417" spans="1:67" ht="288" x14ac:dyDescent="0.45">
      <c r="A1417" s="5">
        <v>1416</v>
      </c>
      <c r="B1417" s="8" t="s">
        <v>1152</v>
      </c>
      <c r="C1417" s="6" t="s">
        <v>1816</v>
      </c>
      <c r="D1417" s="7" t="s">
        <v>9752</v>
      </c>
      <c r="E1417" s="1" t="s">
        <v>6833</v>
      </c>
      <c r="F1417" s="1" t="s">
        <v>6834</v>
      </c>
      <c r="G1417" s="1" t="s">
        <v>5343</v>
      </c>
      <c r="J1417" s="1" t="s">
        <v>9753</v>
      </c>
      <c r="K1417" s="2"/>
      <c r="L1417" s="2" t="s">
        <v>9916</v>
      </c>
      <c r="P1417" s="7" t="s">
        <v>1241</v>
      </c>
      <c r="AU1417" s="15"/>
      <c r="AV1417" s="1" t="s">
        <v>38</v>
      </c>
      <c r="BG1417" s="7" t="s">
        <v>1242</v>
      </c>
      <c r="BH1417" s="1" t="s">
        <v>1947</v>
      </c>
      <c r="BI1417" s="2" t="s">
        <v>6835</v>
      </c>
      <c r="BJ1417" s="1" t="s">
        <v>1877</v>
      </c>
      <c r="BK1417" s="2" t="s">
        <v>6836</v>
      </c>
      <c r="BL1417" s="1" t="s">
        <v>3496</v>
      </c>
      <c r="BM1417" s="2" t="s">
        <v>6837</v>
      </c>
    </row>
    <row r="1418" spans="1:67" ht="108" x14ac:dyDescent="0.45">
      <c r="A1418" s="5">
        <v>1417</v>
      </c>
      <c r="B1418" s="6" t="s">
        <v>1153</v>
      </c>
      <c r="C1418" s="6" t="s">
        <v>1816</v>
      </c>
      <c r="D1418" s="7" t="s">
        <v>9752</v>
      </c>
      <c r="E1418" s="1" t="s">
        <v>1153</v>
      </c>
      <c r="F1418" s="1"/>
      <c r="G1418" s="1"/>
      <c r="J1418" s="1" t="s">
        <v>9753</v>
      </c>
      <c r="L1418" s="3" t="s">
        <v>9917</v>
      </c>
      <c r="P1418" s="7" t="s">
        <v>1241</v>
      </c>
      <c r="AU1418" s="15"/>
      <c r="AV1418" s="1" t="s">
        <v>38</v>
      </c>
      <c r="BG1418" s="7" t="s">
        <v>1242</v>
      </c>
      <c r="BH1418" s="1" t="s">
        <v>1875</v>
      </c>
      <c r="BI1418" s="2" t="s">
        <v>6838</v>
      </c>
      <c r="BJ1418" s="1" t="s">
        <v>1877</v>
      </c>
      <c r="BK1418" s="2" t="s">
        <v>6839</v>
      </c>
    </row>
    <row r="1419" spans="1:67" ht="180" x14ac:dyDescent="0.45">
      <c r="A1419" s="5">
        <v>1418</v>
      </c>
      <c r="B1419" s="8" t="s">
        <v>1154</v>
      </c>
      <c r="C1419" s="6" t="s">
        <v>1816</v>
      </c>
      <c r="D1419" s="7" t="s">
        <v>9752</v>
      </c>
      <c r="E1419" s="1" t="s">
        <v>27</v>
      </c>
      <c r="F1419" s="1" t="s">
        <v>135</v>
      </c>
      <c r="G1419" s="1"/>
      <c r="J1419" s="1" t="s">
        <v>9753</v>
      </c>
      <c r="K1419" s="2" t="s">
        <v>9918</v>
      </c>
      <c r="L1419" s="3" t="s">
        <v>9919</v>
      </c>
      <c r="M1419" s="1" t="s">
        <v>12170</v>
      </c>
      <c r="P1419" s="7" t="s">
        <v>1241</v>
      </c>
      <c r="Q1419" s="13" t="str">
        <f>INDEX($L:$L, MATCH("habit", $B:$B, 0))</f>
        <v>&lt;span class="w"&gt;&lt;b&gt;【176.habit：習慣, 癖】&lt;/b&gt;&lt;/span&gt;
&lt;span class="ml"&gt;ラテン語habere（持つ）の過去分詞habitusに由来する。
&lt;span class="spacer"&gt;&lt;/span&gt;「持たれているもの」から自分の内部にずっと持っている「癖」や、日常的に続けている「習慣」という意味になる。&lt;/span&gt;</v>
      </c>
      <c r="R1419" s="13" t="str">
        <f>INDEX($L:$L, MATCH("habitat", $B:$B, 0))</f>
        <v>&lt;span class="w"&gt;&lt;b&gt;【664.habitat：生息地, 居住地】&lt;/b&gt;&lt;/span&gt;
&lt;span class="ml"&gt;ラテン語habēre（持つ, 所有する）から派生した反復形habitāre（持ち続ける, 占有する, 住む）に由来する。
&lt;span class="spacer"&gt;&lt;/span&gt;何かをずっと持ち続けることから、ある場所を占有する、つまり住むという意味になった。
&lt;span class="spacer"&gt;&lt;/span&gt;さらに近代英語期には、動植物が生活する場所を指す専門用語として用いられるようになり、そこから「生息地」という意味が成立した。その後、この語は人間の「居住地」を表す場合にも用いられるようになった。&lt;/span&gt;</v>
      </c>
      <c r="S1419" s="13" t="str">
        <f>INDEX($L:$L, MATCH("exhibit", $B:$B, 0))</f>
        <v>&lt;span class="w"&gt;&lt;b&gt;【806.exhibit：〜を示す, 〜を見せる, 〜を展示する】&lt;/b&gt;&lt;/span&gt;
&lt;span class="ml"&gt;ラテン語に由来する語で、以下の2つの要素から成る。
&lt;span class="spacer"&gt;&lt;/span&gt;ex（外に）
habere（持つ）
&lt;span class="spacer"&gt;&lt;/span&gt;このまま日本語にすると「何かを持って外へ」となる。何かを持ち出して見えるようにすることから、何かを「示す, 見せる, 展示する」という意味になる。&lt;/span&gt;</v>
      </c>
      <c r="T1419" s="13" t="str">
        <f>INDEX($L:$L, MATCH("prohibit", $B:$B, 0))</f>
        <v>&lt;span class="w"&gt;&lt;b&gt;【832.prohibit：〜を禁止する】&lt;/b&gt;&lt;/span&gt;
&lt;span class="ml"&gt;ラテン語に由来する語で、以下の2つの要素から成る。
&lt;span class="spacer"&gt;&lt;/span&gt;pro（前方に）
habere（持つ）
&lt;span class="spacer"&gt;&lt;/span&gt;この語の核は「前方に出て対象を持つ」。前方で対象をつかんで近づけないように引きとめることから、何かを遠ざけて防ぐイメージになる。そこから何かを「禁止する」という意味になる。
&lt;div class="sample_image prohibit"&gt;&lt;/div&gt;&lt;/span&gt;</v>
      </c>
      <c r="AU1419" s="15"/>
      <c r="AV1419" s="1" t="s">
        <v>38</v>
      </c>
      <c r="BG1419" s="7" t="s">
        <v>1242</v>
      </c>
      <c r="BH1419" s="1" t="s">
        <v>1947</v>
      </c>
      <c r="BI1419" s="2" t="s">
        <v>6840</v>
      </c>
      <c r="BJ1419" s="1" t="s">
        <v>1959</v>
      </c>
      <c r="BK1419" s="1" t="s">
        <v>6841</v>
      </c>
      <c r="BL1419" s="1" t="s">
        <v>1875</v>
      </c>
      <c r="BM1419" s="2" t="s">
        <v>6842</v>
      </c>
    </row>
    <row r="1420" spans="1:67" ht="180" x14ac:dyDescent="0.45">
      <c r="A1420" s="5">
        <v>1419</v>
      </c>
      <c r="B1420" s="8" t="s">
        <v>1155</v>
      </c>
      <c r="C1420" s="6" t="s">
        <v>1816</v>
      </c>
      <c r="D1420" s="7" t="s">
        <v>9752</v>
      </c>
      <c r="E1420" s="1" t="s">
        <v>1667</v>
      </c>
      <c r="F1420" s="1" t="s">
        <v>6843</v>
      </c>
      <c r="G1420" s="1"/>
      <c r="J1420" s="1" t="s">
        <v>9920</v>
      </c>
      <c r="K1420" s="1" t="s">
        <v>9921</v>
      </c>
      <c r="L1420" s="3" t="s">
        <v>9922</v>
      </c>
      <c r="M1420" s="1" t="s">
        <v>12136</v>
      </c>
      <c r="P1420" s="7" t="s">
        <v>1241</v>
      </c>
      <c r="Q1420" s="13" t="str">
        <f>INDEX($L:$L, MATCH("knowledge", $B:$B, 0))</f>
        <v>&lt;span class="w"&gt;&lt;b&gt;【58.knowledge：知識, 認識】&lt;/b&gt;&lt;/span&gt;
&lt;span class="ml"&gt;knowledgeは「knowの名詞」と覚えればよい。
&lt;span class="spacer"&gt;&lt;/span&gt;知っているという動詞から知っていること＝「知識, 認識」という名詞になる。&lt;/span&gt;</v>
      </c>
      <c r="R1420" s="13" t="str">
        <f>INDEX($L:$L, MATCH("acknowledge", $B:$B, 0))</f>
        <v>&lt;span class="w"&gt;&lt;b&gt;【717.acknowledge：〜を認める】&lt;/b&gt;&lt;/span&gt;
&lt;span class="ml"&gt;以下の中英語の2語がひとつになってできた語。
&lt;span class="spacer"&gt;&lt;/span&gt;aknowen（知っていることを認める）
knowlechen（認める）
&lt;span class="spacer"&gt;&lt;/span&gt;この語は、対象を示すac（〜に）とknow（知っている）が合わさったと考えればよい。「何かに対して知っていると認める」というイメージで覚える。&lt;/span&gt;</v>
      </c>
      <c r="S1420" s="13" t="str">
        <f>INDEX($L:$L, MATCH("unknown", $B:$B, 0))</f>
        <v>&lt;span class="w"&gt;&lt;b&gt;【492.unknown：不明の, 知られていない】&lt;/b&gt;&lt;/span&gt;
&lt;span class="ml"&gt;中英語にさかのぼり、以下の2つの要素から成る。
&lt;span class="spacer"&gt;&lt;/span&gt;un（否定）
knowの過去分詞known
&lt;span class="spacer"&gt;&lt;/span&gt;このまま「知られていない」という意味になる。&lt;/span&gt;</v>
      </c>
      <c r="T1420" s="13" t="str">
        <f>INDEX($L:$L, MATCH("notice", $B:$B, 0))</f>
        <v>&lt;span class="w"&gt;&lt;b&gt;【101.notice：（動）～に気づく, （名）通知】&lt;/b&gt;&lt;/span&gt;
&lt;span class="ml"&gt;印欧祖語*gno-（知る）から生まれたラテン語(g)nōscere（知るようになる, 認識する）
&lt;span class="spacer"&gt;&lt;/span&gt;「知るようになる」から知られるきっかけである「通知, 知らせ」という名詞になる。そして知らせによって何かを認識するので、「気づく」という動詞になる。&lt;/span&gt;</v>
      </c>
      <c r="U1420" s="13" t="str">
        <f>INDEX($L:$L, MATCH("notion", $B:$B, 0))</f>
        <v>&lt;span class="w"&gt;&lt;b&gt;【453.notion：概念, 考え】&lt;/b&gt;&lt;/span&gt;
&lt;span class="ml"&gt;ラテン語に由来する語で、以下の2つの要素から成る。
&lt;span class="spacer"&gt;&lt;/span&gt;noscere（知る）
io（名詞化）
&lt;span class="spacer"&gt;&lt;/span&gt;この語の核は「知られているもの」。ここから頭の中にある「考え, 概念」という意味になる。&lt;/span&gt;</v>
      </c>
      <c r="V1420" s="13" t="str">
        <f>INDEX($L:$L, MATCH("noble", $B:$B, 0))</f>
        <v>&lt;span class="w"&gt;&lt;b&gt;【1184.noble：高貴な, 高潔な, 気高い】&lt;/b&gt;&lt;/span&gt;
&lt;span class="ml"&gt;ラテン語に由来する語で、以下の2つの要素から成る。
&lt;span class="spacer"&gt;&lt;/span&gt;gnoscere（知る）
bilis（できる）
&lt;span class="spacer"&gt;&lt;/span&gt;この語の核は「皆によく知られている＝知名度が高い」。当時の社会で、世間によく知られているということは身分が高い家、つまり貴族ということになる。そこから「高貴な」という意味になった。
&lt;span class="spacer"&gt;&lt;/span&gt;また高貴な人々にふさわしいとされる道徳心や立派な振る舞いから「高潔な, 気高い」という意味にもなった。
&lt;div class="sample_image noble"&gt;&lt;/div&gt;&lt;/span&gt;</v>
      </c>
      <c r="W1420" s="13" t="str">
        <f>INDEX($L:$L, MATCH("ignore", $B:$B, 0))</f>
        <v>&lt;span class="w"&gt;&lt;b&gt;【224.ignore：～を無視する】&lt;/b&gt;&lt;/span&gt;
&lt;span class="ml"&gt;ラテン語に由来する語で、以下の2つの要素から成る。
&lt;span class="spacer"&gt;&lt;/span&gt;in（否定）
gnarus（知っている）
&lt;span class="spacer"&gt;&lt;/span&gt;このまま日本語にすると「知らない」となる。気に留めることなく知らないふりをすることから、「無視する」という意味になった。
&lt;span class="spacer"&gt;&lt;/span&gt;形容詞ignorant（無知な）,や名詞ignorance（無知）もセットで覚えておく。&lt;/span&gt;</v>
      </c>
      <c r="X1420" s="13" t="str">
        <f>INDEX($L:$L, MATCH("cognitive", $B:$B, 0))</f>
        <v>&lt;span class="w"&gt;&lt;b&gt;【279.cognitive：認知の】&lt;/b&gt;&lt;/span&gt;
&lt;span class="ml"&gt;ラテン語に由来する語で、以下の2つの要素から成る。
&lt;span class="spacer"&gt;&lt;/span&gt;com（共に）
gnoscere（知る）
&lt;span class="obsolete"&gt;ive（形容詞化）は英語段階で付いた&lt;/span&gt;
&lt;span class="spacer"&gt;&lt;/span&gt;このまま日本語にすると「共に知る」となる。互いに認知することから「認知の」という意味になる。&lt;/span&gt;</v>
      </c>
      <c r="Y1420" s="13" t="str">
        <f>INDEX($L:$L, MATCH("recognize", $B:$B, 0))</f>
        <v>&lt;span class="w"&gt;&lt;b&gt;【106.recognize：～を認識する, ～を識別する】&lt;/b&gt;&lt;/span&gt;
&lt;span class="ml"&gt;ラテン語に由来する語で、以下の3つの要素から成る。
&lt;span class="spacer"&gt;&lt;/span&gt;re（再び）
com（強意）
gnoscere（知る）
&lt;span class="spacer"&gt;&lt;/span&gt;このまま日本語にすると「再びしっかり知る」となる。目の前の情報Aを既にある知識と照らし合わせ、情報Aは知識の中の情報Bと同一であると再び知る。つまり、情報Aは情報Bであると「識別する, 認識する」という意味になる。
&lt;div class="sample_image recognize"&gt;&lt;/div&gt;&lt;/span&gt;</v>
      </c>
      <c r="Z1420" s="13" t="str">
        <f>INDEX($L:$L, MATCH("acquaintance", $B:$B, 0))</f>
        <v>&lt;span class="w"&gt;&lt;b&gt;【1257.acquaintance：知人, 面識, 知識】&lt;/b&gt;&lt;/span&gt;
&lt;span class="ml"&gt;ラテン語に由来する語で、以下の4つの要素から成る。
&lt;span class="spacer"&gt;&lt;/span&gt;ad（〜へ）
com（完全に）
gnoscere（知る）
&lt;span class="obsolete"&gt;ance（名詞化）はフランス語段階で付いた&lt;/span&gt;
&lt;span class="spacer"&gt;&lt;/span&gt;この語の核は「何かをしっかり知っていること」。そこから、ある分野に通じているという意味での「知識」や、相手と初対面ではなくて顔を見て知っているという「面識」、そして面識がある人、すなわち「知人」などの意味になる。
&lt;span class="spacer"&gt;&lt;/span&gt;acquaintanceというスペルはもとのラテン語から大きく変わってしまったが、印欧祖語*gno-（知る）そしてラテン語gnoscere（知る）から生まれた語。&lt;/span&gt;</v>
      </c>
      <c r="AV1420" s="1" t="s">
        <v>38</v>
      </c>
      <c r="BG1420" s="7" t="s">
        <v>1242</v>
      </c>
      <c r="BH1420" s="1" t="s">
        <v>1976</v>
      </c>
      <c r="BI1420" s="1" t="s">
        <v>3355</v>
      </c>
      <c r="BJ1420" s="1" t="s">
        <v>2458</v>
      </c>
      <c r="BK1420" s="2" t="s">
        <v>6844</v>
      </c>
      <c r="BL1420" s="1" t="s">
        <v>1877</v>
      </c>
      <c r="BM1420" s="2" t="s">
        <v>6845</v>
      </c>
    </row>
    <row r="1421" spans="1:67" ht="216" x14ac:dyDescent="0.45">
      <c r="A1421" s="5">
        <v>1420</v>
      </c>
      <c r="B1421" s="6" t="s">
        <v>1156</v>
      </c>
      <c r="C1421" s="6" t="s">
        <v>1816</v>
      </c>
      <c r="D1421" s="7" t="s">
        <v>9752</v>
      </c>
      <c r="E1421" s="1" t="s">
        <v>1467</v>
      </c>
      <c r="F1421" s="1" t="s">
        <v>1338</v>
      </c>
      <c r="G1421" s="1" t="s">
        <v>6846</v>
      </c>
      <c r="J1421" s="1" t="s">
        <v>9753</v>
      </c>
      <c r="L1421" s="3" t="s">
        <v>9923</v>
      </c>
      <c r="P1421" s="7" t="s">
        <v>1241</v>
      </c>
      <c r="Q1421" s="13" t="str">
        <f>INDEX($L:$L, MATCH("enterprise", $B:$B, 0))</f>
        <v>&lt;span class="w"&gt;&lt;b&gt;【1143.enterprise：企業, 事業】&lt;/b&gt;&lt;/span&gt;
&lt;span class="ml"&gt;フランス語に由来する語で、以下の2つの要素から成る。
&lt;span class="spacer"&gt;&lt;/span&gt;entre（間に）
prendre（取る）
&lt;span class="spacer"&gt;&lt;/span&gt;この語の核は「対象の中に踏み込んで手を出してつかむ」＝「何かに取りかかる・何かを引き受ける」。つかんだ物事に対して行動することから、何かに着手することや企てという意味が生じ、さらに規模が大きく計画的・継続的な企てへと発展した。そして「事業」や「企業」という意味になった。&lt;/span&gt;</v>
      </c>
      <c r="R1421" s="13" t="str">
        <f>INDEX($L:$L, MATCH("comprise", $B:$B, 0))</f>
        <v>&lt;span class="w"&gt;&lt;b&gt;【1339.comprise：〜から成る】&lt;/b&gt;&lt;/span&gt;
&lt;span class="ml"&gt;ラテン語に由来する語で、以下の2つの要素から成る。
&lt;span class="spacer"&gt;&lt;/span&gt;com（共に, 完全に）
prehendere（つかむ, 捉える）
&lt;span class="spacer"&gt;&lt;/span&gt;このまま日本語にすると「共につかみとる」となる。複数のものをひとまとめにしてつかんで持つイメージから、ある全体が複数の要素を自分の中に含んで持っている状態を表すようになった。つまり全体が複数の要素「から成る」という意味になった。
&lt;span class="spacer"&gt;&lt;/span&gt;［全体 comprise 部分］
全体が部分から成る
&lt;div class="sample_image comprise"&gt;&lt;/div&gt;&lt;/span&gt;</v>
      </c>
      <c r="AU1421" s="15"/>
      <c r="AV1421" s="1" t="s">
        <v>38</v>
      </c>
      <c r="BG1421" s="7" t="s">
        <v>1242</v>
      </c>
      <c r="BH1421" s="1" t="s">
        <v>1947</v>
      </c>
      <c r="BI1421" s="2" t="s">
        <v>6847</v>
      </c>
      <c r="BJ1421" s="1" t="s">
        <v>1875</v>
      </c>
      <c r="BK1421" s="2" t="s">
        <v>6848</v>
      </c>
    </row>
    <row r="1422" spans="1:67" ht="180" x14ac:dyDescent="0.45">
      <c r="A1422" s="5">
        <v>1421</v>
      </c>
      <c r="B1422" s="8" t="s">
        <v>1157</v>
      </c>
      <c r="C1422" s="6" t="s">
        <v>1816</v>
      </c>
      <c r="D1422" s="7" t="s">
        <v>9752</v>
      </c>
      <c r="E1422" s="1" t="s">
        <v>1397</v>
      </c>
      <c r="F1422" s="1" t="s">
        <v>6855</v>
      </c>
      <c r="G1422" s="1"/>
      <c r="J1422" s="1" t="s">
        <v>9753</v>
      </c>
      <c r="L1422" s="3" t="s">
        <v>9927</v>
      </c>
      <c r="P1422" s="7" t="s">
        <v>1241</v>
      </c>
      <c r="Q1422" s="13" t="str">
        <f>INDEX($L:$L, MATCH("rely", $B:$B, 0))</f>
        <v>&lt;span class="w"&gt;&lt;b&gt;【311.rely：頼る】&lt;/b&gt;&lt;/span&gt;
&lt;span class="ml"&gt;ラテン語に由来する語で、以下の2つの要素から成る。
&lt;span class="spacer"&gt;&lt;/span&gt;re（強意）
ligare（結ぶ）
&lt;span class="spacer"&gt;&lt;/span&gt;このまま日本語にすると「しっかりと結びつく」となる。対象に結びついていくイメージから対象に「頼る」という意味になる。
&lt;div class="sample_image rely"&gt;&lt;/div&gt;&lt;/span&gt;</v>
      </c>
      <c r="R1422" s="13" t="str">
        <f>INDEX($L:$L, MATCH("religion", $B:$B, 0))</f>
        <v>&lt;span class="w"&gt;&lt;b&gt;【443.religion：宗教, 信仰】&lt;/b&gt;&lt;/span&gt;
&lt;span class="ml"&gt;ラテン語に由来する語で、一説には以下の3つの要素から成るとされる。
&lt;span class="spacer"&gt;&lt;/span&gt;re（強意）
ligare（結ぶ）
io（名詞化）
&lt;span class="spacer"&gt;&lt;/span&gt;このまま日本語にすると「しっかりと結びつく」となる。人と神が結びつくイメージから「宗教, 信仰」という意味になる。
&lt;div class="sample_image religion"&gt;&lt;/div&gt;&lt;/span&gt;</v>
      </c>
      <c r="S1422" s="13" t="str">
        <f>INDEX($L:$L, MATCH("league", $B:$B, 0))</f>
        <v>&lt;span class="w"&gt;&lt;b&gt;【759.league：（競技）連盟, 同盟】&lt;/b&gt;&lt;/span&gt;
&lt;span class="ml"&gt;ラテン語ligare（縛る）に由来する。
&lt;span class="spacer"&gt;&lt;/span&gt;この語の核は「結びついているもの」。そこから複数の団体や国が結びついている「連盟, 同盟」という意味になる。&lt;/span&gt;</v>
      </c>
      <c r="T1422" s="13" t="str">
        <f>INDEX($L:$L, MATCH("ally", $B:$B, 0))</f>
        <v>&lt;span class="w"&gt;&lt;b&gt;【1464.ally：同盟国, 援助者】&lt;/b&gt;&lt;/span&gt;
&lt;span class="ml"&gt;ラテン語に由来する語で、以下の2つの要素から成る。
&lt;span class="spacer"&gt;&lt;/span&gt;に由来する語で、以下の2つの要素から成る。
&lt;span class="spacer"&gt;&lt;/span&gt;ad（〜へ）
ligare（結ぶ, 縛る）
&lt;span class="spacer"&gt;&lt;/span&gt;この語の核は「何かへ結びつける」。中世では、結婚によってお互いの家を結びつけて政治的・経済的に強固にすることを表した。そこから婚姻関係による家同士の結びつきに限らず、国家間の同盟へと発展して「同盟国」という意味になった。
&lt;span class="spacer"&gt;&lt;/span&gt;また相手と結びついて助けるということから「援助者」という意味にもなった。
&lt;div class="sample_image ally"&gt;&lt;/div&gt;&lt;/span&gt;</v>
      </c>
      <c r="AU1422" s="15"/>
      <c r="AV1422" s="1" t="s">
        <v>38</v>
      </c>
      <c r="BG1422" s="7" t="s">
        <v>1242</v>
      </c>
      <c r="BH1422" s="1" t="s">
        <v>1947</v>
      </c>
      <c r="BI1422" s="2" t="s">
        <v>6856</v>
      </c>
      <c r="BJ1422" s="1" t="s">
        <v>1959</v>
      </c>
      <c r="BK1422" s="2" t="s">
        <v>6857</v>
      </c>
      <c r="BL1422" s="1" t="s">
        <v>1875</v>
      </c>
      <c r="BM1422" s="2" t="s">
        <v>6858</v>
      </c>
      <c r="BN1422" s="1" t="s">
        <v>1877</v>
      </c>
      <c r="BO1422" s="2" t="s">
        <v>6859</v>
      </c>
    </row>
    <row r="1423" spans="1:67" ht="126" x14ac:dyDescent="0.45">
      <c r="A1423" s="5">
        <v>1422</v>
      </c>
      <c r="B1423" s="6" t="s">
        <v>1158</v>
      </c>
      <c r="C1423" s="6" t="s">
        <v>1816</v>
      </c>
      <c r="D1423" s="7" t="s">
        <v>9752</v>
      </c>
      <c r="E1423" s="6" t="s">
        <v>1158</v>
      </c>
      <c r="F1423" s="1"/>
      <c r="G1423" s="1"/>
      <c r="J1423" s="1" t="s">
        <v>9753</v>
      </c>
      <c r="L1423" s="2" t="s">
        <v>9928</v>
      </c>
      <c r="P1423" s="7" t="s">
        <v>1241</v>
      </c>
      <c r="AV1423" s="1" t="s">
        <v>38</v>
      </c>
      <c r="BG1423" s="7" t="s">
        <v>1242</v>
      </c>
      <c r="BH1423" s="1" t="s">
        <v>1872</v>
      </c>
      <c r="BI1423" s="1" t="s">
        <v>6860</v>
      </c>
      <c r="BJ1423" s="1" t="s">
        <v>1875</v>
      </c>
      <c r="BK1423" s="2" t="s">
        <v>6861</v>
      </c>
      <c r="BL1423" s="1" t="s">
        <v>1877</v>
      </c>
      <c r="BM1423" s="2" t="s">
        <v>6862</v>
      </c>
    </row>
    <row r="1424" spans="1:67" ht="108" x14ac:dyDescent="0.45">
      <c r="A1424" s="5">
        <v>1423</v>
      </c>
      <c r="B1424" s="6" t="s">
        <v>1159</v>
      </c>
      <c r="C1424" s="6" t="s">
        <v>1816</v>
      </c>
      <c r="D1424" s="7" t="s">
        <v>9752</v>
      </c>
      <c r="E1424" s="1" t="s">
        <v>1159</v>
      </c>
      <c r="F1424" s="1"/>
      <c r="G1424" s="1"/>
      <c r="J1424" s="1" t="s">
        <v>9753</v>
      </c>
      <c r="K1424" s="1" t="s">
        <v>9929</v>
      </c>
      <c r="L1424" s="2" t="s">
        <v>9930</v>
      </c>
      <c r="P1424" s="7" t="s">
        <v>1241</v>
      </c>
      <c r="AV1424" s="1" t="s">
        <v>38</v>
      </c>
      <c r="BG1424" s="7" t="s">
        <v>1242</v>
      </c>
      <c r="BH1424" s="1" t="s">
        <v>1872</v>
      </c>
      <c r="BI1424" s="1" t="s">
        <v>6863</v>
      </c>
      <c r="BJ1424" s="1" t="s">
        <v>1875</v>
      </c>
      <c r="BK1424" s="2" t="s">
        <v>6864</v>
      </c>
    </row>
    <row r="1425" spans="1:71" ht="108" x14ac:dyDescent="0.45">
      <c r="A1425" s="5">
        <v>1424</v>
      </c>
      <c r="B1425" s="6" t="s">
        <v>1160</v>
      </c>
      <c r="C1425" s="6" t="s">
        <v>1816</v>
      </c>
      <c r="D1425" s="7" t="s">
        <v>9752</v>
      </c>
      <c r="E1425" s="1" t="s">
        <v>5000</v>
      </c>
      <c r="F1425" s="1" t="s">
        <v>159</v>
      </c>
      <c r="G1425" s="1"/>
      <c r="J1425" s="1" t="s">
        <v>9753</v>
      </c>
      <c r="K1425" s="1" t="s">
        <v>9931</v>
      </c>
      <c r="L1425" s="2" t="s">
        <v>9932</v>
      </c>
      <c r="M1425" s="1" t="s">
        <v>12177</v>
      </c>
      <c r="P1425" s="7" t="s">
        <v>1241</v>
      </c>
      <c r="Q1425" s="13" t="str">
        <f>INDEX($L:$L, MATCH("esteem", $B:$B, 0))</f>
        <v>&lt;span class="w"&gt;&lt;b&gt;【1202.esteem：〜を尊敬する】&lt;/b&gt;&lt;/span&gt;
&lt;span class="ml"&gt;ラテン語aestimare（価値を定める, 評価する, 査定する）に由来する。
&lt;span class="spacer"&gt;&lt;/span&gt;当初はestimate（見積もる）と同じ意味だったが、そこから対象を高く評価することに特化して「尊敬する」という意味になった。&lt;/span&gt;</v>
      </c>
      <c r="R1425" s="13" t="str">
        <f>INDEX($L:$L, MATCH("estimate", $B:$B, 0))</f>
        <v>&lt;span class="w"&gt;&lt;b&gt;【220.estimate：～を推定する, ～を見積もる, ～を評価する】&lt;/b&gt;&lt;/span&gt;
&lt;span class="ml"&gt;ラテン語aestimare（価値を定める）に由来する。
&lt;span class="spacer"&gt;&lt;/span&gt;価値を定めることから「評価する」という意味になる。またおおまかな評価を行う場合は「見積る, 推定する」という意味になる。&lt;/span&gt;</v>
      </c>
      <c r="S1425" s="13" t="str">
        <f>INDEX($L:$L, MATCH("aim", $B:$B, 0))</f>
        <v>&lt;span class="w"&gt;&lt;b&gt;【273.aim：狙い, 目的, 目標】&lt;/b&gt;&lt;/span&gt;
&lt;span class="ml"&gt;ラテン語aestimare（価値をつける）に由来する。
&lt;span class="spacer"&gt;&lt;/span&gt;「価値をつける」とは、計算して対象の価値を決定するということ。このAを計算してBを決めるという行為から、目的や目標達成までの計算をして計画を作る、的までの距離や角度などを計算して狙うといった意味に発展する。そしてこの行為が名詞となり「狙い, 目的, 目標」といった意味になる。
&lt;span class="spacer"&gt;&lt;/span&gt;ラテン語aestimare（価値をつける）は、estimate（見積もる）やesteem（尊敬する）の語源でもある。
&lt;span class="spacer"&gt;&lt;/span&gt;estimateは価値をつけるための「見積もり」
esteemは価値を高くつける「尊敬」&lt;/span&gt;</v>
      </c>
      <c r="AU1425" s="15"/>
      <c r="AV1425" s="1" t="s">
        <v>38</v>
      </c>
      <c r="BG1425" s="7" t="s">
        <v>1242</v>
      </c>
      <c r="BH1425" s="1" t="s">
        <v>1877</v>
      </c>
      <c r="BI1425" s="2" t="s">
        <v>6865</v>
      </c>
    </row>
    <row r="1426" spans="1:71" ht="126" x14ac:dyDescent="0.45">
      <c r="A1426" s="5">
        <v>1425</v>
      </c>
      <c r="B1426" s="8" t="s">
        <v>1161</v>
      </c>
      <c r="C1426" s="6" t="s">
        <v>1816</v>
      </c>
      <c r="D1426" s="7" t="s">
        <v>9752</v>
      </c>
      <c r="E1426" s="1" t="s">
        <v>6866</v>
      </c>
      <c r="F1426" s="1" t="s">
        <v>1422</v>
      </c>
      <c r="G1426" s="1"/>
      <c r="J1426" s="1" t="s">
        <v>9753</v>
      </c>
      <c r="K1426" s="1" t="s">
        <v>6867</v>
      </c>
      <c r="L1426" s="2" t="s">
        <v>9933</v>
      </c>
      <c r="P1426" s="7" t="s">
        <v>1241</v>
      </c>
      <c r="Q1426" s="13" t="str">
        <f>INDEX($L:$L, MATCH("declare", $B:$B, 0))</f>
        <v>&lt;span class="w"&gt;&lt;b&gt;【720.declare：〜を宣言する】&lt;/b&gt;&lt;/span&gt;
&lt;span class="ml"&gt;ラテン語に由来する語で、以下の2つの要素から成る。
&lt;span class="spacer"&gt;&lt;/span&gt;de（強意）
clarus（明るい）から派生したclarare（明らかにする）
&lt;span class="spacer"&gt;&lt;/span&gt;このまま日本語にすると「完全に明らかにする」となる。ラテン語clarusは、英語clearの語源でもあるので、「完全にクリアにする」というイメージでもよい。
&lt;span class="spacer"&gt;&lt;/span&gt;視覚的に完全にクリアにすることから、物事を明確にして言葉にすることへと発展し、そして周囲の人がはっきりわかるように「宣言する」という意味になった。
&lt;div class="sample_image declare"&gt;&lt;/div&gt;&lt;/span&gt;</v>
      </c>
      <c r="AV1426" s="1" t="s">
        <v>38</v>
      </c>
      <c r="BG1426" s="7" t="s">
        <v>1242</v>
      </c>
      <c r="BH1426" s="1" t="s">
        <v>1947</v>
      </c>
      <c r="BI1426" s="1" t="s">
        <v>6868</v>
      </c>
      <c r="BJ1426" s="1" t="s">
        <v>2036</v>
      </c>
      <c r="BK1426" s="2" t="s">
        <v>6869</v>
      </c>
      <c r="BL1426" s="1" t="s">
        <v>1959</v>
      </c>
      <c r="BM1426" s="2" t="s">
        <v>6870</v>
      </c>
      <c r="BN1426" s="1" t="s">
        <v>1875</v>
      </c>
      <c r="BO1426" s="2" t="s">
        <v>6871</v>
      </c>
      <c r="BP1426" s="1" t="s">
        <v>1877</v>
      </c>
      <c r="BQ1426" s="2" t="s">
        <v>6872</v>
      </c>
    </row>
    <row r="1427" spans="1:71" ht="108" x14ac:dyDescent="0.45">
      <c r="A1427" s="5">
        <v>1426</v>
      </c>
      <c r="B1427" s="6" t="s">
        <v>1162</v>
      </c>
      <c r="C1427" s="6" t="s">
        <v>1816</v>
      </c>
      <c r="D1427" s="7" t="s">
        <v>9752</v>
      </c>
      <c r="E1427" s="1" t="s">
        <v>1162</v>
      </c>
      <c r="F1427" s="1"/>
      <c r="G1427" s="1"/>
      <c r="J1427" s="1" t="s">
        <v>9753</v>
      </c>
      <c r="L1427" s="3" t="s">
        <v>9934</v>
      </c>
      <c r="P1427" s="7" t="s">
        <v>1241</v>
      </c>
      <c r="AU1427" s="15"/>
      <c r="AV1427" s="1" t="s">
        <v>38</v>
      </c>
      <c r="BG1427" s="7" t="s">
        <v>1242</v>
      </c>
      <c r="BH1427" s="1" t="s">
        <v>1872</v>
      </c>
      <c r="BI1427" s="2" t="s">
        <v>6873</v>
      </c>
      <c r="BJ1427" s="1" t="s">
        <v>1875</v>
      </c>
      <c r="BK1427" s="2" t="s">
        <v>6874</v>
      </c>
      <c r="BL1427" s="1" t="s">
        <v>1877</v>
      </c>
      <c r="BM1427" s="2" t="s">
        <v>6875</v>
      </c>
      <c r="BN1427" s="1" t="s">
        <v>3496</v>
      </c>
      <c r="BO1427" s="2" t="s">
        <v>6876</v>
      </c>
    </row>
    <row r="1428" spans="1:71" ht="216" x14ac:dyDescent="0.45">
      <c r="A1428" s="5">
        <v>1427</v>
      </c>
      <c r="B1428" s="6" t="s">
        <v>1163</v>
      </c>
      <c r="C1428" s="6" t="s">
        <v>1816</v>
      </c>
      <c r="D1428" s="7" t="s">
        <v>9752</v>
      </c>
      <c r="E1428" s="1" t="s">
        <v>1163</v>
      </c>
      <c r="F1428" s="1"/>
      <c r="G1428" s="1"/>
      <c r="J1428" s="1" t="s">
        <v>9753</v>
      </c>
      <c r="L1428" s="3" t="s">
        <v>9935</v>
      </c>
      <c r="P1428" s="7" t="s">
        <v>1241</v>
      </c>
      <c r="AU1428" s="15"/>
      <c r="AV1428" s="1" t="s">
        <v>38</v>
      </c>
      <c r="BG1428" s="7" t="s">
        <v>1242</v>
      </c>
      <c r="BH1428" s="1" t="s">
        <v>2036</v>
      </c>
      <c r="BI1428" s="2" t="s">
        <v>6877</v>
      </c>
      <c r="BJ1428" s="1" t="s">
        <v>1959</v>
      </c>
      <c r="BK1428" s="2" t="s">
        <v>6878</v>
      </c>
      <c r="BL1428" s="1" t="s">
        <v>1875</v>
      </c>
      <c r="BM1428" s="2" t="s">
        <v>6879</v>
      </c>
    </row>
    <row r="1429" spans="1:71" ht="162" x14ac:dyDescent="0.45">
      <c r="A1429" s="5">
        <v>1428</v>
      </c>
      <c r="B1429" s="6" t="s">
        <v>1164</v>
      </c>
      <c r="C1429" s="6" t="s">
        <v>1816</v>
      </c>
      <c r="D1429" s="7" t="s">
        <v>9752</v>
      </c>
      <c r="E1429" s="1" t="s">
        <v>1164</v>
      </c>
      <c r="F1429" s="1"/>
      <c r="G1429" s="1"/>
      <c r="J1429" s="1" t="s">
        <v>9753</v>
      </c>
      <c r="L1429" s="3" t="s">
        <v>9936</v>
      </c>
      <c r="P1429" s="7" t="s">
        <v>1241</v>
      </c>
      <c r="AV1429" s="1" t="s">
        <v>38</v>
      </c>
      <c r="BG1429" s="7" t="s">
        <v>1242</v>
      </c>
      <c r="BH1429" s="1" t="s">
        <v>1947</v>
      </c>
      <c r="BI1429" s="1" t="s">
        <v>6880</v>
      </c>
      <c r="BJ1429" s="1" t="s">
        <v>2026</v>
      </c>
      <c r="BK1429" s="1" t="s">
        <v>6881</v>
      </c>
      <c r="BL1429" s="1" t="s">
        <v>1959</v>
      </c>
      <c r="BM1429" s="2" t="s">
        <v>6882</v>
      </c>
      <c r="BN1429" s="1" t="s">
        <v>1875</v>
      </c>
      <c r="BO1429" s="2" t="s">
        <v>6883</v>
      </c>
      <c r="BP1429" s="1" t="s">
        <v>1877</v>
      </c>
      <c r="BQ1429" s="2" t="s">
        <v>6884</v>
      </c>
      <c r="BR1429" s="1" t="s">
        <v>3496</v>
      </c>
      <c r="BS1429" s="2" t="s">
        <v>6885</v>
      </c>
    </row>
    <row r="1430" spans="1:71" ht="216" x14ac:dyDescent="0.45">
      <c r="A1430" s="5">
        <v>1429</v>
      </c>
      <c r="B1430" s="6" t="s">
        <v>1165</v>
      </c>
      <c r="C1430" s="6" t="s">
        <v>1816</v>
      </c>
      <c r="D1430" s="7" t="s">
        <v>9752</v>
      </c>
      <c r="E1430" s="1" t="s">
        <v>1165</v>
      </c>
      <c r="F1430" s="1"/>
      <c r="G1430" s="1"/>
      <c r="J1430" s="1" t="s">
        <v>9753</v>
      </c>
      <c r="L1430" s="2" t="s">
        <v>9937</v>
      </c>
      <c r="P1430" s="7" t="s">
        <v>1241</v>
      </c>
      <c r="AV1430" s="1" t="s">
        <v>38</v>
      </c>
      <c r="BG1430" s="7" t="s">
        <v>1242</v>
      </c>
      <c r="BH1430" s="1" t="s">
        <v>1872</v>
      </c>
      <c r="BI1430" s="1" t="s">
        <v>6886</v>
      </c>
      <c r="BJ1430" s="1" t="s">
        <v>1875</v>
      </c>
      <c r="BK1430" s="1" t="s">
        <v>6887</v>
      </c>
    </row>
    <row r="1431" spans="1:71" ht="234" x14ac:dyDescent="0.45">
      <c r="A1431" s="5">
        <v>1430</v>
      </c>
      <c r="B1431" s="6" t="s">
        <v>1166</v>
      </c>
      <c r="C1431" s="6" t="s">
        <v>1816</v>
      </c>
      <c r="D1431" s="7" t="s">
        <v>9752</v>
      </c>
      <c r="E1431" s="1" t="s">
        <v>1505</v>
      </c>
      <c r="F1431" s="1" t="s">
        <v>6888</v>
      </c>
      <c r="G1431" s="1"/>
      <c r="J1431" s="1" t="s">
        <v>9753</v>
      </c>
      <c r="L1431" s="3" t="s">
        <v>9938</v>
      </c>
      <c r="P1431" s="7" t="s">
        <v>1241</v>
      </c>
      <c r="AU1431" s="15"/>
      <c r="AV1431" s="1" t="s">
        <v>38</v>
      </c>
      <c r="BG1431" s="7" t="s">
        <v>1242</v>
      </c>
      <c r="BH1431" s="1" t="s">
        <v>1959</v>
      </c>
      <c r="BI1431" s="2" t="s">
        <v>6889</v>
      </c>
      <c r="BJ1431" s="1" t="s">
        <v>1875</v>
      </c>
      <c r="BK1431" s="2" t="s">
        <v>6890</v>
      </c>
    </row>
    <row r="1432" spans="1:71" ht="144" x14ac:dyDescent="0.45">
      <c r="A1432" s="5">
        <v>1431</v>
      </c>
      <c r="B1432" s="6" t="s">
        <v>1167</v>
      </c>
      <c r="C1432" s="6" t="s">
        <v>1816</v>
      </c>
      <c r="D1432" s="7" t="s">
        <v>9752</v>
      </c>
      <c r="E1432" s="1" t="s">
        <v>1505</v>
      </c>
      <c r="F1432" s="1" t="s">
        <v>6891</v>
      </c>
      <c r="G1432" s="1"/>
      <c r="J1432" s="1" t="s">
        <v>9753</v>
      </c>
      <c r="L1432" s="3" t="s">
        <v>9939</v>
      </c>
      <c r="P1432" s="7" t="s">
        <v>1241</v>
      </c>
      <c r="AU1432" s="15"/>
      <c r="AV1432" s="1" t="s">
        <v>38</v>
      </c>
      <c r="BG1432" s="7" t="s">
        <v>1242</v>
      </c>
      <c r="BH1432" s="1" t="s">
        <v>1947</v>
      </c>
      <c r="BI1432" s="2" t="s">
        <v>6892</v>
      </c>
      <c r="BJ1432" s="1" t="s">
        <v>1877</v>
      </c>
      <c r="BK1432" s="2" t="s">
        <v>6893</v>
      </c>
    </row>
    <row r="1433" spans="1:71" ht="216" x14ac:dyDescent="0.45">
      <c r="A1433" s="5">
        <v>1432</v>
      </c>
      <c r="B1433" s="6" t="s">
        <v>1168</v>
      </c>
      <c r="C1433" s="6" t="s">
        <v>1816</v>
      </c>
      <c r="D1433" s="7" t="s">
        <v>9752</v>
      </c>
      <c r="E1433" s="1" t="s">
        <v>5000</v>
      </c>
      <c r="F1433" s="1" t="s">
        <v>5859</v>
      </c>
      <c r="G1433" s="1"/>
      <c r="J1433" s="1" t="s">
        <v>9753</v>
      </c>
      <c r="L1433" s="3" t="s">
        <v>9940</v>
      </c>
      <c r="P1433" s="7" t="s">
        <v>1241</v>
      </c>
      <c r="Q1433" s="13" t="str">
        <f>INDEX($L:$L, MATCH("mineral", $B:$B, 0))</f>
        <v>&lt;span class="w"&gt;&lt;b&gt;【967.mineral：鉱物, ミネラル】&lt;/b&gt;&lt;/span&gt;
&lt;span class="ml"&gt;ラテン語にminera（鉱山）に由来する。
&lt;span class="spacer"&gt;&lt;/span&gt;この語の核は「鉱山で採掘されたもの」。そこから「鉱物, ミネラル」という意味になった。&lt;/span&gt;</v>
      </c>
      <c r="R1433" s="13" t="str">
        <f>INDEX($L:$L, MATCH("landmine", $B:$B, 0))</f>
        <v>&lt;span class="w"&gt;&lt;b&gt;【1150.landmine：地雷】&lt;/b&gt;&lt;/span&gt;
&lt;span class="ml"&gt;近代英語にさかのぼり、以下の2つの要素から成る。
&lt;span class="spacer"&gt;&lt;/span&gt;land（土地, 地面）
mine（爆発物）
&lt;span class="spacer"&gt;&lt;/span&gt;もともとmineは「鉱山, 坑道」や「掘る」を意味した。中世の戦争では、強固な城壁を崩すための戦術として、壁の下まで地下トンネル（坑道）を掘り、支柱を燃やして地盤沈下を起こさせ、城壁を陥没させるという方法がとられた。
&lt;span class="spacer"&gt;&lt;/span&gt;その後、火薬が軍事利用されるようになり、掘った坑道の中に火薬を仕掛けて一気に爆破する戦術へと進化したことから、爆発物自体をmineと呼ぶようになった。
&lt;span class="spacer"&gt;&lt;/span&gt;そこからlandmineは、地面に設置された爆弾＝「地雷」という意味になる。&lt;/span&gt;</v>
      </c>
      <c r="AV1433" s="1" t="s">
        <v>38</v>
      </c>
      <c r="BG1433" s="7" t="s">
        <v>1242</v>
      </c>
      <c r="BH1433" s="1" t="s">
        <v>1967</v>
      </c>
      <c r="BI1433" s="1" t="s">
        <v>6894</v>
      </c>
      <c r="BJ1433" s="1" t="s">
        <v>1959</v>
      </c>
      <c r="BK1433" s="2" t="s">
        <v>6895</v>
      </c>
      <c r="BL1433" s="1" t="s">
        <v>1875</v>
      </c>
      <c r="BM1433" s="2" t="s">
        <v>6896</v>
      </c>
    </row>
    <row r="1434" spans="1:71" ht="180" x14ac:dyDescent="0.45">
      <c r="A1434" s="5">
        <v>1433</v>
      </c>
      <c r="B1434" s="6" t="s">
        <v>1169</v>
      </c>
      <c r="C1434" s="6" t="s">
        <v>1816</v>
      </c>
      <c r="D1434" s="7" t="s">
        <v>9752</v>
      </c>
      <c r="E1434" s="1" t="s">
        <v>1721</v>
      </c>
      <c r="F1434" s="1" t="s">
        <v>6897</v>
      </c>
      <c r="G1434" s="1"/>
      <c r="J1434" s="1" t="s">
        <v>9753</v>
      </c>
      <c r="L1434" s="3" t="s">
        <v>9941</v>
      </c>
      <c r="P1434" s="7" t="s">
        <v>1241</v>
      </c>
      <c r="AU1434" s="15"/>
      <c r="AV1434" s="1" t="s">
        <v>38</v>
      </c>
      <c r="BG1434" s="7" t="s">
        <v>1242</v>
      </c>
      <c r="BH1434" s="1" t="s">
        <v>1947</v>
      </c>
      <c r="BI1434" s="2" t="s">
        <v>6898</v>
      </c>
      <c r="BJ1434" s="1" t="s">
        <v>1959</v>
      </c>
      <c r="BK1434" s="2" t="s">
        <v>6899</v>
      </c>
      <c r="BL1434" s="1" t="s">
        <v>1875</v>
      </c>
      <c r="BM1434" s="2" t="s">
        <v>6900</v>
      </c>
    </row>
    <row r="1435" spans="1:71" ht="72" x14ac:dyDescent="0.45">
      <c r="A1435" s="5">
        <v>1434</v>
      </c>
      <c r="B1435" s="6" t="s">
        <v>1170</v>
      </c>
      <c r="C1435" s="6" t="s">
        <v>1816</v>
      </c>
      <c r="D1435" s="7" t="s">
        <v>9752</v>
      </c>
      <c r="E1435" s="1" t="s">
        <v>1170</v>
      </c>
      <c r="F1435" s="1"/>
      <c r="G1435" s="1"/>
      <c r="J1435" s="1" t="s">
        <v>9753</v>
      </c>
      <c r="L1435" s="2" t="s">
        <v>9942</v>
      </c>
      <c r="P1435" s="7" t="s">
        <v>1241</v>
      </c>
      <c r="AV1435" s="1" t="s">
        <v>38</v>
      </c>
      <c r="BG1435" s="7" t="s">
        <v>1242</v>
      </c>
      <c r="BH1435" s="1" t="s">
        <v>1872</v>
      </c>
      <c r="BI1435" s="1" t="s">
        <v>6901</v>
      </c>
      <c r="BJ1435" s="1" t="s">
        <v>1875</v>
      </c>
      <c r="BK1435" s="2" t="s">
        <v>6902</v>
      </c>
    </row>
    <row r="1436" spans="1:71" ht="252" x14ac:dyDescent="0.45">
      <c r="A1436" s="5">
        <v>1435</v>
      </c>
      <c r="B1436" s="8" t="s">
        <v>1171</v>
      </c>
      <c r="C1436" s="6" t="s">
        <v>1816</v>
      </c>
      <c r="D1436" s="7" t="s">
        <v>9752</v>
      </c>
      <c r="E1436" s="1" t="s">
        <v>1505</v>
      </c>
      <c r="F1436" s="1" t="s">
        <v>4639</v>
      </c>
      <c r="G1436" s="1"/>
      <c r="J1436" s="1" t="s">
        <v>9753</v>
      </c>
      <c r="L1436" s="3" t="s">
        <v>11606</v>
      </c>
      <c r="M1436" s="1" t="s">
        <v>12153</v>
      </c>
      <c r="P1436" s="7" t="s">
        <v>1241</v>
      </c>
      <c r="Q1436" s="13" t="str">
        <f>INDEX($L:$L, MATCH("pose", $B:$B, 0))</f>
        <v>&lt;span class="w"&gt;&lt;b&gt;【804.pose：（危険）を引き起こす, （問題など）を提起する, ポーズをとる, 装う】&lt;/b&gt;&lt;/span&gt;
&lt;span class="ml"&gt;ラテン語に由来する語で、以下の2つの要素から成る。
&lt;span class="spacer"&gt;&lt;/span&gt;pausere（止まる, 休む, 休ませる）
ponere（置く）
&lt;span class="spacer"&gt;&lt;/span&gt;この語の核は「何かを置く」。問題や危険を置くことから「問題を提起する, 危険を引き起こす」という意味になる。またある態度や性格に身を置くことから、態度や性格を「装う」、またモデルなどが「ポーズをとる」という意味になる。
&lt;span class="spacer"&gt;&lt;/span&gt;poseの目的語にくるものを「置く」ことから文に合った訳を考えればよい。
&lt;div class="sample_image pose"&gt;&lt;/div&gt;&lt;/span&gt;</v>
      </c>
      <c r="R1436" s="13" t="str">
        <f>INDEX($L:$L, MATCH("expose", $B:$B, 0))</f>
        <v>&lt;span class="w"&gt;&lt;b&gt;【433.expose：～をさらす, 〜を暴露する】&lt;/b&gt;&lt;/span&gt;
&lt;span class="ml"&gt;ラテン語に由来する語で、以下の2つの要素から成る。
&lt;span class="spacer"&gt;&lt;/span&gt;ex（外に）
ponere（置く）
&lt;span class="spacer"&gt;&lt;/span&gt;このまま日本語にすると「外に置く」となる。これは、内側にあるものを外側に置くイメージ。そこから何かを「さらす, 暴露する」という意味になる。
&lt;div class="sample_image expose"&gt;&lt;/div&gt;&lt;/span&gt;</v>
      </c>
      <c r="S1436" s="13" t="str">
        <f>INDEX($L:$L, MATCH("impose", $B:$B, 0))</f>
        <v>&lt;span class="w"&gt;&lt;b&gt;【826.impose：〜を課す, 〜を押し付ける】&lt;/b&gt;&lt;/span&gt;
&lt;span class="ml"&gt;古フランス語に由来する語で、以下の2つの要素から成る。
&lt;span class="spacer"&gt;&lt;/span&gt;in（中に）
poser（置く）
&lt;span class="spacer"&gt;&lt;/span&gt;このまま日本語にすると「中に置く」となる。相手の領域の中に押し込んで置くイメージから、対象に何かを「押し付ける, 課す」という意味になる。
&lt;div class="sample_image impose"&gt;&lt;/div&gt;&lt;/span&gt;</v>
      </c>
      <c r="T1436" s="13" t="str">
        <f>INDEX($L:$L, MATCH("propose", $B:$B, 0))</f>
        <v>&lt;span class="w"&gt;&lt;b&gt;【436.propose：〜を提案する】&lt;/b&gt;&lt;/span&gt;
&lt;span class="ml"&gt;ラテン語に由来する語で、以下の2つの要素から成る。
&lt;span class="spacer"&gt;&lt;/span&gt;pro（前へ）
ponere（置く）
&lt;span class="spacer"&gt;&lt;/span&gt;このまま日本語にすると「前に置く」となる。意見や考えを相手の前に置くイメージから「提案する」という意味になる。&lt;/span&gt;</v>
      </c>
      <c r="U1436" s="13" t="str">
        <f>INDEX($L:$L, MATCH("oppose", $B:$B, 0))</f>
        <v>&lt;span class="w"&gt;&lt;b&gt;【513.oppose：〜に反対する, 〜を対抗させる】&lt;/b&gt;&lt;/span&gt;
&lt;span class="ml"&gt;ラテン語に由来する語で、以下の2つの要素から成る。
&lt;span class="spacer"&gt;&lt;/span&gt;ob（〜に対して）
ponere（置く）
&lt;span class="spacer"&gt;&lt;/span&gt;このまま日本語にすると「～に対して置く」となる。相手に対して自分を置く、つまり相手と自分が向かい合うように置くイメージから「反対する, 対抗させる」という意味になる。
&lt;div class="sample_image oppose"&gt;&lt;/div&gt;&lt;/span&gt;</v>
      </c>
      <c r="V1436" s="13" t="str">
        <f>INDEX($L:$L, MATCH("compose", $B:$B, 0))</f>
        <v>&lt;span class="w"&gt;&lt;b&gt;【833.compose：～を構成する, ～を創作する】&lt;/b&gt;&lt;/span&gt;
&lt;span class="ml"&gt;ラテン語に由来する語で、以下の2つの要素から成る。
&lt;span class="spacer"&gt;&lt;/span&gt;com（共に）
ponere（置く）
&lt;span class="spacer"&gt;&lt;/span&gt;このまま日本語にすると「共に置く」となる。2つ以上のものを一緒に置いて全体を形作ることから、構成要素となって全体を作り上げる＝「構成する, 創作する」という意味になる。
&lt;div class="sample_image compose"&gt;&lt;/div&gt;&lt;/span&gt;</v>
      </c>
      <c r="W1436" s="13" t="str">
        <f>INDEX($L:$L, MATCH("suppose", $B:$B, 0))</f>
        <v>&lt;span class="w"&gt;&lt;b&gt;【121.suppose：～と仮定する, と思う】&lt;/b&gt;&lt;/span&gt;
&lt;span class="ml"&gt;ラテン語に由来する語で、以下の2つの要素から成る。
&lt;span class="spacer"&gt;&lt;/span&gt;sub（下に）
ponere（置く）
&lt;span class="spacer"&gt;&lt;/span&gt;このまま日本語にすると「下に置く」となる。思考において、何かを既にあるものとして土台に置くイメージから、何かを前提として置く＝「仮定する」という意味になる。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&lt;div class="sample_image suppose"&gt;&lt;/div&gt;
&lt;span class="spacer"&gt;&lt;/span&gt;supposeを「前提に置く」というイメージで覚えておけば、be supposed to do A（Aすることになっている）は、要は「Aするということが前提として置かれている」だけだと理解できる。&lt;/span&gt;</v>
      </c>
      <c r="X1436" s="13" t="str">
        <f>INDEX($L:$L, MATCH("positive", $B:$B, 0))</f>
        <v>&lt;span class="w"&gt;&lt;b&gt;【179.positive：肯定的な, 確信して, （検査で）陽性の】&lt;/b&gt;&lt;/span&gt;
&lt;span class="ml"&gt;ラテン語に由来する語で、以下の2つの要素から成る。
&lt;span class="spacer"&gt;&lt;/span&gt;ponere（置く）の過去分詞positus（置かれる）
ivus（形容詞化）
&lt;span class="spacer"&gt;&lt;/span&gt;もともとは法律用語。法や権威あるものによって置かれる、つまり法や権威によって定められて否定のしようがないという意味で使われた。ここから「肯定的な, 確信して, 陽性の」という意味になる。&lt;/span&gt;</v>
      </c>
      <c r="Y1436" s="13" t="str">
        <f>INDEX($L:$L, MATCH("deposit", $B:$B, 0))</f>
        <v>&lt;span class="w"&gt;&lt;b&gt;【1315.deposit：〜を置く, 〜を預ける】&lt;/b&gt;&lt;/span&gt;
&lt;span class="ml"&gt;ラテン語に由来する語で、以下の2つの要素から成る。
&lt;span class="spacer"&gt;&lt;/span&gt;de（離れて, 下に）
ponere（置く）
&lt;span class="spacer"&gt;&lt;/span&gt;このまま日本語にすると「離れて置く, 下に置く」となる。物理的に何かを「置く」という意味もあるが、金銭や貴重品を離れた場所に「預ける」という意味にもなる。
&lt;span class="spacer"&gt;&lt;/span&gt;depositのposit部分は、positionと同じなので、そこから「置く」というイメージ持っておくとよい。
&lt;div class="sample_image deposit"&gt;&lt;/div&gt;&lt;/span&gt;</v>
      </c>
      <c r="Z1436" s="13" t="str">
        <f>INDEX($L:$L, MATCH("compound", $B:$B, 0))</f>
        <v>&lt;span class="w"&gt;&lt;b&gt;【1129.compound：〜を悪化させる, 〜を合成する, 〜を混合する】&lt;/b&gt;&lt;/span&gt;
&lt;span class="ml"&gt;ラテン語に由来する語で、以下の2つの要素から成る。
&lt;span class="spacer"&gt;&lt;/span&gt;com（共に）
ponere（置く）
&lt;span class="spacer"&gt;&lt;/span&gt;このまま日本語にすると「共に置く」となる。複数のものを一緒にすることから、何かを「合成する, 混合する, 調合する」といった意味になる。さらに、問題や困難などがどんどん一緒に置かれて積もっていくことから、状況や問題などを「悪化させる」という意味にもなる。
&lt;div class="sample_image compound"&gt;&lt;/div&gt;&lt;/span&gt;</v>
      </c>
      <c r="AA1436" s="13" t="str">
        <f>INDEX($L:$L, MATCH("postpone", $B:$B, 0))</f>
        <v>&lt;span class="w"&gt;&lt;b&gt;【1134.postpone：〜を延期する】&lt;/b&gt;&lt;/span&gt;
&lt;span class="ml"&gt;ラテン語に由来する語で、以下の2つの要素から成る。
&lt;span class="spacer"&gt;&lt;/span&gt;post（後に）
ponere（置く）
&lt;span class="spacer"&gt;&lt;/span&gt;このまま日本語にすると「後に置く」となる。予定や物事を時間的に後に置くことから「延期する」という意味になる。&lt;/span&gt;
&lt;div class="animation postpone"&gt;&lt;/div&gt;</v>
      </c>
      <c r="AB1436" s="13" t="str">
        <f>INDEX($L:$L, MATCH("component", $B:$B, 0))</f>
        <v>&lt;span class="w"&gt;&lt;b&gt;【677.component：構成要素, 部品】&lt;/b&gt;&lt;/span&gt;
&lt;span class="ml"&gt;ラテン語に由来する語で、以下の2つの要素から成る。
&lt;span class="spacer"&gt;&lt;/span&gt;com（共に）
ponere（置く）
&lt;span class="spacer"&gt;&lt;/span&gt;このまま日本語にすると「共に置く」となる。いくつかの部分を一緒に置くことで全体が構成されることから、全体の「構成要素, 部品」という意味になる。
&lt;div class="sample_image component"&gt;&lt;/div&gt;&lt;/span&gt;</v>
      </c>
      <c r="AC1436" s="13" t="str">
        <f>INDEX($L:$L, MATCH("opponent", $B:$B, 0))</f>
        <v>&lt;span class="w"&gt;&lt;b&gt;【762.opponent：（試合や論争などの）相手, 反対者】&lt;/b&gt;&lt;/span&gt;
&lt;span class="ml"&gt;ラテン語に由来する語で、以下の3つの要素から成る。
&lt;span class="spacer"&gt;&lt;/span&gt;ob（前に, 対して）
ponere（置く）
ens（現在分詞を作る：〜しているもの）
&lt;span class="spacer"&gt;&lt;/span&gt;この語の核は「何かに対立する位置に置いてあるもの」。ここから「対戦相手, 反対者」という意味になる。
&lt;div class="sample_image opponent"&gt;&lt;/div&gt;&lt;/span&gt;</v>
      </c>
      <c r="AD1436" s="13" t="str">
        <f>INDEX($L:$L, MATCH("posture", $B:$B, 0))</f>
        <v>&lt;span class="w"&gt;&lt;b&gt;【1451.posture：姿勢, 心構え】&lt;/b&gt;&lt;/span&gt;
&lt;span class="ml"&gt;ラテン語に由来する語で、以下の2つの要素から成る。
&lt;span class="spacer"&gt;&lt;/span&gt;ponere（置く）の過去分詞positus
ura（名詞化）
&lt;span class="spacer"&gt;&lt;/span&gt;このまま日本語にすると「置かれた状態」となる。これは何かの位置や配置を表したが、特に身体の各パーツの位置を指すようになり、そこから身体のポジション＝「姿勢」という意味になった。
&lt;span class="spacer"&gt;&lt;/span&gt;さらにそこから比喩的に、状況に対する心理的な姿勢＝「心構え」という意味にもなった。&lt;/span&gt;</v>
      </c>
      <c r="AE1436" s="13" t="str">
        <f>INDEX($L:$L, MATCH("puzzle", $B:$B, 0))</f>
        <v>&lt;span class="w"&gt;&lt;b&gt;【624.puzzle：〜を当惑させる, 〜を困惑させる】&lt;/b&gt;&lt;/span&gt;
&lt;span class="ml"&gt;近代英語pose（難しい問題や質問で当惑させる）にさかのぼる。
&lt;span class="spacer"&gt;&lt;/span&gt;この語はパズルのように「頭に引っかかって前に進めない状態にする」というイメージ。ここから「当惑させる, 困惑させる」という意味になる。
&lt;span class="spacer"&gt;&lt;/span&gt;もともとはposeという形だったが、反復・継続を表すpuzzleという形になった。これにより困惑や当惑が反復・継続している状態、つまり頭の中がぐるぐる回るような状態を表した。&lt;/span&gt;</v>
      </c>
      <c r="AU1436" s="15"/>
      <c r="AV1436" s="1" t="s">
        <v>38</v>
      </c>
      <c r="BG1436" s="7" t="s">
        <v>1242</v>
      </c>
      <c r="BH1436" s="1" t="s">
        <v>1947</v>
      </c>
      <c r="BI1436" s="2" t="s">
        <v>6903</v>
      </c>
      <c r="BJ1436" s="1" t="s">
        <v>1959</v>
      </c>
      <c r="BK1436" s="2" t="s">
        <v>6904</v>
      </c>
      <c r="BL1436" s="1" t="s">
        <v>1875</v>
      </c>
      <c r="BM1436" s="2" t="s">
        <v>6905</v>
      </c>
    </row>
    <row r="1437" spans="1:71" ht="162" x14ac:dyDescent="0.45">
      <c r="A1437" s="5">
        <v>1436</v>
      </c>
      <c r="B1437" s="6" t="s">
        <v>1172</v>
      </c>
      <c r="C1437" s="6" t="s">
        <v>1816</v>
      </c>
      <c r="D1437" s="7" t="s">
        <v>9752</v>
      </c>
      <c r="E1437" s="6" t="s">
        <v>1172</v>
      </c>
      <c r="F1437" s="1"/>
      <c r="G1437" s="1"/>
      <c r="J1437" s="1" t="s">
        <v>9753</v>
      </c>
      <c r="K1437" s="2"/>
      <c r="L1437" s="3" t="s">
        <v>9943</v>
      </c>
      <c r="P1437" s="7" t="s">
        <v>1241</v>
      </c>
      <c r="AU1437" s="15"/>
      <c r="AV1437" s="1" t="s">
        <v>38</v>
      </c>
      <c r="BG1437" s="7" t="s">
        <v>1242</v>
      </c>
      <c r="BH1437" s="1" t="s">
        <v>1875</v>
      </c>
      <c r="BI1437" s="2" t="s">
        <v>6906</v>
      </c>
      <c r="BJ1437" s="1" t="s">
        <v>1877</v>
      </c>
      <c r="BK1437" s="2" t="s">
        <v>6907</v>
      </c>
      <c r="BL1437" s="1" t="s">
        <v>3496</v>
      </c>
      <c r="BM1437" s="2" t="s">
        <v>6908</v>
      </c>
    </row>
    <row r="1438" spans="1:71" ht="144" x14ac:dyDescent="0.45">
      <c r="A1438" s="5">
        <v>1437</v>
      </c>
      <c r="B1438" s="6" t="s">
        <v>1173</v>
      </c>
      <c r="C1438" s="6" t="s">
        <v>1816</v>
      </c>
      <c r="D1438" s="7" t="s">
        <v>9752</v>
      </c>
      <c r="E1438" s="1" t="s">
        <v>1173</v>
      </c>
      <c r="F1438" s="1"/>
      <c r="G1438" s="1"/>
      <c r="J1438" s="1" t="s">
        <v>9753</v>
      </c>
      <c r="L1438" s="2" t="s">
        <v>9944</v>
      </c>
      <c r="P1438" s="7" t="s">
        <v>1241</v>
      </c>
      <c r="Q1438" s="13" t="str">
        <f>INDEX($L:$L, MATCH("web", $B:$B, 0))</f>
        <v>&lt;span class="w"&gt;&lt;b&gt;【361.web：クモの巣, （the Web）インターネットのウェブ】&lt;/b&gt;&lt;/span&gt;
&lt;span class="ml"&gt;古英語webb（織られた布）にさかのぼる。
&lt;span class="spacer"&gt;&lt;/span&gt;糸を織って作られる編み目状の構造から、糸を張りめぐらして作られる「クモの巣」という意味になる。また比喩的に、糸が張りめぐらされたような構造から、インターネットの「ウェブ」という意味にもなる。&lt;/span&gt;</v>
      </c>
      <c r="AV1438" s="1" t="s">
        <v>38</v>
      </c>
      <c r="BG1438" s="7" t="s">
        <v>1242</v>
      </c>
      <c r="BH1438" s="1" t="s">
        <v>1872</v>
      </c>
      <c r="BI1438" s="1" t="s">
        <v>6909</v>
      </c>
      <c r="BJ1438" s="1" t="s">
        <v>1875</v>
      </c>
      <c r="BK1438" s="2" t="s">
        <v>6910</v>
      </c>
    </row>
    <row r="1439" spans="1:71" ht="180" x14ac:dyDescent="0.45">
      <c r="A1439" s="5">
        <v>1438</v>
      </c>
      <c r="B1439" s="8" t="s">
        <v>1174</v>
      </c>
      <c r="C1439" s="6" t="s">
        <v>1816</v>
      </c>
      <c r="D1439" s="7" t="s">
        <v>9752</v>
      </c>
      <c r="E1439" s="1" t="s">
        <v>1251</v>
      </c>
      <c r="F1439" s="1" t="s">
        <v>1410</v>
      </c>
      <c r="G1439" s="1"/>
      <c r="J1439" s="1" t="s">
        <v>9753</v>
      </c>
      <c r="L1439" s="3" t="s">
        <v>9945</v>
      </c>
      <c r="M1439" s="1" t="s">
        <v>12173</v>
      </c>
      <c r="P1439" s="7" t="s">
        <v>1241</v>
      </c>
      <c r="Q1439" s="13" t="str">
        <f>INDEX($L:$L, MATCH("define", $B:$B, 0))</f>
        <v>&lt;span class="w"&gt;&lt;b&gt;【226.define：〜を定義する, 〜を明確にする】&lt;/b&gt;&lt;/span&gt;
&lt;span class="ml"&gt;ラテン語に由来する語で、以下の2つの要素から成る。
&lt;span class="spacer"&gt;&lt;/span&gt;de（完全に）
finis（境界）から派生した動詞finire（境界を定める）
&lt;span class="spacer"&gt;&lt;/span&gt;このまま日本語にすると「完全に境界を定める」となる。曖昧さをなくし完全に線引きするイメージから、対象を「明確にする」にするという意味になる。これが言葉の意味を対象とすれば、言葉の意味を明確にする＝「定義する」という意味になる。
&lt;div class="sample_image define"&gt;&lt;/div&gt;&lt;/span&gt;</v>
      </c>
      <c r="R1439" s="13" t="str">
        <f>INDEX($L:$L, MATCH("confine", $B:$B, 0))</f>
        <v>&lt;span class="w"&gt;&lt;b&gt;【1316.confine：〜を限定する, 〜を閉じ込める】&lt;/b&gt;&lt;/span&gt;
&lt;span class="ml"&gt;ラテン語に由来する語で、以下の2つの要素から成る。
&lt;span class="spacer"&gt;&lt;/span&gt;com（共に）
finis（終わり, 境界）
&lt;span class="spacer"&gt;&lt;/span&gt;もともとは、物理的に同じ境界を持っている、つまり隣り合っていることを表した。そこから境界を引いて、その中から出ないようにする行為へと発展して「閉じ込める, 限定する」という意味になった。
&lt;span class="spacer"&gt;&lt;/span&gt;confineのfine部分は、finishのfinやdefineのfineと同じ。
&lt;div class="sample_image confine"&gt;&lt;/div&gt;&lt;/span&gt;</v>
      </c>
      <c r="S1439" s="13" t="str">
        <f>INDEX($L:$L, MATCH("infinite", $B:$B, 0))</f>
        <v>&lt;span class="w"&gt;&lt;b&gt;【1381.infinite：無限の, 無数の】&lt;/b&gt;&lt;/span&gt;
&lt;span class="ml"&gt;ラテン語に由来する語で、以下の2つの要素から成る。
&lt;span class="spacer"&gt;&lt;/span&gt;in（否定）
finis（終わり, 境界）
&lt;span class="spacer"&gt;&lt;/span&gt;この語の核は「終わりを示す境界線がない」。そこから「無限の, 無数の」という意味になる。
&lt;span class="spacer"&gt;&lt;/span&gt;infiniteのfin部分は、finishのfinと同じ。終わりを否定（in）していると覚えればよい。&lt;/span&gt;</v>
      </c>
      <c r="T1439" s="13" t="str">
        <f>INDEX($L:$L, MATCH("financial", $B:$B, 0))</f>
        <v>&lt;span class="w"&gt;&lt;b&gt;【188.financial：財政の】&lt;/b&gt;&lt;/span&gt;
&lt;span class="ml"&gt;ラテン語fin（終わり）に由来する。
&lt;span class="spacer"&gt;&lt;/span&gt;financeやfinancialは、finis（終わり）が特に「支払いで決着をつける」という金銭的な意味と結びついて発展した語。そこから支払いなどの金銭管理を表すようになり「財政の」という意味になった。&lt;/span&gt;</v>
      </c>
      <c r="AV1439" s="1" t="s">
        <v>38</v>
      </c>
      <c r="BG1439" s="7" t="s">
        <v>1242</v>
      </c>
      <c r="BH1439" s="1" t="s">
        <v>1947</v>
      </c>
      <c r="BI1439" s="1" t="s">
        <v>6911</v>
      </c>
      <c r="BJ1439" s="1" t="s">
        <v>1959</v>
      </c>
      <c r="BK1439" s="1" t="s">
        <v>6912</v>
      </c>
      <c r="BL1439" s="1" t="s">
        <v>1875</v>
      </c>
      <c r="BM1439" s="2" t="s">
        <v>6913</v>
      </c>
      <c r="BN1439" s="1" t="s">
        <v>1877</v>
      </c>
      <c r="BO1439" s="2" t="s">
        <v>6914</v>
      </c>
    </row>
    <row r="1440" spans="1:71" ht="126" x14ac:dyDescent="0.45">
      <c r="A1440" s="5">
        <v>1439</v>
      </c>
      <c r="B1440" s="8" t="s">
        <v>1175</v>
      </c>
      <c r="C1440" s="6" t="s">
        <v>1816</v>
      </c>
      <c r="D1440" s="7" t="s">
        <v>9752</v>
      </c>
      <c r="E1440" s="1" t="s">
        <v>1447</v>
      </c>
      <c r="F1440" s="1" t="s">
        <v>6915</v>
      </c>
      <c r="G1440" s="1"/>
      <c r="J1440" s="1" t="s">
        <v>9753</v>
      </c>
      <c r="L1440" s="2" t="s">
        <v>9946</v>
      </c>
      <c r="P1440" s="7" t="s">
        <v>1241</v>
      </c>
      <c r="AU1440" s="15"/>
      <c r="AV1440" s="1" t="s">
        <v>38</v>
      </c>
      <c r="BG1440" s="7" t="s">
        <v>1242</v>
      </c>
      <c r="BH1440" s="1" t="s">
        <v>1959</v>
      </c>
      <c r="BI1440" s="2" t="s">
        <v>6916</v>
      </c>
      <c r="BJ1440" s="1" t="s">
        <v>1875</v>
      </c>
      <c r="BK1440" s="2" t="s">
        <v>6917</v>
      </c>
      <c r="BL1440" s="1" t="s">
        <v>1877</v>
      </c>
      <c r="BM1440" s="2" t="s">
        <v>6918</v>
      </c>
      <c r="BN1440" s="1" t="s">
        <v>3496</v>
      </c>
      <c r="BO1440" s="2" t="s">
        <v>6919</v>
      </c>
    </row>
    <row r="1441" spans="1:69" ht="198" x14ac:dyDescent="0.45">
      <c r="A1441" s="5">
        <v>1440</v>
      </c>
      <c r="B1441" s="6" t="s">
        <v>1176</v>
      </c>
      <c r="C1441" s="6" t="s">
        <v>1816</v>
      </c>
      <c r="D1441" s="7" t="s">
        <v>9752</v>
      </c>
      <c r="E1441" s="1" t="s">
        <v>6920</v>
      </c>
      <c r="F1441" s="1" t="s">
        <v>1918</v>
      </c>
      <c r="G1441" s="1" t="s">
        <v>1818</v>
      </c>
      <c r="J1441" s="1" t="s">
        <v>9753</v>
      </c>
      <c r="L1441" s="2" t="s">
        <v>9947</v>
      </c>
      <c r="M1441" s="1" t="s">
        <v>12189</v>
      </c>
      <c r="P1441" s="7" t="s">
        <v>1241</v>
      </c>
      <c r="Q1441" s="13" t="str">
        <f>INDEX($L:$L, MATCH("ordinary", $B:$B, 0))</f>
        <v>&lt;span class="w"&gt;&lt;b&gt;【289.ordinary：一般の, 普通の】&lt;/b&gt;&lt;/span&gt;
&lt;span class="ml"&gt;ラテン語に由来する語で、以下の2つの要素から成る。
&lt;span class="spacer"&gt;&lt;/span&gt;ordo（列, 順序）
arius（形容詞化）
&lt;span class="spacer"&gt;&lt;/span&gt;これは「列に並んだ, 秩序通り, 規則的な」という通常から外れていないことから「一般の, 普通の」という意味になる。&lt;/span&gt;</v>
      </c>
      <c r="R1441" s="13" t="str">
        <f>INDEX($L:$L, MATCH("extraordinary", $B:$B, 0))</f>
        <v>&lt;span class="w"&gt;&lt;b&gt;【588.extraordinary：並外れた, 驚くべき】&lt;/b&gt;&lt;/span&gt;
&lt;span class="ml"&gt;ラテン語に由来する語で、以下の2つの要素から成る。
&lt;span class="spacer"&gt;&lt;/span&gt;extra（外に, 外側へ）
ordo（列, 順序, 秩序）
&lt;span class="spacer"&gt;&lt;/span&gt;このまま日本語にすると「秩序の外」となる。つまり通常の秩序から外れていることから、「並外れた, 驚くべき」という意味になる。&lt;/span&gt;</v>
      </c>
      <c r="S1441" s="13" t="str">
        <f>INDEX($L:$L, MATCH("disorder", $B:$B, 0))</f>
        <v>&lt;span class="w"&gt;&lt;b&gt;【558.disorder：障害, 心身の不調, 混乱】&lt;/b&gt;&lt;/span&gt;
&lt;span class="ml"&gt;ラテン語に由来する語で、以下の2つの要素から成る。
&lt;span class="spacer"&gt;&lt;/span&gt;dis（否定）
ordo（列, 順序, 配置）
&lt;span class="spacer"&gt;&lt;/span&gt;この語の核は「秩序だった状態の否定」。つまり秩序が乱れて混乱した状態やバランスが崩れた状態を表す。ここから「障害, 心身の不調, 混乱」といった意味になる。&lt;/span&gt;</v>
      </c>
      <c r="AU1441" s="15"/>
      <c r="AV1441" s="1" t="s">
        <v>38</v>
      </c>
      <c r="BG1441" s="7" t="s">
        <v>1242</v>
      </c>
      <c r="BH1441" s="1" t="s">
        <v>1947</v>
      </c>
      <c r="BI1441" s="2" t="s">
        <v>6921</v>
      </c>
      <c r="BJ1441" s="1" t="s">
        <v>1877</v>
      </c>
      <c r="BK1441" s="2" t="s">
        <v>6922</v>
      </c>
    </row>
    <row r="1442" spans="1:69" ht="126" x14ac:dyDescent="0.45">
      <c r="A1442" s="5">
        <v>1441</v>
      </c>
      <c r="B1442" s="6" t="s">
        <v>1177</v>
      </c>
      <c r="C1442" s="6" t="s">
        <v>6850</v>
      </c>
      <c r="D1442" s="7" t="s">
        <v>9752</v>
      </c>
      <c r="E1442" s="1" t="s">
        <v>6923</v>
      </c>
      <c r="F1442" s="1" t="s">
        <v>1856</v>
      </c>
      <c r="G1442" s="1"/>
      <c r="J1442" s="1" t="s">
        <v>9753</v>
      </c>
      <c r="L1442" s="2" t="s">
        <v>9948</v>
      </c>
      <c r="P1442" s="7" t="s">
        <v>1241</v>
      </c>
      <c r="AU1442" s="15"/>
      <c r="AV1442" s="1" t="s">
        <v>38</v>
      </c>
      <c r="BG1442" s="7" t="s">
        <v>1242</v>
      </c>
      <c r="BH1442" s="1" t="s">
        <v>1875</v>
      </c>
      <c r="BI1442" s="2" t="s">
        <v>6924</v>
      </c>
      <c r="BJ1442" s="1" t="s">
        <v>1877</v>
      </c>
      <c r="BK1442" s="2" t="s">
        <v>6925</v>
      </c>
    </row>
    <row r="1443" spans="1:69" ht="180" x14ac:dyDescent="0.45">
      <c r="A1443" s="5">
        <v>1442</v>
      </c>
      <c r="B1443" s="6" t="s">
        <v>1178</v>
      </c>
      <c r="C1443" s="6" t="s">
        <v>6850</v>
      </c>
      <c r="D1443" s="7" t="s">
        <v>9752</v>
      </c>
      <c r="E1443" s="1" t="s">
        <v>6926</v>
      </c>
      <c r="F1443" s="1" t="s">
        <v>6927</v>
      </c>
      <c r="G1443" s="1"/>
      <c r="J1443" s="1" t="s">
        <v>9753</v>
      </c>
      <c r="K1443" s="2"/>
      <c r="L1443" s="2" t="s">
        <v>9949</v>
      </c>
      <c r="P1443" s="7" t="s">
        <v>1241</v>
      </c>
      <c r="AU1443" s="15"/>
      <c r="AV1443" s="1" t="s">
        <v>38</v>
      </c>
      <c r="BG1443" s="7" t="s">
        <v>1242</v>
      </c>
      <c r="BH1443" s="1" t="s">
        <v>1947</v>
      </c>
      <c r="BI1443" s="2" t="s">
        <v>6928</v>
      </c>
      <c r="BJ1443" s="1" t="s">
        <v>1996</v>
      </c>
      <c r="BK1443" s="1" t="s">
        <v>6929</v>
      </c>
      <c r="BL1443" s="1" t="s">
        <v>1877</v>
      </c>
      <c r="BM1443" s="2" t="s">
        <v>6930</v>
      </c>
    </row>
    <row r="1444" spans="1:69" ht="180" x14ac:dyDescent="0.45">
      <c r="A1444" s="5">
        <v>1443</v>
      </c>
      <c r="B1444" s="6" t="s">
        <v>1179</v>
      </c>
      <c r="C1444" s="6" t="s">
        <v>6850</v>
      </c>
      <c r="D1444" s="7" t="s">
        <v>9752</v>
      </c>
      <c r="E1444" s="1" t="s">
        <v>1660</v>
      </c>
      <c r="F1444" s="1" t="s">
        <v>6931</v>
      </c>
      <c r="G1444" s="1"/>
      <c r="J1444" s="1" t="s">
        <v>9753</v>
      </c>
      <c r="K1444" s="2" t="s">
        <v>9950</v>
      </c>
      <c r="L1444" s="3" t="s">
        <v>9951</v>
      </c>
      <c r="P1444" s="7" t="s">
        <v>1241</v>
      </c>
      <c r="AU1444" s="15"/>
      <c r="AV1444" s="1" t="s">
        <v>38</v>
      </c>
      <c r="BG1444" s="7" t="s">
        <v>1242</v>
      </c>
      <c r="BH1444" s="1" t="s">
        <v>1875</v>
      </c>
      <c r="BI1444" s="2" t="s">
        <v>6932</v>
      </c>
      <c r="BJ1444" s="1" t="s">
        <v>1877</v>
      </c>
      <c r="BK1444" s="2" t="s">
        <v>6933</v>
      </c>
      <c r="BL1444" s="1" t="s">
        <v>3496</v>
      </c>
      <c r="BM1444" s="2" t="s">
        <v>6934</v>
      </c>
    </row>
    <row r="1445" spans="1:69" ht="234" x14ac:dyDescent="0.45">
      <c r="A1445" s="5">
        <v>1444</v>
      </c>
      <c r="B1445" s="8" t="s">
        <v>1180</v>
      </c>
      <c r="C1445" s="6" t="s">
        <v>6850</v>
      </c>
      <c r="D1445" s="7" t="s">
        <v>9752</v>
      </c>
      <c r="E1445" s="1" t="s">
        <v>1251</v>
      </c>
      <c r="F1445" s="1" t="s">
        <v>6935</v>
      </c>
      <c r="G1445" s="1" t="s">
        <v>1946</v>
      </c>
      <c r="J1445" s="1" t="s">
        <v>9753</v>
      </c>
      <c r="L1445" s="2" t="s">
        <v>9952</v>
      </c>
      <c r="P1445" s="7" t="s">
        <v>1241</v>
      </c>
      <c r="Q1445" s="13" t="str">
        <f>INDEX($L:$L, MATCH("medicine", $B:$B, 0))</f>
        <v>&lt;span class="w"&gt;&lt;b&gt;【165.medicine：薬, 医学, 医療】&lt;/b&gt;&lt;/span&gt;
&lt;span class="ml"&gt;印欧祖語*med-（適切に処置する）に由来する。
&lt;span class="spacer"&gt;&lt;/span&gt;「適切に処置する」ということから、特に病気に対して適切な処置を行う医療行為に関わる言葉に特化する。病気の患者に適切な処置をする「医療」、その医療行為で使う「薬」、そして医療に関する学問である「医学」という意味になる。&lt;/span&gt;</v>
      </c>
      <c r="AU1445" s="15"/>
      <c r="AV1445" s="1" t="s">
        <v>38</v>
      </c>
      <c r="BG1445" s="7" t="s">
        <v>1242</v>
      </c>
      <c r="BH1445" s="1" t="s">
        <v>1947</v>
      </c>
      <c r="BI1445" s="2" t="s">
        <v>6936</v>
      </c>
      <c r="BJ1445" s="1" t="s">
        <v>1959</v>
      </c>
      <c r="BK1445" s="2" t="s">
        <v>6937</v>
      </c>
      <c r="BL1445" s="1" t="s">
        <v>1875</v>
      </c>
      <c r="BM1445" s="2" t="s">
        <v>6938</v>
      </c>
    </row>
    <row r="1446" spans="1:69" ht="108" x14ac:dyDescent="0.45">
      <c r="A1446" s="5">
        <v>1445</v>
      </c>
      <c r="B1446" s="6" t="s">
        <v>1181</v>
      </c>
      <c r="C1446" s="6" t="s">
        <v>6850</v>
      </c>
      <c r="D1446" s="7" t="s">
        <v>9752</v>
      </c>
      <c r="E1446" s="6" t="s">
        <v>1181</v>
      </c>
      <c r="F1446" s="1"/>
      <c r="G1446" s="1"/>
      <c r="J1446" s="1" t="s">
        <v>9753</v>
      </c>
      <c r="L1446" s="2" t="s">
        <v>9953</v>
      </c>
      <c r="P1446" s="7" t="s">
        <v>1241</v>
      </c>
      <c r="AU1446" s="15"/>
      <c r="AV1446" s="1" t="s">
        <v>38</v>
      </c>
      <c r="BG1446" s="7" t="s">
        <v>1242</v>
      </c>
      <c r="BH1446" s="1" t="s">
        <v>1947</v>
      </c>
      <c r="BI1446" s="2" t="s">
        <v>6939</v>
      </c>
      <c r="BJ1446" s="1" t="s">
        <v>1959</v>
      </c>
      <c r="BK1446" s="1" t="s">
        <v>6940</v>
      </c>
      <c r="BL1446" s="1" t="s">
        <v>4974</v>
      </c>
      <c r="BM1446" s="1" t="s">
        <v>6941</v>
      </c>
      <c r="BN1446" s="1" t="s">
        <v>1875</v>
      </c>
      <c r="BO1446" s="2" t="s">
        <v>6942</v>
      </c>
    </row>
    <row r="1447" spans="1:69" ht="198" x14ac:dyDescent="0.45">
      <c r="A1447" s="5">
        <v>1446</v>
      </c>
      <c r="B1447" s="8" t="s">
        <v>1182</v>
      </c>
      <c r="C1447" s="6" t="s">
        <v>6850</v>
      </c>
      <c r="D1447" s="7" t="s">
        <v>9752</v>
      </c>
      <c r="E1447" s="1" t="s">
        <v>1251</v>
      </c>
      <c r="F1447" s="1" t="s">
        <v>1425</v>
      </c>
      <c r="G1447" s="1" t="s">
        <v>1584</v>
      </c>
      <c r="J1447" s="1" t="s">
        <v>9753</v>
      </c>
      <c r="K1447" s="1" t="s">
        <v>6943</v>
      </c>
      <c r="L1447" s="2" t="s">
        <v>9954</v>
      </c>
      <c r="M1447" s="1" t="s">
        <v>12181</v>
      </c>
      <c r="P1447" s="7" t="s">
        <v>1241</v>
      </c>
      <c r="Q1447" s="13" t="str">
        <f>INDEX($L:$L, MATCH("concept", $B:$B, 0))</f>
        <v>&lt;span class="w"&gt;&lt;b&gt;【241.concept：概念, 考え】&lt;/b&gt;&lt;/span&gt;
&lt;span class="ml"&gt;ラテン語に由来する語で、以下の2つの要素から成る。
&lt;span class="spacer"&gt;&lt;/span&gt;com（強意）
capere（取る）
&lt;span class="spacer"&gt;&lt;/span&gt;このまま日本語にすると「しっかり取る」となる。しっかり取り入れることから頭の中に取り入れられたもの＝「概念, 考え」という意味になる。&lt;/span&gt;</v>
      </c>
      <c r="R1447" s="13" t="str">
        <f>INDEX($L:$L, MATCH("exception", $B:$B, 0))</f>
        <v>&lt;span class="w"&gt;&lt;b&gt;【654.exception：例外】&lt;/b&gt;&lt;/span&gt;
&lt;span class="ml"&gt;ラテン語に由来する語で、以下の3つの要素から成る。
&lt;span class="spacer"&gt;&lt;/span&gt;ex（外に）
capere（取る）
io（名詞化）
&lt;span class="spacer"&gt;&lt;/span&gt;このまま日本語にすると「外に取り出すこと」となる。あるルールや条件の範囲の外に取り出すことから「例外」という意味になる。&lt;/span&gt;</v>
      </c>
      <c r="S1447" s="13" t="str">
        <f>INDEX($L:$L, MATCH("recipe", $B:$B, 0))</f>
        <v>&lt;span class="w"&gt;&lt;b&gt;【870.recipe：調理法, レシピ, 手順】&lt;/b&gt;&lt;/span&gt;
&lt;span class="ml"&gt;ラテン語に由来する語で、以下の2つの要素から成る。
&lt;span class="spacer"&gt;&lt;/span&gt;re（再び）
capere（取る）
&lt;span class="spacer"&gt;&lt;/span&gt;もともとは、医師が薬剤師に渡す処方箋の冒頭に、ラテン語recipe（取りなさい）と書いたことによる。これは処方箋に書かれた材料を取り出しなさいという指示だったが、そこから薬の処方箋そのものを表すようになった。
&lt;span class="spacer"&gt;&lt;/span&gt;処方箋は薬の作り方を書き記したものなので、そこから発展して、何かの「手順」や料理の「調理法, レシピ」という意味になった。&lt;/span&gt;</v>
      </c>
      <c r="T1447" s="13" t="str">
        <f>INDEX($L:$L, MATCH("recipient", $B:$B, 0))</f>
        <v>&lt;span class="w"&gt;&lt;b&gt;【1264.recipient：受け取る人】&lt;/b&gt;&lt;/span&gt;
&lt;span class="ml"&gt;ラテン語に由来する語で、以下の3つの要素から成る。
&lt;span class="spacer"&gt;&lt;/span&gt;re（後ろへ, 再び）
capere（取る）
ens（〜している人）
&lt;span class="spacer"&gt;&lt;/span&gt;このまま日本語にすると「後ろへ取る人」となる。相手の方から自分の方へ何かを取る、つまり受け取ることを表して、何かを「受け取る人」という意味になる。
&lt;span class="spacer"&gt;&lt;/span&gt;receiveにent（〜する人）が付いてできた語というイメージで覚えればよい。&lt;/span&gt;</v>
      </c>
      <c r="AU1447" s="15"/>
      <c r="AV1447" s="1" t="s">
        <v>38</v>
      </c>
      <c r="BG1447" s="7" t="s">
        <v>1242</v>
      </c>
      <c r="BH1447" s="1" t="s">
        <v>1947</v>
      </c>
      <c r="BI1447" s="2" t="s">
        <v>6944</v>
      </c>
      <c r="BJ1447" s="1" t="s">
        <v>1959</v>
      </c>
      <c r="BK1447" s="1" t="s">
        <v>1182</v>
      </c>
      <c r="BL1447" s="1" t="s">
        <v>1875</v>
      </c>
      <c r="BM1447" s="2" t="s">
        <v>6945</v>
      </c>
      <c r="BN1447" s="1" t="s">
        <v>1877</v>
      </c>
      <c r="BO1447" s="2" t="s">
        <v>6946</v>
      </c>
      <c r="BP1447" s="1" t="s">
        <v>3496</v>
      </c>
      <c r="BQ1447" s="2" t="s">
        <v>6947</v>
      </c>
    </row>
    <row r="1448" spans="1:69" ht="180" x14ac:dyDescent="0.45">
      <c r="A1448" s="5">
        <v>1447</v>
      </c>
      <c r="B1448" s="8" t="s">
        <v>1183</v>
      </c>
      <c r="C1448" s="6" t="s">
        <v>6850</v>
      </c>
      <c r="D1448" s="7" t="s">
        <v>9752</v>
      </c>
      <c r="E1448" s="1" t="s">
        <v>1725</v>
      </c>
      <c r="F1448" s="1" t="s">
        <v>1731</v>
      </c>
      <c r="G1448" s="1" t="s">
        <v>1584</v>
      </c>
      <c r="J1448" s="1" t="s">
        <v>9753</v>
      </c>
      <c r="L1448" s="3" t="s">
        <v>9955</v>
      </c>
      <c r="M1448" s="1" t="s">
        <v>12174</v>
      </c>
      <c r="P1448" s="7" t="s">
        <v>1241</v>
      </c>
      <c r="Q1448" s="13" t="str">
        <f>INDEX($L:$L, MATCH("active", $B:$B, 0))</f>
        <v>&lt;span class="w"&gt;&lt;b&gt;【193.active：積極的な, 活動的な】&lt;/b&gt;&lt;/span&gt;
&lt;span class="ml"&gt;ラテン語に由来する語で、以下の2つの要素から成る。
&lt;span class="spacer"&gt;&lt;/span&gt;agere（行う）の過去分詞actus（行為）
ivus（形容詞化）
&lt;span class="spacer"&gt;&lt;/span&gt;この形容詞は何かの行為をしている状態を表し、そこから「活動的な」という意味になる。また自分で進んで活動することから「積極的な」という意味にもなる。&lt;/span&gt;</v>
      </c>
      <c r="R1448" s="13" t="str">
        <f>INDEX($L:$L, MATCH("actual", $B:$B, 0))</f>
        <v>&lt;span class="w"&gt;&lt;b&gt;【297.actual：実際の, 現実の】&lt;/b&gt;&lt;/span&gt;
&lt;span class="ml"&gt;ラテン語に由来する語で、以下の2つの要素から成る。
&lt;span class="spacer"&gt;&lt;/span&gt;agere（行う）から派生したactus（行為）
alis（形容詞化）
&lt;span class="spacer"&gt;&lt;/span&gt;「行為に関する」という形容詞は、理想（ideal）や潜在（potential）ではなく、現実に行われたということを意味する。ここから「実際の, 現実の」となる。&lt;/span&gt;</v>
      </c>
      <c r="S1448" s="13" t="str">
        <f>INDEX($L:$L, MATCH("interact", $B:$B, 0))</f>
        <v>&lt;span class="w"&gt;&lt;b&gt;【537.interact：影響し合う, 相互に作用する】&lt;/b&gt;&lt;/span&gt;
&lt;span class="ml"&gt;近代英語にさかのぼり、以下の2つの要素から成る。
&lt;span class="spacer"&gt;&lt;/span&gt;inter（〜の間に）
act（行う, 作用する）
&lt;span class="spacer"&gt;&lt;/span&gt;このまま日本語にすると「何かと何かの間で作用する」となる。ここから「お互いが影響し合う」や「相互に作用する」という意味になる。&lt;/span&gt;</v>
      </c>
      <c r="T1448" s="13" t="str">
        <f>INDEX($L:$L, MATCH("exact", $B:$B, 0))</f>
        <v>&lt;span class="w"&gt;&lt;b&gt;【598.exact：正確な, まさにその】&lt;/b&gt;&lt;/span&gt;
&lt;span class="ml"&gt;ラテン語に由来する語で、以下の2つの要素から成る。
&lt;span class="spacer"&gt;&lt;/span&gt;ex（外へ）
agere（動かす, 駆り立てる）
&lt;span class="spacer"&gt;&lt;/span&gt;このまま日本語にすると「外へ駆り立てる」となる。これは、物事を最後まで徹底的にやり切らせることを表した。そこから、抜けや不足がなく徹底的に行われて完了したことを表すようになり、「正確な, まさにその」という意味へとつながった。&lt;/span&gt;</v>
      </c>
      <c r="U1448" s="13" t="str">
        <f>INDEX($L:$L, MATCH("react", $B:$B, 0))</f>
        <v>&lt;span class="w"&gt;&lt;b&gt;【605.react：反応する】&lt;/b&gt;&lt;/span&gt;
&lt;span class="ml"&gt;近代英語にさかのぼり、以下の2つの要素から成る。
&lt;span class="spacer"&gt;&lt;/span&gt;re（後ろへ, 返して）
act（行う）
&lt;span class="spacer"&gt;&lt;/span&gt;このまま日本語にすると「何かに返して行う」となる。出来事や行為に対して何かを行うことから「反応する」という意味になる。&lt;/span&gt;</v>
      </c>
      <c r="V1448" s="13" t="str">
        <f>INDEX($L:$L, MATCH("agent", $B:$B, 0))</f>
        <v>&lt;span class="w"&gt;&lt;b&gt;【752.agent：仲介者, 代理人】&lt;/b&gt;&lt;/span&gt;
&lt;span class="ml"&gt;ラテン語に由来する語で、以下の2つの要素から成る。
&lt;span class="spacer"&gt;&lt;/span&gt;agere（行う）
ens（現在分詞を作る：〜しているもの）
&lt;span class="spacer"&gt;&lt;/span&gt;このまま日本語にすると「何かを行なっているもの」となる。もともとは行為者を表していたが、そこから誰かに代わって行動する者、すなわち「代理人, 仲介者」という意味になった。また「特定の作用を引き起こす原因となる物質や力」という意味もある。&lt;/span&gt;</v>
      </c>
      <c r="W1448" s="13" t="str">
        <f>INDEX($L:$L, MATCH("agenda", $B:$B, 0))</f>
        <v>&lt;span class="w"&gt;&lt;b&gt;【1347.agenda：協議事項, 会議の議題, 予定, 計画, 隠れた意図】&lt;/b&gt;&lt;/span&gt;
&lt;span class="ml"&gt;ラテン語agere（行う, 駆り立てる）から派生したagendus（行われるべき）に由来する。
&lt;span class="spacer"&gt;&lt;/span&gt;この語の核は「行われるべき事柄」。会議で行われるべきことなら「協議事項, 会議の議題」という意味に、個人や組織の行われるべきことなら「予定・計画」という意味に、表に出ていない行われるべきことなら「隠れた意図」という意味になる。
&lt;span class="spacer"&gt;&lt;/span&gt;イメージとしてはto-do list（やるべきことリスト）やplan（計画）に近い。
&lt;div class="sample_image agenda"&gt;&lt;/div&gt;
&lt;span class="spacer"&gt;&lt;/span&gt;ラテン語agereからは、act（行動する）やagent（代理人, 行為者）なども生まれている。actは行うという行為、agentは行う人、agendaは行うべきことの協議リストを指す。&lt;/span&gt;</v>
      </c>
      <c r="X1448" s="13" t="str">
        <f>INDEX($L:$L, MATCH("ambiguous", $B:$B, 0))</f>
        <v>&lt;span class="w"&gt;&lt;b&gt;【1386.ambiguous：あいまいな, 多義的な】&lt;/b&gt;&lt;/span&gt;
&lt;span class="ml"&gt;ラテン語に由来する語で、以下の3つの要素から成る。
&lt;span class="spacer"&gt;&lt;/span&gt;ambi（～の周りに）
agere（駆り立てる, 行う）
us（形容詞化）
&lt;span class="spacer"&gt;&lt;/span&gt;もともとは、あちこち行き来するというような動きや、どちらにも決められず心が揺れ動く状態を表した。このような、どちらの方向にも動けて方向が定まらない、心がふらふらして一つの場所に定まらないという本来のイメージから転じて、言葉や態度がはっきりひとつの意味に定まらず「あいまいな, 多義的な」という意味になった。
&lt;div class="sample_image ambiguous"&gt;&lt;/div&gt;&lt;/span&gt;</v>
      </c>
      <c r="AU1448" s="15"/>
      <c r="AV1448" s="1" t="s">
        <v>38</v>
      </c>
      <c r="BG1448" s="7" t="s">
        <v>1242</v>
      </c>
      <c r="BH1448" s="1" t="s">
        <v>1947</v>
      </c>
      <c r="BI1448" s="2" t="s">
        <v>6948</v>
      </c>
      <c r="BJ1448" s="1" t="s">
        <v>2036</v>
      </c>
      <c r="BK1448" s="2" t="s">
        <v>6949</v>
      </c>
      <c r="BL1448" s="1" t="s">
        <v>1959</v>
      </c>
      <c r="BM1448" s="1" t="s">
        <v>6950</v>
      </c>
      <c r="BN1448" s="1" t="s">
        <v>1875</v>
      </c>
      <c r="BO1448" s="2" t="s">
        <v>6951</v>
      </c>
      <c r="BP1448" s="1" t="s">
        <v>1877</v>
      </c>
      <c r="BQ1448" s="2" t="s">
        <v>6952</v>
      </c>
    </row>
    <row r="1449" spans="1:69" ht="198" x14ac:dyDescent="0.45">
      <c r="A1449" s="5">
        <v>1448</v>
      </c>
      <c r="B1449" s="6" t="s">
        <v>1184</v>
      </c>
      <c r="C1449" s="6" t="s">
        <v>6850</v>
      </c>
      <c r="D1449" s="7" t="s">
        <v>9752</v>
      </c>
      <c r="E1449" s="1" t="s">
        <v>6953</v>
      </c>
      <c r="F1449" s="1" t="s">
        <v>1584</v>
      </c>
      <c r="G1449" s="1"/>
      <c r="J1449" s="1" t="s">
        <v>9753</v>
      </c>
      <c r="L1449" s="2" t="s">
        <v>9956</v>
      </c>
      <c r="M1449" s="1" t="s">
        <v>12219</v>
      </c>
      <c r="P1449" s="7" t="s">
        <v>1241</v>
      </c>
      <c r="Q1449" s="13" t="str">
        <f>INDEX($L:$L, MATCH("mutual", $B:$B, 0))</f>
        <v>&lt;span class="w"&gt;&lt;b&gt;【983.mutual：相互の, 共通の】&lt;/b&gt;&lt;/span&gt;
&lt;span class="ml"&gt;印欧祖語*mei-（変える, 交換）に由来する。
&lt;span class="spacer"&gt;&lt;/span&gt;この語の核は「あるものと別のものを交換する」。交換という双方向のやりとりから「相互の, 共通の」という意味になった。
&lt;span class="spacer"&gt;&lt;/span&gt;双方向の情報交換を意味するcommunicate（意思疎通する）のmu部分も同じ印欧祖語に遡る。&lt;/span&gt;</v>
      </c>
      <c r="R1449" s="13" t="str">
        <f>INDEX($L:$L, MATCH("commute", $B:$B, 0))</f>
        <v>&lt;span class="w"&gt;&lt;b&gt;【1132.commute：通勤・通学する】&lt;/b&gt;&lt;/span&gt;
&lt;span class="ml"&gt;ラテン語に由来する語で、以下の2つの要素から成る。
&lt;span class="spacer"&gt;&lt;/span&gt;com（強意）
mutare（変える）
&lt;span class="spacer"&gt;&lt;/span&gt;もともとは、何かと何かを交換することを表した。19世紀のアメリカにおいて、毎日鉄道に乗る乗客のために、一定期間の運賃を一括で先払いする代わりに割引価格で乗車できるcommutation ticket（定期券：毎日の運賃支払いを一括に"交換"した切符）が発売された。
&lt;span class="spacer"&gt;&lt;/span&gt;この切符を利用する人々はcommuter（定期券通勤者）と呼ばれるようになり、やがてその移動行為自体をcommuteと呼ぶようになった。
&lt;span class="spacer"&gt;&lt;/span&gt;そうして交換するという行為から、都度支払いを一括払いに交換した定期券を経て、「通勤する, 通学する」という意味になった。
&lt;span class="spacer"&gt;&lt;/span&gt;覚えるだけなら、commuteは家と職場や学校との交換＝移動というイメージでもよい。
&lt;div class="sample_image commute"&gt;&lt;/div&gt;&lt;/span&gt;</v>
      </c>
      <c r="AU1449" s="15"/>
      <c r="AV1449" s="1" t="s">
        <v>38</v>
      </c>
      <c r="BG1449" s="7" t="s">
        <v>1242</v>
      </c>
      <c r="BH1449" s="1" t="s">
        <v>1976</v>
      </c>
      <c r="BI1449" s="2" t="s">
        <v>6954</v>
      </c>
      <c r="BJ1449" s="1" t="s">
        <v>4019</v>
      </c>
      <c r="BK1449" s="2" t="s">
        <v>6955</v>
      </c>
      <c r="BL1449" s="1" t="s">
        <v>1959</v>
      </c>
      <c r="BM1449" s="2" t="s">
        <v>6956</v>
      </c>
      <c r="BN1449" s="1" t="s">
        <v>1875</v>
      </c>
      <c r="BO1449" s="2" t="s">
        <v>6957</v>
      </c>
      <c r="BP1449" s="1" t="s">
        <v>1877</v>
      </c>
      <c r="BQ1449" s="2" t="s">
        <v>6958</v>
      </c>
    </row>
    <row r="1450" spans="1:69" ht="324" x14ac:dyDescent="0.45">
      <c r="A1450" s="5">
        <v>1449</v>
      </c>
      <c r="B1450" s="6" t="s">
        <v>1185</v>
      </c>
      <c r="C1450" s="6" t="s">
        <v>6850</v>
      </c>
      <c r="D1450" s="7" t="s">
        <v>9752</v>
      </c>
      <c r="E1450" s="1" t="s">
        <v>1185</v>
      </c>
      <c r="F1450" s="1"/>
      <c r="G1450" s="1"/>
      <c r="J1450" s="1" t="s">
        <v>9753</v>
      </c>
      <c r="L1450" s="2" t="s">
        <v>9962</v>
      </c>
      <c r="P1450" s="7" t="s">
        <v>1241</v>
      </c>
      <c r="AV1450" s="1" t="s">
        <v>38</v>
      </c>
      <c r="BG1450" s="7" t="s">
        <v>1242</v>
      </c>
      <c r="BH1450" s="1" t="s">
        <v>1872</v>
      </c>
      <c r="BI1450" s="1" t="s">
        <v>6959</v>
      </c>
      <c r="BJ1450" s="1" t="s">
        <v>1875</v>
      </c>
      <c r="BK1450" s="2" t="s">
        <v>6960</v>
      </c>
      <c r="BL1450" s="1" t="s">
        <v>1877</v>
      </c>
      <c r="BM1450" s="2" t="s">
        <v>6961</v>
      </c>
    </row>
    <row r="1451" spans="1:69" ht="234" x14ac:dyDescent="0.45">
      <c r="A1451" s="5">
        <v>1450</v>
      </c>
      <c r="B1451" s="8" t="s">
        <v>1186</v>
      </c>
      <c r="C1451" s="6" t="s">
        <v>6850</v>
      </c>
      <c r="D1451" s="7" t="s">
        <v>9752</v>
      </c>
      <c r="E1451" s="1" t="s">
        <v>1467</v>
      </c>
      <c r="F1451" s="1" t="s">
        <v>597</v>
      </c>
      <c r="G1451" s="1"/>
      <c r="J1451" s="1" t="s">
        <v>9753</v>
      </c>
      <c r="L1451" s="3" t="s">
        <v>9957</v>
      </c>
      <c r="M1451" s="1" t="s">
        <v>12144</v>
      </c>
      <c r="P1451" s="7" t="s">
        <v>1241</v>
      </c>
      <c r="Q1451" s="13" t="str">
        <f>INDEX($L:$L, MATCH("patient", $B:$B, 0))</f>
        <v>&lt;span class="w"&gt;&lt;b&gt;【89.patient：忍耐強い】&lt;/b&gt;&lt;/span&gt;
&lt;span class="ml"&gt;ラテン語pati（耐える, 受ける）に由来する。
&lt;span class="spacer"&gt;&lt;/span&gt;「耐える」から、じっと耐えて「忍耐強い」という意味になる。
&lt;span class="spacer"&gt;&lt;/span&gt;ptientは名詞で「患者」という意味もある。これは病気や治療に耐えるというイメージ。&lt;/span&gt;</v>
      </c>
      <c r="R1451" s="13" t="str">
        <f>INDEX($L:$L, MATCH("passive", $B:$B, 0))</f>
        <v>&lt;span class="w"&gt;&lt;b&gt;【990.passive：受動的な, 消極的な】&lt;/b&gt;&lt;/span&gt;
&lt;span class="ml"&gt;ラテン語に由来する語で、以下の2つの要素から成る。
&lt;span class="spacer"&gt;&lt;/span&gt;pati（苦しむ, 耐える）
ivus（形容詞化）
&lt;span class="spacer"&gt;&lt;/span&gt;この語の核は「外部から苦痛や困難を受ける」。これはpassion（情熱）やpatient（忍耐強い, 患者）といった語にも共通しており、自らの主体的行為ではなく、外部から何かを受けることを表す。そこから「受動的な」という意味になり、さらに積極的ではないため「消極的な」という意味になった。&lt;/span&gt;</v>
      </c>
      <c r="S1451" s="13" t="str">
        <f>INDEX($L:$L, MATCH("passion", $B:$B, 0))</f>
        <v>&lt;span class="w"&gt;&lt;b&gt;【841.passion：情熱, 激怒】&lt;/b&gt;&lt;/span&gt;
&lt;span class="ml"&gt;ラテン語に由来する語で、以下の2つの要素から成る。
&lt;span class="spacer"&gt;&lt;/span&gt;pati（耐える, 受ける, 経験する）
io（名詞化）
&lt;span class="spacer"&gt;&lt;/span&gt;このまま日本語にすると「受けること, 耐えること」となる。この語の核は、自分の意思で行うのではなく、外部から何かを受けるということ。この核となる意味は、patient（患者, 忍耐強い）やpassive（受動的な）にも残っている。
&lt;span class="spacer"&gt;&lt;/span&gt;このラテン語は、理性によるコントロールが効かないほど人を突き動かす、非常に強い感情を表すギリシャ語pathosの翻訳語として使われるようになった。感情というのは、自らの意思で引き起こすものではなく、外部からの刺激によって生じる受動的なものだからである。そこから単なる感情ではなく、強い感情を表す「情熱, 激怒」という意味になった。&lt;/span&gt;</v>
      </c>
      <c r="AU1451" s="15"/>
      <c r="AV1451" s="1" t="s">
        <v>38</v>
      </c>
      <c r="BG1451" s="7" t="s">
        <v>1242</v>
      </c>
      <c r="BH1451" s="1" t="s">
        <v>1947</v>
      </c>
      <c r="BI1451" s="2" t="s">
        <v>6962</v>
      </c>
      <c r="BJ1451" s="1" t="s">
        <v>2036</v>
      </c>
      <c r="BK1451" s="2" t="s">
        <v>6963</v>
      </c>
      <c r="BL1451" s="1" t="s">
        <v>1959</v>
      </c>
      <c r="BM1451" s="2" t="s">
        <v>6964</v>
      </c>
      <c r="BN1451" s="1" t="s">
        <v>1875</v>
      </c>
      <c r="BO1451" s="2" t="s">
        <v>6965</v>
      </c>
    </row>
    <row r="1452" spans="1:69" ht="162" x14ac:dyDescent="0.45">
      <c r="A1452" s="5">
        <v>1451</v>
      </c>
      <c r="B1452" s="8" t="s">
        <v>1187</v>
      </c>
      <c r="C1452" s="6" t="s">
        <v>6850</v>
      </c>
      <c r="D1452" s="7" t="s">
        <v>9752</v>
      </c>
      <c r="E1452" s="1" t="s">
        <v>5812</v>
      </c>
      <c r="F1452" s="1" t="s">
        <v>1525</v>
      </c>
      <c r="G1452" s="1"/>
      <c r="J1452" s="1" t="s">
        <v>9753</v>
      </c>
      <c r="K1452" s="1" t="s">
        <v>6966</v>
      </c>
      <c r="L1452" s="2" t="s">
        <v>9963</v>
      </c>
      <c r="M1452" s="1" t="s">
        <v>12172</v>
      </c>
      <c r="P1452" s="7" t="s">
        <v>1241</v>
      </c>
      <c r="Q1452" s="13" t="str">
        <f>INDEX($L:$L, MATCH("pose", $B:$B, 0))</f>
        <v>&lt;span class="w"&gt;&lt;b&gt;【804.pose：（危険）を引き起こす, （問題など）を提起する, ポーズをとる, 装う】&lt;/b&gt;&lt;/span&gt;
&lt;span class="ml"&gt;ラテン語に由来する語で、以下の2つの要素から成る。
&lt;span class="spacer"&gt;&lt;/span&gt;pausere（止まる, 休む, 休ませる）
ponere（置く）
&lt;span class="spacer"&gt;&lt;/span&gt;この語の核は「何かを置く」。問題や危険を置くことから「問題を提起する, 危険を引き起こす」という意味になる。またある態度や性格に身を置くことから、態度や性格を「装う」、またモデルなどが「ポーズをとる」という意味になる。
&lt;span class="spacer"&gt;&lt;/span&gt;poseの目的語にくるものを「置く」ことから文に合った訳を考えればよい。
&lt;div class="sample_image pose"&gt;&lt;/div&gt;&lt;/span&gt;</v>
      </c>
      <c r="R1452" s="13" t="str">
        <f>INDEX($L:$L, MATCH("expose", $B:$B, 0))</f>
        <v>&lt;span class="w"&gt;&lt;b&gt;【433.expose：～をさらす, 〜を暴露する】&lt;/b&gt;&lt;/span&gt;
&lt;span class="ml"&gt;ラテン語に由来する語で、以下の2つの要素から成る。
&lt;span class="spacer"&gt;&lt;/span&gt;ex（外に）
ponere（置く）
&lt;span class="spacer"&gt;&lt;/span&gt;このまま日本語にすると「外に置く」となる。これは、内側にあるものを外側に置くイメージ。そこから何かを「さらす, 暴露する」という意味になる。
&lt;div class="sample_image expose"&gt;&lt;/div&gt;&lt;/span&gt;</v>
      </c>
      <c r="S1452" s="13" t="str">
        <f>INDEX($L:$L, MATCH("impose", $B:$B, 0))</f>
        <v>&lt;span class="w"&gt;&lt;b&gt;【826.impose：〜を課す, 〜を押し付ける】&lt;/b&gt;&lt;/span&gt;
&lt;span class="ml"&gt;古フランス語に由来する語で、以下の2つの要素から成る。
&lt;span class="spacer"&gt;&lt;/span&gt;in（中に）
poser（置く）
&lt;span class="spacer"&gt;&lt;/span&gt;このまま日本語にすると「中に置く」となる。相手の領域の中に押し込んで置くイメージから、対象に何かを「押し付ける, 課す」という意味になる。
&lt;div class="sample_image impose"&gt;&lt;/div&gt;&lt;/span&gt;</v>
      </c>
      <c r="T1452" s="13" t="str">
        <f>INDEX($L:$L, MATCH("propose", $B:$B, 0))</f>
        <v>&lt;span class="w"&gt;&lt;b&gt;【436.propose：〜を提案する】&lt;/b&gt;&lt;/span&gt;
&lt;span class="ml"&gt;ラテン語に由来する語で、以下の2つの要素から成る。
&lt;span class="spacer"&gt;&lt;/span&gt;pro（前へ）
ponere（置く）
&lt;span class="spacer"&gt;&lt;/span&gt;このまま日本語にすると「前に置く」となる。意見や考えを相手の前に置くイメージから「提案する」という意味になる。&lt;/span&gt;</v>
      </c>
      <c r="U1452" s="13" t="str">
        <f>INDEX($L:$L, MATCH("oppose", $B:$B, 0))</f>
        <v>&lt;span class="w"&gt;&lt;b&gt;【513.oppose：〜に反対する, 〜を対抗させる】&lt;/b&gt;&lt;/span&gt;
&lt;span class="ml"&gt;ラテン語に由来する語で、以下の2つの要素から成る。
&lt;span class="spacer"&gt;&lt;/span&gt;ob（〜に対して）
ponere（置く）
&lt;span class="spacer"&gt;&lt;/span&gt;このまま日本語にすると「～に対して置く」となる。相手に対して自分を置く、つまり相手と自分が向かい合うように置くイメージから「反対する, 対抗させる」という意味になる。
&lt;div class="sample_image oppose"&gt;&lt;/div&gt;&lt;/span&gt;</v>
      </c>
      <c r="V1452" s="13" t="str">
        <f>INDEX($L:$L, MATCH("dispose", $B:$B, 0))</f>
        <v>&lt;span class="w"&gt;&lt;b&gt;【1435.dispose：（of ~）〜を処分する, （dispose ~ to do）〜する気にさせる】&lt;/b&gt;&lt;/span&gt;
&lt;span class="ml"&gt;ラテン語に由来する語で、以下の2つの要素から成る。
&lt;span class="spacer"&gt;&lt;/span&gt;dis（離れて）
ponere（置く）
&lt;span class="spacer"&gt;&lt;/span&gt;このまま日本語にすると「離して置く」となるが、この語の核は「ごちゃごちゃしたものをそれぞれ離して整理し、あるべき位置へ置く」イメージ。
&lt;span class="spacer"&gt;&lt;/span&gt;不要なもの・問題などを整理して、それがあるべき場所へ置くことから「処分する」という意味になる。
&lt;span class="spacer"&gt;&lt;/span&gt;また相手の気持ちを整理して進むべき方向へ置くことから「何かをする気にさせる」となる。
&lt;span class="spacer"&gt;&lt;/span&gt;dispose 人 to do
人 be disposed to do
&lt;div class="sample_image dispose"&gt;&lt;/div&gt;&lt;/span&gt;</v>
      </c>
      <c r="W1452" s="13" t="str">
        <f>INDEX($L:$L, MATCH("compose", $B:$B, 0))</f>
        <v>&lt;span class="w"&gt;&lt;b&gt;【833.compose：～を構成する, ～を創作する】&lt;/b&gt;&lt;/span&gt;
&lt;span class="ml"&gt;ラテン語に由来する語で、以下の2つの要素から成る。
&lt;span class="spacer"&gt;&lt;/span&gt;com（共に）
ponere（置く）
&lt;span class="spacer"&gt;&lt;/span&gt;このまま日本語にすると「共に置く」となる。2つ以上のものを一緒に置いて全体を形作ることから、構成要素となって全体を作り上げる＝「構成する, 創作する」という意味になる。
&lt;div class="sample_image compose"&gt;&lt;/div&gt;&lt;/span&gt;</v>
      </c>
      <c r="X1452" s="13" t="str">
        <f>INDEX($L:$L, MATCH("suppose", $B:$B, 0))</f>
        <v>&lt;span class="w"&gt;&lt;b&gt;【121.suppose：～と仮定する, と思う】&lt;/b&gt;&lt;/span&gt;
&lt;span class="ml"&gt;ラテン語に由来する語で、以下の2つの要素から成る。
&lt;span class="spacer"&gt;&lt;/span&gt;sub（下に）
ponere（置く）
&lt;span class="spacer"&gt;&lt;/span&gt;このまま日本語にすると「下に置く」となる。思考において、何かを既にあるものとして土台に置くイメージから、何かを前提として置く＝「仮定する」という意味になる。
&lt;span class="spacer"&gt;&lt;/span&gt;また、前提に置いておく（仮定する）ほど強く言えない場合、控え目な推測となって「〜と思う」という意味になる。
&lt;div class="sample_image suppose"&gt;&lt;/div&gt;
&lt;span class="spacer"&gt;&lt;/span&gt;supposeを「前提に置く」というイメージで覚えておけば、be supposed to do A（Aすることになっている）は、要は「Aするということが前提として置かれている」だけだと理解できる。&lt;/span&gt;</v>
      </c>
      <c r="Y1452" s="13" t="str">
        <f>INDEX($L:$L, MATCH("positive", $B:$B, 0))</f>
        <v>&lt;span class="w"&gt;&lt;b&gt;【179.positive：肯定的な, 確信して, （検査で）陽性の】&lt;/b&gt;&lt;/span&gt;
&lt;span class="ml"&gt;ラテン語に由来する語で、以下の2つの要素から成る。
&lt;span class="spacer"&gt;&lt;/span&gt;ponere（置く）の過去分詞positus（置かれる）
ivus（形容詞化）
&lt;span class="spacer"&gt;&lt;/span&gt;もともとは法律用語。法や権威あるものによって置かれる、つまり法や権威によって定められて否定のしようがないという意味で使われた。ここから「肯定的な, 確信して, 陽性の」という意味になる。&lt;/span&gt;</v>
      </c>
      <c r="Z1452" s="13" t="str">
        <f>INDEX($L:$L, MATCH("deposit", $B:$B, 0))</f>
        <v>&lt;span class="w"&gt;&lt;b&gt;【1315.deposit：〜を置く, 〜を預ける】&lt;/b&gt;&lt;/span&gt;
&lt;span class="ml"&gt;ラテン語に由来する語で、以下の2つの要素から成る。
&lt;span class="spacer"&gt;&lt;/span&gt;de（離れて, 下に）
ponere（置く）
&lt;span class="spacer"&gt;&lt;/span&gt;このまま日本語にすると「離れて置く, 下に置く」となる。物理的に何かを「置く」という意味もあるが、金銭や貴重品を離れた場所に「預ける」という意味にもなる。
&lt;span class="spacer"&gt;&lt;/span&gt;depositのposit部分は、positionと同じなので、そこから「置く」というイメージ持っておくとよい。
&lt;div class="sample_image deposit"&gt;&lt;/div&gt;&lt;/span&gt;</v>
      </c>
      <c r="AA1452" s="13" t="str">
        <f>INDEX($L:$L, MATCH("compound", $B:$B, 0))</f>
        <v>&lt;span class="w"&gt;&lt;b&gt;【1129.compound：〜を悪化させる, 〜を合成する, 〜を混合する】&lt;/b&gt;&lt;/span&gt;
&lt;span class="ml"&gt;ラテン語に由来する語で、以下の2つの要素から成る。
&lt;span class="spacer"&gt;&lt;/span&gt;com（共に）
ponere（置く）
&lt;span class="spacer"&gt;&lt;/span&gt;このまま日本語にすると「共に置く」となる。複数のものを一緒にすることから、何かを「合成する, 混合する, 調合する」といった意味になる。さらに、問題や困難などがどんどん一緒に置かれて積もっていくことから、状況や問題などを「悪化させる」という意味にもなる。
&lt;div class="sample_image compound"&gt;&lt;/div&gt;&lt;/span&gt;</v>
      </c>
      <c r="AB1452" s="13" t="str">
        <f>INDEX($L:$L, MATCH("postpone", $B:$B, 0))</f>
        <v>&lt;span class="w"&gt;&lt;b&gt;【1134.postpone：〜を延期する】&lt;/b&gt;&lt;/span&gt;
&lt;span class="ml"&gt;ラテン語に由来する語で、以下の2つの要素から成る。
&lt;span class="spacer"&gt;&lt;/span&gt;post（後に）
ponere（置く）
&lt;span class="spacer"&gt;&lt;/span&gt;このまま日本語にすると「後に置く」となる。予定や物事を時間的に後に置くことから「延期する」という意味になる。&lt;/span&gt;
&lt;div class="animation postpone"&gt;&lt;/div&gt;</v>
      </c>
      <c r="AC1452" s="13" t="str">
        <f>INDEX($L:$L, MATCH("component", $B:$B, 0))</f>
        <v>&lt;span class="w"&gt;&lt;b&gt;【677.component：構成要素, 部品】&lt;/b&gt;&lt;/span&gt;
&lt;span class="ml"&gt;ラテン語に由来する語で、以下の2つの要素から成る。
&lt;span class="spacer"&gt;&lt;/span&gt;com（共に）
ponere（置く）
&lt;span class="spacer"&gt;&lt;/span&gt;このまま日本語にすると「共に置く」となる。いくつかの部分を一緒に置くことで全体が構成されることから、全体の「構成要素, 部品」という意味になる。
&lt;div class="sample_image component"&gt;&lt;/div&gt;&lt;/span&gt;</v>
      </c>
      <c r="AD1452" s="13" t="str">
        <f>INDEX($L:$L, MATCH("opponent", $B:$B, 0))</f>
        <v>&lt;span class="w"&gt;&lt;b&gt;【762.opponent：（試合や論争などの）相手, 反対者】&lt;/b&gt;&lt;/span&gt;
&lt;span class="ml"&gt;ラテン語に由来する語で、以下の3つの要素から成る。
&lt;span class="spacer"&gt;&lt;/span&gt;ob（前に, 対して）
ponere（置く）
ens（現在分詞を作る：〜しているもの）
&lt;span class="spacer"&gt;&lt;/span&gt;この語の核は「何かに対立する位置に置いてあるもの」。ここから「対戦相手, 反対者」という意味になる。
&lt;div class="sample_image opponent"&gt;&lt;/div&gt;&lt;/span&gt;</v>
      </c>
      <c r="AE1452" s="13" t="str">
        <f>INDEX($L:$L, MATCH("puzzle", $B:$B, 0))</f>
        <v>&lt;span class="w"&gt;&lt;b&gt;【624.puzzle：〜を当惑させる, 〜を困惑させる】&lt;/b&gt;&lt;/span&gt;
&lt;span class="ml"&gt;近代英語pose（難しい問題や質問で当惑させる）にさかのぼる。
&lt;span class="spacer"&gt;&lt;/span&gt;この語はパズルのように「頭に引っかかって前に進めない状態にする」というイメージ。ここから「当惑させる, 困惑させる」という意味になる。
&lt;span class="spacer"&gt;&lt;/span&gt;もともとはposeという形だったが、反復・継続を表すpuzzleという形になった。これにより困惑や当惑が反復・継続している状態、つまり頭の中がぐるぐる回るような状態を表した。&lt;/span&gt;</v>
      </c>
      <c r="AU1452" s="15"/>
      <c r="AV1452" s="1" t="s">
        <v>38</v>
      </c>
      <c r="BG1452" s="7" t="s">
        <v>1242</v>
      </c>
      <c r="BH1452" s="1" t="s">
        <v>1947</v>
      </c>
      <c r="BI1452" s="2" t="s">
        <v>6967</v>
      </c>
      <c r="BJ1452" s="1" t="s">
        <v>1994</v>
      </c>
      <c r="BK1452" s="1" t="s">
        <v>6968</v>
      </c>
      <c r="BL1452" s="1" t="s">
        <v>1996</v>
      </c>
      <c r="BM1452" s="2" t="s">
        <v>6969</v>
      </c>
      <c r="BN1452" s="1" t="s">
        <v>1877</v>
      </c>
      <c r="BO1452" s="2" t="s">
        <v>6970</v>
      </c>
    </row>
    <row r="1453" spans="1:69" ht="126" x14ac:dyDescent="0.45">
      <c r="A1453" s="5">
        <v>1452</v>
      </c>
      <c r="B1453" s="6" t="s">
        <v>1188</v>
      </c>
      <c r="C1453" s="6" t="s">
        <v>6850</v>
      </c>
      <c r="D1453" s="7" t="s">
        <v>9752</v>
      </c>
      <c r="E1453" s="6" t="s">
        <v>1188</v>
      </c>
      <c r="F1453" s="1"/>
      <c r="G1453" s="1"/>
      <c r="J1453" s="1" t="s">
        <v>9753</v>
      </c>
      <c r="L1453" s="2" t="s">
        <v>9964</v>
      </c>
      <c r="P1453" s="7" t="s">
        <v>1241</v>
      </c>
      <c r="AV1453" s="1" t="s">
        <v>38</v>
      </c>
      <c r="BG1453" s="7" t="s">
        <v>1242</v>
      </c>
      <c r="BH1453" s="1" t="s">
        <v>1872</v>
      </c>
      <c r="BI1453" s="1" t="s">
        <v>6971</v>
      </c>
      <c r="BJ1453" s="1" t="s">
        <v>1875</v>
      </c>
      <c r="BK1453" s="2" t="s">
        <v>6972</v>
      </c>
    </row>
    <row r="1454" spans="1:69" ht="126" x14ac:dyDescent="0.45">
      <c r="A1454" s="5">
        <v>1453</v>
      </c>
      <c r="B1454" s="6" t="s">
        <v>1189</v>
      </c>
      <c r="C1454" s="6" t="s">
        <v>6850</v>
      </c>
      <c r="D1454" s="7" t="s">
        <v>9752</v>
      </c>
      <c r="E1454" s="1" t="s">
        <v>6973</v>
      </c>
      <c r="F1454" s="1" t="s">
        <v>49</v>
      </c>
      <c r="G1454" s="1"/>
      <c r="J1454" s="1" t="s">
        <v>9753</v>
      </c>
      <c r="L1454" s="2" t="s">
        <v>9965</v>
      </c>
      <c r="P1454" s="7" t="s">
        <v>1241</v>
      </c>
      <c r="AV1454" s="1" t="s">
        <v>38</v>
      </c>
      <c r="BG1454" s="7" t="s">
        <v>1242</v>
      </c>
      <c r="BH1454" s="1" t="s">
        <v>1947</v>
      </c>
      <c r="BI1454" s="1" t="s">
        <v>6974</v>
      </c>
      <c r="BJ1454" s="1" t="s">
        <v>2036</v>
      </c>
      <c r="BK1454" s="2" t="s">
        <v>6975</v>
      </c>
      <c r="BL1454" s="1" t="s">
        <v>1967</v>
      </c>
      <c r="BM1454" s="1" t="s">
        <v>6976</v>
      </c>
      <c r="BN1454" s="1" t="s">
        <v>1875</v>
      </c>
      <c r="BO1454" s="2" t="s">
        <v>6977</v>
      </c>
      <c r="BP1454" s="1" t="s">
        <v>1877</v>
      </c>
      <c r="BQ1454" s="2" t="s">
        <v>6978</v>
      </c>
    </row>
    <row r="1455" spans="1:69" ht="144" x14ac:dyDescent="0.45">
      <c r="A1455" s="5">
        <v>1454</v>
      </c>
      <c r="B1455" s="6" t="s">
        <v>1190</v>
      </c>
      <c r="C1455" s="6" t="s">
        <v>6850</v>
      </c>
      <c r="D1455" s="7" t="s">
        <v>9752</v>
      </c>
      <c r="E1455" s="6" t="s">
        <v>1190</v>
      </c>
      <c r="F1455" s="1"/>
      <c r="G1455" s="1"/>
      <c r="J1455" s="1" t="s">
        <v>9753</v>
      </c>
      <c r="L1455" s="2" t="s">
        <v>9966</v>
      </c>
      <c r="P1455" s="7" t="s">
        <v>1241</v>
      </c>
      <c r="AU1455" s="15"/>
      <c r="AV1455" s="1" t="s">
        <v>38</v>
      </c>
      <c r="BG1455" s="7" t="s">
        <v>1242</v>
      </c>
      <c r="BH1455" s="1" t="s">
        <v>1947</v>
      </c>
      <c r="BI1455" s="2" t="s">
        <v>6979</v>
      </c>
      <c r="BJ1455" s="1" t="s">
        <v>1877</v>
      </c>
      <c r="BK1455" s="2" t="s">
        <v>6980</v>
      </c>
    </row>
    <row r="1456" spans="1:69" ht="288" x14ac:dyDescent="0.45">
      <c r="A1456" s="5">
        <v>1455</v>
      </c>
      <c r="B1456" s="6" t="s">
        <v>1191</v>
      </c>
      <c r="C1456" s="6" t="s">
        <v>6850</v>
      </c>
      <c r="D1456" s="7" t="s">
        <v>9752</v>
      </c>
      <c r="E1456" s="1" t="s">
        <v>1447</v>
      </c>
      <c r="F1456" s="1" t="s">
        <v>6981</v>
      </c>
      <c r="G1456" s="1" t="s">
        <v>6982</v>
      </c>
      <c r="J1456" s="1" t="s">
        <v>9753</v>
      </c>
      <c r="K1456" s="2" t="s">
        <v>9967</v>
      </c>
      <c r="L1456" s="3" t="s">
        <v>9968</v>
      </c>
      <c r="P1456" s="7" t="s">
        <v>1241</v>
      </c>
      <c r="AU1456" s="15"/>
      <c r="AV1456" s="1" t="s">
        <v>38</v>
      </c>
      <c r="BG1456" s="7" t="s">
        <v>1242</v>
      </c>
      <c r="BH1456" s="1" t="s">
        <v>2458</v>
      </c>
      <c r="BI1456" s="2" t="s">
        <v>9969</v>
      </c>
      <c r="BJ1456" s="1" t="s">
        <v>3408</v>
      </c>
      <c r="BK1456" s="2" t="s">
        <v>9970</v>
      </c>
      <c r="BL1456" s="1" t="s">
        <v>1877</v>
      </c>
      <c r="BM1456" s="2" t="s">
        <v>6983</v>
      </c>
    </row>
    <row r="1457" spans="1:71" ht="162" x14ac:dyDescent="0.45">
      <c r="A1457" s="5">
        <v>1456</v>
      </c>
      <c r="B1457" s="8" t="s">
        <v>1192</v>
      </c>
      <c r="C1457" s="6" t="s">
        <v>6850</v>
      </c>
      <c r="D1457" s="7" t="s">
        <v>9752</v>
      </c>
      <c r="E1457" s="1" t="s">
        <v>6984</v>
      </c>
      <c r="F1457" s="1" t="s">
        <v>49</v>
      </c>
      <c r="G1457" s="1"/>
      <c r="J1457" s="1" t="s">
        <v>9753</v>
      </c>
      <c r="K1457" s="2"/>
      <c r="L1457" s="3" t="s">
        <v>9971</v>
      </c>
      <c r="P1457" s="7" t="s">
        <v>1241</v>
      </c>
      <c r="Q1457" s="13" t="str">
        <f>INDEX($L:$L, MATCH("create", $B:$B, 0))</f>
        <v>&lt;span class="w"&gt;&lt;b&gt;【1.create：～を創造する, ～を引き起こす】&lt;/b&gt;&lt;/span&gt;
&lt;span class="ml"&gt;ラテン語creare（作る, 育てる, 生産する, 引き起こす）に由来する。
&lt;span class="spacer"&gt;&lt;/span&gt;ラテン語から意味の変化はほとんどなく、createは「何かを作り出す, 何かを引き起こす」という意味になる。&lt;/span&gt;</v>
      </c>
      <c r="R1457" s="13" t="str">
        <f>INDEX($L:$L, MATCH("increase", $B:$B, 0))</f>
        <v>&lt;span class="w"&gt;&lt;b&gt;【2.increase：増加する, ～を増やす】&lt;/b&gt;&lt;/span&gt;
&lt;span class="ml"&gt;ラテン語に由来する語で、以下の2つの要素から成る。
&lt;span class="spacer"&gt;&lt;/span&gt;in（中に）
crescere（成長する）
&lt;span class="spacer"&gt;&lt;/span&gt;このまま日本語にすると「中に成長する」となる。これは木の芽（の内部）が膨らんで大きくなっていくことをイメージしてほしい。この成長して膨らんで大きくなっていくことから、大きさや数が膨れあがる＝「増加する, 増やす」という意味になる。
&lt;div class="sample_image increase"&gt;&lt;/div&gt;&lt;/span&gt;</v>
      </c>
      <c r="S1457" s="13" t="str">
        <f>INDEX($L:$L, MATCH("decrease", $B:$B, 0))</f>
        <v>&lt;span class="w"&gt;&lt;b&gt;【223.decrease：減少する, ～を減らす】&lt;/b&gt;&lt;/span&gt;
&lt;span class="ml"&gt;ラテン語に由来する語で、以下の2つの要素から成る。
&lt;span class="spacer"&gt;&lt;/span&gt;de（離れて）
crescere（成長する）
&lt;span class="spacer"&gt;&lt;/span&gt;このまま日本語にすると「成長から離れる」となる。成長せず低下するイメージから「減少する, 減らす」という意味になる。&lt;/span&gt;</v>
      </c>
      <c r="T1457" s="13" t="str">
        <f>INDEX($L:$L, MATCH("concrete", $B:$B, 0))</f>
        <v>&lt;span class="w"&gt;&lt;b&gt;【783.concrete：具体的な】&lt;/b&gt;&lt;/span&gt;
&lt;span class="ml"&gt;ラテン語に由来する語で、以下の2つの要素から成る。
&lt;span class="spacer"&gt;&lt;/span&gt;con（共に）
crescere（成長する）
&lt;span class="spacer"&gt;&lt;/span&gt;このまま日本語にすると「共に成長する」となる。これは、複数のものが一緒に成長して固まるというイメージ。そこから、抽象的ではなく実体がある＝「具体的な」という意味になった。名詞のコンクリートもぎゅっと固まるイメージを表している。
&lt;div class="sample_image concrete"&gt;&lt;/div&gt;&lt;/span&gt;</v>
      </c>
      <c r="U1457" s="13" t="str">
        <f>INDEX($L:$L, MATCH("recruit", $B:$B, 0))</f>
        <v>&lt;span class="w"&gt;&lt;b&gt;【1232.recruit：〜を募集する】&lt;/b&gt;&lt;/span&gt;
&lt;span class="ml"&gt;古フランス語に由来する語で、以下の2つの要素から成る。
&lt;span class="spacer"&gt;&lt;/span&gt;re（再び）
creistre（成長する）
&lt;span class="spacer"&gt;&lt;/span&gt;このまま日本語にすると「再び成長する」となる。もともとは軍事において、負傷したり亡くなったりして人員が減ってしまった部隊を再び成長させるために、新しい兵士を募集することを表した。そこから軍事に限らず一般的に、目的のために必要な人材を「募集する」という意味になった。&lt;/span&gt;</v>
      </c>
      <c r="AU1457" s="15"/>
      <c r="AV1457" s="1" t="s">
        <v>38</v>
      </c>
      <c r="BG1457" s="7" t="s">
        <v>1242</v>
      </c>
      <c r="BH1457" s="1" t="s">
        <v>1947</v>
      </c>
      <c r="BI1457" s="2" t="s">
        <v>6985</v>
      </c>
      <c r="BJ1457" s="1" t="s">
        <v>1996</v>
      </c>
      <c r="BK1457" s="2" t="s">
        <v>6986</v>
      </c>
      <c r="BL1457" s="1" t="s">
        <v>1877</v>
      </c>
      <c r="BM1457" s="2" t="s">
        <v>9972</v>
      </c>
    </row>
    <row r="1458" spans="1:71" ht="234" x14ac:dyDescent="0.45">
      <c r="A1458" s="5">
        <v>1457</v>
      </c>
      <c r="B1458" s="6" t="s">
        <v>1193</v>
      </c>
      <c r="C1458" s="6" t="s">
        <v>6850</v>
      </c>
      <c r="D1458" s="7" t="s">
        <v>9752</v>
      </c>
      <c r="E1458" s="1" t="s">
        <v>6987</v>
      </c>
      <c r="F1458" s="1" t="s">
        <v>1517</v>
      </c>
      <c r="G1458" s="1"/>
      <c r="J1458" s="1" t="s">
        <v>9753</v>
      </c>
      <c r="K1458" s="1" t="s">
        <v>6988</v>
      </c>
      <c r="L1458" s="2" t="s">
        <v>9973</v>
      </c>
      <c r="M1458" s="1" t="s">
        <v>12221</v>
      </c>
      <c r="P1458" s="7" t="s">
        <v>1241</v>
      </c>
      <c r="Q1458" s="13" t="str">
        <f>INDEX($L:$L, MATCH("fraction", $B:$B, 0))</f>
        <v>&lt;span class="w"&gt;&lt;b&gt;【1271.fraction：わずか, 一部, 分数】&lt;/b&gt;&lt;/span&gt;
&lt;span class="ml"&gt;ラテン語に由来する語で、以下の2つの要素から成る。
&lt;span class="spacer"&gt;&lt;/span&gt;frangere（砕く, 壊す）
io（名詞化）
&lt;span class="spacer"&gt;&lt;/span&gt;この語の核は「全体を壊してバラバラになった部分」。そこから、整数を壊して細かくした「分数」や、壊れてバラバラになった「一部, わずか」という意味になる。
&lt;span class="spacer"&gt;&lt;/span&gt;fractionは、break（壊す）と同じ印欧祖語*bhreg-（壊す）にさかのぼる。
frac (tion)
break
f（フ）＋母音＋c（ク）
b（ブ）＋母音＋k（ク）
&lt;span class="spacer"&gt;&lt;/span&gt;現在でも両者は音の類似性を保持している。&lt;/span&gt;</v>
      </c>
      <c r="R1458" s="13" t="str">
        <f>INDEX($L:$L, MATCH("fragile", $B:$B, 0))</f>
        <v>&lt;span class="w"&gt;&lt;b&gt;【1389.fragile：壊れやすい, 虚弱な】&lt;/b&gt;&lt;/span&gt;
&lt;span class="ml"&gt;ラテン語に由来する語で、以下の2つの要素から成る。
&lt;span class="spacer"&gt;&lt;/span&gt;frangere（壊す）
ilis（形容詞化）
&lt;span class="spacer"&gt;&lt;/span&gt;物理的に「壊れやすい」という意味だけではなく、身体的・精神的な崩れやすさから「虚弱な」という意味もある。
&lt;div class="sample_image fragile"&gt;&lt;/div&gt;
&lt;span class="spacer"&gt;&lt;/span&gt;fragileは、break（壊す）と同じ印欧祖語*bhreg-（壊す）にさかのぼる。
frag (ile)
break
f（フ）＋母音＋g（グ）
b（ブ）＋母音＋k（ク）
&lt;span class="spacer"&gt;&lt;/span&gt;現在でも両者は音の類似性を保持している。&lt;/span&gt;</v>
      </c>
      <c r="S1458" s="13" t="str">
        <f>INDEX($L:$L, MATCH("outbreak", $B:$B, 0))</f>
        <v>&lt;span class="w"&gt;&lt;b&gt;【1351.outbreak：発生, 勃発】&lt;/b&gt;&lt;/span&gt;
&lt;span class="ml"&gt;中英語outbreak（閉じ込められた状態から突発的に外へ出る）にさかのぼる。
&lt;span class="spacer"&gt;&lt;/span&gt;内側に閉じ込められていたものが、突然壁を破って出てくるイメージから「発生, 勃発」という意味になる。&lt;/span&gt;</v>
      </c>
      <c r="T1458" s="13" t="str">
        <f>INDEX($L:$L, MATCH("breakthrough", $B:$B, 0))</f>
        <v>&lt;span class="w"&gt;&lt;b&gt;【1462.breakthrough：大発見, 飛躍的進歩】&lt;/b&gt;&lt;/span&gt;
&lt;span class="ml"&gt;中英語にさかのぼり、以下の2つの要素から成る。
&lt;span class="spacer"&gt;&lt;/span&gt;break（壊す）
through（通って）
&lt;span class="spacer"&gt;&lt;/span&gt;この語の核は「障壁を突き破って通り抜けること」。いままで成長や進展を阻み続けた壁を破壊し、通り抜けてさらに先へ進むことから、「大発見, 飛躍的進歩」といった意味になる。
&lt;div class="sample_image breakthrough"&gt;&lt;/div&gt;&lt;/span&gt;</v>
      </c>
      <c r="AU1458" s="15"/>
      <c r="AV1458" s="1" t="s">
        <v>38</v>
      </c>
      <c r="BG1458" s="7" t="s">
        <v>1242</v>
      </c>
      <c r="BH1458" s="1" t="s">
        <v>1947</v>
      </c>
      <c r="BI1458" s="2" t="s">
        <v>6989</v>
      </c>
      <c r="BJ1458" s="1" t="s">
        <v>1875</v>
      </c>
      <c r="BK1458" s="2" t="s">
        <v>6990</v>
      </c>
    </row>
    <row r="1459" spans="1:71" ht="108" x14ac:dyDescent="0.45">
      <c r="A1459" s="5">
        <v>1458</v>
      </c>
      <c r="B1459" s="6" t="s">
        <v>1194</v>
      </c>
      <c r="C1459" s="6" t="s">
        <v>6850</v>
      </c>
      <c r="D1459" s="7" t="s">
        <v>9752</v>
      </c>
      <c r="E1459" s="1" t="s">
        <v>1194</v>
      </c>
      <c r="F1459" s="1"/>
      <c r="G1459" s="1"/>
      <c r="J1459" s="1" t="s">
        <v>9753</v>
      </c>
      <c r="K1459" s="2"/>
      <c r="L1459" s="3" t="s">
        <v>9974</v>
      </c>
      <c r="P1459" s="7" t="s">
        <v>1241</v>
      </c>
      <c r="AU1459" s="15"/>
      <c r="AV1459" s="1" t="s">
        <v>38</v>
      </c>
      <c r="BG1459" s="7" t="s">
        <v>1242</v>
      </c>
      <c r="BH1459" s="1" t="s">
        <v>1875</v>
      </c>
      <c r="BI1459" s="2" t="s">
        <v>6991</v>
      </c>
      <c r="BJ1459" s="1" t="s">
        <v>1877</v>
      </c>
      <c r="BK1459" s="2" t="s">
        <v>6992</v>
      </c>
    </row>
    <row r="1460" spans="1:71" ht="90" x14ac:dyDescent="0.45">
      <c r="A1460" s="5">
        <v>1459</v>
      </c>
      <c r="B1460" s="6" t="s">
        <v>1195</v>
      </c>
      <c r="C1460" s="6" t="s">
        <v>6850</v>
      </c>
      <c r="D1460" s="7" t="s">
        <v>9752</v>
      </c>
      <c r="E1460" s="1" t="s">
        <v>6993</v>
      </c>
      <c r="F1460" s="1" t="s">
        <v>6079</v>
      </c>
      <c r="G1460" s="1"/>
      <c r="J1460" s="1" t="s">
        <v>9753</v>
      </c>
      <c r="K1460" s="2" t="s">
        <v>9975</v>
      </c>
      <c r="L1460" s="2" t="s">
        <v>9976</v>
      </c>
      <c r="P1460" s="7" t="s">
        <v>1241</v>
      </c>
      <c r="AU1460" s="15"/>
      <c r="AV1460" s="1" t="s">
        <v>38</v>
      </c>
      <c r="BG1460" s="7" t="s">
        <v>1242</v>
      </c>
      <c r="BH1460" s="1" t="s">
        <v>1875</v>
      </c>
      <c r="BI1460" s="2" t="s">
        <v>6994</v>
      </c>
      <c r="BJ1460" s="1" t="s">
        <v>1877</v>
      </c>
      <c r="BK1460" s="2" t="s">
        <v>6995</v>
      </c>
    </row>
    <row r="1461" spans="1:71" ht="180" x14ac:dyDescent="0.45">
      <c r="A1461" s="5">
        <v>1460</v>
      </c>
      <c r="B1461" s="8" t="s">
        <v>1196</v>
      </c>
      <c r="C1461" s="6" t="s">
        <v>6850</v>
      </c>
      <c r="D1461" s="7" t="s">
        <v>9752</v>
      </c>
      <c r="E1461" s="1" t="s">
        <v>1196</v>
      </c>
      <c r="F1461" s="1"/>
      <c r="G1461" s="1"/>
      <c r="J1461" s="1" t="s">
        <v>9753</v>
      </c>
      <c r="L1461" s="2" t="s">
        <v>9977</v>
      </c>
      <c r="P1461" s="7" t="s">
        <v>1241</v>
      </c>
      <c r="AV1461" s="1" t="s">
        <v>38</v>
      </c>
      <c r="BG1461" s="7" t="s">
        <v>1242</v>
      </c>
      <c r="BH1461" s="1" t="s">
        <v>1872</v>
      </c>
      <c r="BI1461" s="1" t="s">
        <v>6996</v>
      </c>
      <c r="BJ1461" s="1" t="s">
        <v>1875</v>
      </c>
      <c r="BK1461" s="2" t="s">
        <v>6997</v>
      </c>
    </row>
    <row r="1462" spans="1:71" ht="198" x14ac:dyDescent="0.45">
      <c r="A1462" s="5">
        <v>1461</v>
      </c>
      <c r="B1462" s="6" t="s">
        <v>1197</v>
      </c>
      <c r="C1462" s="6" t="s">
        <v>6850</v>
      </c>
      <c r="D1462" s="7" t="s">
        <v>9752</v>
      </c>
      <c r="E1462" s="1" t="s">
        <v>1660</v>
      </c>
      <c r="F1462" s="1" t="s">
        <v>5364</v>
      </c>
      <c r="G1462" s="1"/>
      <c r="J1462" s="1" t="s">
        <v>9753</v>
      </c>
      <c r="L1462" s="3" t="s">
        <v>9989</v>
      </c>
      <c r="P1462" s="7" t="s">
        <v>1241</v>
      </c>
      <c r="Q1462" s="13" t="str">
        <f>INDEX($L:$L, MATCH("overlook", $B:$B, 0))</f>
        <v>&lt;span class="w"&gt;&lt;b&gt;【1010.overlook：〜を見落とす, 〜を大目に見る, 〜を見渡す】&lt;/b&gt;&lt;/span&gt;
&lt;span class="ml"&gt;中英語にさかのぼる語で、以下の2つの要素から成る。
&lt;span class="spacer"&gt;&lt;/span&gt;over（越えて）
loken（見る）
&lt;span class="spacer"&gt;&lt;/span&gt;このまま日本語にすると「越えて見る」となる。高い位置から色々なものを越えて全体を見ることから「見渡す」という意味になる。
&lt;span class="spacer"&gt;&lt;/span&gt;また対象を飛び越えて見てしまうことから「見落とす」、相手がしたことを意図的に注意せず見落とすことから「大目に見る」という意味にもなる。&lt;/span&gt;</v>
      </c>
      <c r="AU1462" s="15"/>
      <c r="AV1462" s="1" t="s">
        <v>38</v>
      </c>
      <c r="BG1462" s="7" t="s">
        <v>1242</v>
      </c>
      <c r="BH1462" s="1" t="s">
        <v>1877</v>
      </c>
      <c r="BI1462" s="2" t="s">
        <v>6998</v>
      </c>
    </row>
    <row r="1463" spans="1:71" ht="144" x14ac:dyDescent="0.45">
      <c r="A1463" s="5">
        <v>1462</v>
      </c>
      <c r="B1463" s="6" t="s">
        <v>1198</v>
      </c>
      <c r="C1463" s="6" t="s">
        <v>6850</v>
      </c>
      <c r="D1463" s="7" t="s">
        <v>9752</v>
      </c>
      <c r="E1463" s="1" t="s">
        <v>6588</v>
      </c>
      <c r="F1463" s="1" t="s">
        <v>6999</v>
      </c>
      <c r="G1463" s="1"/>
      <c r="J1463" s="1" t="s">
        <v>9753</v>
      </c>
      <c r="L1463" s="3" t="s">
        <v>9978</v>
      </c>
      <c r="P1463" s="7" t="s">
        <v>1241</v>
      </c>
      <c r="Q1463" s="13" t="str">
        <f>INDEX($L:$L, MATCH("fraction", $B:$B, 0))</f>
        <v>&lt;span class="w"&gt;&lt;b&gt;【1271.fraction：わずか, 一部, 分数】&lt;/b&gt;&lt;/span&gt;
&lt;span class="ml"&gt;ラテン語に由来する語で、以下の2つの要素から成る。
&lt;span class="spacer"&gt;&lt;/span&gt;frangere（砕く, 壊す）
io（名詞化）
&lt;span class="spacer"&gt;&lt;/span&gt;この語の核は「全体を壊してバラバラになった部分」。そこから、整数を壊して細かくした「分数」や、壊れてバラバラになった「一部, わずか」という意味になる。
&lt;span class="spacer"&gt;&lt;/span&gt;fractionは、break（壊す）と同じ印欧祖語*bhreg-（壊す）にさかのぼる。
frac (tion)
break
f（フ）＋母音＋c（ク）
b（ブ）＋母音＋k（ク）
&lt;span class="spacer"&gt;&lt;/span&gt;現在でも両者は音の類似性を保持している。&lt;/span&gt;</v>
      </c>
      <c r="R1463" s="13" t="str">
        <f>INDEX($L:$L, MATCH("fragile", $B:$B, 0))</f>
        <v>&lt;span class="w"&gt;&lt;b&gt;【1389.fragile：壊れやすい, 虚弱な】&lt;/b&gt;&lt;/span&gt;
&lt;span class="ml"&gt;ラテン語に由来する語で、以下の2つの要素から成る。
&lt;span class="spacer"&gt;&lt;/span&gt;frangere（壊す）
ilis（形容詞化）
&lt;span class="spacer"&gt;&lt;/span&gt;物理的に「壊れやすい」という意味だけではなく、身体的・精神的な崩れやすさから「虚弱な」という意味もある。
&lt;div class="sample_image fragile"&gt;&lt;/div&gt;
&lt;span class="spacer"&gt;&lt;/span&gt;fragileは、break（壊す）と同じ印欧祖語*bhreg-（壊す）にさかのぼる。
frag (ile)
break
f（フ）＋母音＋g（グ）
b（ブ）＋母音＋k（ク）
&lt;span class="spacer"&gt;&lt;/span&gt;現在でも両者は音の類似性を保持している。&lt;/span&gt;</v>
      </c>
      <c r="S1463" s="13" t="str">
        <f>INDEX($L:$L, MATCH("fragment", $B:$B, 0))</f>
        <v>&lt;span class="w"&gt;&lt;b&gt;【1457.fragment：断片】&lt;/b&gt;&lt;/span&gt;
&lt;span class="ml"&gt;ラテン語に由来する語で、以下の2つの要素から成る。
&lt;span class="spacer"&gt;&lt;/span&gt;frangere（壊す）
mentum（名詞化）
&lt;span class="spacer"&gt;&lt;/span&gt;壊れてバラバラになったものから、その「断片」という意味になる。
&lt;span class="spacer"&gt;&lt;/span&gt;fragmentは、break（壊す）と同じ印欧祖語*bhreg-（壊す）にさかのぼる。
frag (ment)
break
f（フ）＋母音＋g（グ）
b（ブ）＋母音＋k（ク）
&lt;span class="spacer"&gt;&lt;/span&gt;現在でも両者は音の類似性を保持している。&lt;/span&gt;</v>
      </c>
      <c r="T1463" s="13" t="str">
        <f>INDEX($L:$L, MATCH("outbreak", $B:$B, 0))</f>
        <v>&lt;span class="w"&gt;&lt;b&gt;【1351.outbreak：発生, 勃発】&lt;/b&gt;&lt;/span&gt;
&lt;span class="ml"&gt;中英語outbreak（閉じ込められた状態から突発的に外へ出る）にさかのぼる。
&lt;span class="spacer"&gt;&lt;/span&gt;内側に閉じ込められていたものが、突然壁を破って出てくるイメージから「発生, 勃発」という意味になる。&lt;/span&gt;</v>
      </c>
      <c r="AU1463" s="15"/>
      <c r="AV1463" s="1" t="s">
        <v>38</v>
      </c>
      <c r="BG1463" s="7" t="s">
        <v>1242</v>
      </c>
      <c r="BH1463" s="1" t="s">
        <v>1875</v>
      </c>
      <c r="BI1463" s="2" t="s">
        <v>7000</v>
      </c>
      <c r="BJ1463" s="1" t="s">
        <v>3496</v>
      </c>
      <c r="BK1463" s="2" t="s">
        <v>7001</v>
      </c>
    </row>
    <row r="1464" spans="1:71" ht="108" x14ac:dyDescent="0.45">
      <c r="A1464" s="5">
        <v>1463</v>
      </c>
      <c r="B1464" s="6" t="s">
        <v>1199</v>
      </c>
      <c r="C1464" s="6" t="s">
        <v>6850</v>
      </c>
      <c r="D1464" s="7" t="s">
        <v>9752</v>
      </c>
      <c r="E1464" s="6" t="s">
        <v>1199</v>
      </c>
      <c r="F1464" s="1"/>
      <c r="G1464" s="1"/>
      <c r="J1464" s="1" t="s">
        <v>9753</v>
      </c>
      <c r="L1464" s="2" t="s">
        <v>9979</v>
      </c>
      <c r="P1464" s="7" t="s">
        <v>1241</v>
      </c>
      <c r="AV1464" s="1" t="s">
        <v>38</v>
      </c>
      <c r="BG1464" s="7" t="s">
        <v>1242</v>
      </c>
      <c r="BH1464" s="1" t="s">
        <v>1947</v>
      </c>
      <c r="BI1464" s="1" t="s">
        <v>7002</v>
      </c>
      <c r="BJ1464" s="1" t="s">
        <v>1959</v>
      </c>
      <c r="BK1464" s="2" t="s">
        <v>7003</v>
      </c>
      <c r="BL1464" s="1" t="s">
        <v>1875</v>
      </c>
      <c r="BM1464" s="2" t="s">
        <v>7004</v>
      </c>
    </row>
    <row r="1465" spans="1:71" ht="216" x14ac:dyDescent="0.45">
      <c r="A1465" s="5">
        <v>1464</v>
      </c>
      <c r="B1465" s="8" t="s">
        <v>1200</v>
      </c>
      <c r="C1465" s="6" t="s">
        <v>6850</v>
      </c>
      <c r="D1465" s="7" t="s">
        <v>9752</v>
      </c>
      <c r="E1465" s="1" t="s">
        <v>49</v>
      </c>
      <c r="F1465" s="1" t="s">
        <v>1457</v>
      </c>
      <c r="G1465" s="1"/>
      <c r="J1465" s="1" t="s">
        <v>9753</v>
      </c>
      <c r="L1465" s="3" t="s">
        <v>9980</v>
      </c>
      <c r="P1465" s="7" t="s">
        <v>1241</v>
      </c>
      <c r="Q1465" s="13" t="str">
        <f>INDEX($L:$L, MATCH("rely", $B:$B, 0))</f>
        <v>&lt;span class="w"&gt;&lt;b&gt;【311.rely：頼る】&lt;/b&gt;&lt;/span&gt;
&lt;span class="ml"&gt;ラテン語に由来する語で、以下の2つの要素から成る。
&lt;span class="spacer"&gt;&lt;/span&gt;re（強意）
ligare（結ぶ）
&lt;span class="spacer"&gt;&lt;/span&gt;このまま日本語にすると「しっかりと結びつく」となる。対象に結びついていくイメージから対象に「頼る」という意味になる。
&lt;div class="sample_image rely"&gt;&lt;/div&gt;&lt;/span&gt;</v>
      </c>
      <c r="R1465" s="13" t="str">
        <f>INDEX($L:$L, MATCH("religion", $B:$B, 0))</f>
        <v>&lt;span class="w"&gt;&lt;b&gt;【443.religion：宗教, 信仰】&lt;/b&gt;&lt;/span&gt;
&lt;span class="ml"&gt;ラテン語に由来する語で、一説には以下の3つの要素から成るとされる。
&lt;span class="spacer"&gt;&lt;/span&gt;re（強意）
ligare（結ぶ）
io（名詞化）
&lt;span class="spacer"&gt;&lt;/span&gt;このまま日本語にすると「しっかりと結びつく」となる。人と神が結びつくイメージから「宗教, 信仰」という意味になる。
&lt;div class="sample_image religion"&gt;&lt;/div&gt;&lt;/span&gt;</v>
      </c>
      <c r="S1465" s="13" t="str">
        <f>INDEX($L:$L, MATCH("league", $B:$B, 0))</f>
        <v>&lt;span class="w"&gt;&lt;b&gt;【759.league：（競技）連盟, 同盟】&lt;/b&gt;&lt;/span&gt;
&lt;span class="ml"&gt;ラテン語ligare（縛る）に由来する。
&lt;span class="spacer"&gt;&lt;/span&gt;この語の核は「結びついているもの」。そこから複数の団体や国が結びついている「連盟, 同盟」という意味になる。&lt;/span&gt;</v>
      </c>
      <c r="T1465" s="13" t="str">
        <f>INDEX($L:$L, MATCH("oblige", $B:$B, 0))</f>
        <v>&lt;span class="w"&gt;&lt;b&gt;【1421.oblige：〜に義務付ける, 〜に恩恵を施す】&lt;/b&gt;&lt;/span&gt;
&lt;span class="ml"&gt;ラテン語に由来する語で、以下の2つの要素から成る。
&lt;span class="spacer"&gt;&lt;/span&gt;ob（〜に対して）
ligare（縛る, 結ぶ）
&lt;span class="spacer"&gt;&lt;/span&gt;このまま日本語にすると「何かに対して縛り付ける」となる。約束に縛り付けて、その約束を守る義務を課すことから、何かを「義務付ける」という意味になる。
&lt;span class="spacer"&gt;&lt;/span&gt;また相手の望むことに応じて、相手を恩義と結びつけることから、相手の望むことをして「恩恵を施す」という意味にもなる。
&lt;div class="sample_image oblige"&gt;&lt;/div&gt;&lt;/span&gt;</v>
      </c>
      <c r="AU1465" s="15"/>
      <c r="AV1465" s="1" t="s">
        <v>38</v>
      </c>
      <c r="BG1465" s="7" t="s">
        <v>1242</v>
      </c>
      <c r="BH1465" s="1" t="s">
        <v>1947</v>
      </c>
      <c r="BI1465" s="2" t="s">
        <v>7005</v>
      </c>
      <c r="BJ1465" s="1" t="s">
        <v>1959</v>
      </c>
      <c r="BK1465" s="1" t="s">
        <v>7006</v>
      </c>
      <c r="BL1465" s="1" t="s">
        <v>1875</v>
      </c>
      <c r="BM1465" s="2" t="s">
        <v>7007</v>
      </c>
    </row>
    <row r="1466" spans="1:71" ht="144" x14ac:dyDescent="0.45">
      <c r="A1466" s="5">
        <v>1465</v>
      </c>
      <c r="B1466" s="8" t="s">
        <v>1201</v>
      </c>
      <c r="C1466" s="6" t="s">
        <v>6850</v>
      </c>
      <c r="D1466" s="7" t="s">
        <v>9752</v>
      </c>
      <c r="E1466" s="1" t="s">
        <v>7008</v>
      </c>
      <c r="F1466" s="1" t="s">
        <v>1695</v>
      </c>
      <c r="G1466" s="1"/>
      <c r="J1466" s="1" t="s">
        <v>9753</v>
      </c>
      <c r="L1466" s="2" t="s">
        <v>9981</v>
      </c>
      <c r="M1466" s="1" t="s">
        <v>12135</v>
      </c>
      <c r="P1466" s="7" t="s">
        <v>1241</v>
      </c>
      <c r="Q1466" s="13" t="str">
        <f>INDEX($L:$L, MATCH("respect", $B:$B, 0))</f>
        <v>&lt;span class="w"&gt;&lt;b&gt;【133.respect：〜を尊敬する】&lt;/b&gt;&lt;/span&gt;
&lt;span class="ml"&gt;ラテン語に由来する語で、以下の2つの要素から成る。
&lt;span class="spacer"&gt;&lt;/span&gt;re（後ろへ）
specere（見る）
&lt;span class="spacer"&gt;&lt;/span&gt;このまま日本語にすると「後ろを見る」となる。振り返って見る、1度見たものを何度もよく見るというイメージから、対象に注意、配慮、敬意を向ける、つまり「尊敬する」という意味になる。
&lt;span class="spacer"&gt;&lt;/span&gt;名詞respectは、ある事柄に何度も目を向けることから、目を向ける先の「ポイント」や「関係」を意味する。&lt;/span&gt;</v>
      </c>
      <c r="R1466" s="13" t="str">
        <f>INDEX($L:$L, MATCH("aspect", $B:$B, 0))</f>
        <v>&lt;span class="w"&gt;&lt;b&gt;【174.aspect：側面, 観点】&lt;/b&gt;&lt;/span&gt;
&lt;span class="ml"&gt;ラテン語に由来する語で、以下の3つの要素から成る。
&lt;span class="spacer"&gt;&lt;/span&gt;ad（～へ）
specere（見る）
tus（名詞化）
&lt;span class="spacer"&gt;&lt;/span&gt;このまま日本語にすると「～へ見ること」となる。もともとは占星術用語として使われ、地球と他の惑星がどのように見えるかを意味した。たとえば地球から月を見るとき、地球上の観測点からは月のひとつの面しか見えない。
&lt;span class="spacer"&gt;&lt;/span&gt;ここから、自分から相手、相手から自分を見るそれぞれの「観点」や、見ている相手の「側面」という意味になる。
&lt;div class="sample_image aspect"&gt;&lt;/div&gt;&lt;/span&gt;</v>
      </c>
      <c r="S1466" s="13" t="str">
        <f>INDEX($L:$L, MATCH("suspect", $B:$B, 0))</f>
        <v>&lt;span class="w"&gt;&lt;b&gt;【630.suspect：〜を疑う, 〜ではないかと思う】&lt;/b&gt;&lt;/span&gt;
&lt;span class="ml"&gt;ラテン語に由来する語で、以下の2つの要素から成る。
&lt;span class="spacer"&gt;&lt;/span&gt;sub（下から）
specere（見る）
&lt;span class="spacer"&gt;&lt;/span&gt;このまま日本語にすると「下から見る」となる。これは、下からこっそり見上げて疑いの目を向けるイメージ。ここから「疑う」という意味になる。
&lt;div class="sample_image suspect"&gt;&lt;/div&gt;&lt;/span&gt;</v>
      </c>
      <c r="T1466" s="13" t="str">
        <f>INDEX($L:$L, MATCH("prospect", $B:$B, 0))</f>
        <v>&lt;span class="w"&gt;&lt;b&gt;【860.prospect：見込み, 未来への展望, 有望な人】&lt;/b&gt;&lt;/span&gt;
&lt;span class="ml"&gt;ラテン語に由来する語で、以下の2つの要素から成る。
&lt;span class="spacer"&gt;&lt;/span&gt;pro（前へ）
specere（見る）
&lt;span class="spacer"&gt;&lt;/span&gt;このまま日本語にすると「前方を見る」となる。物理的に遠くを見ることから、時間的に遠い将来を見ることへと発展して「見込み, 未来への展望」という意味になった。また未来を期待される人＝「将来有望な人」という意味にもなった。&lt;/span&gt;</v>
      </c>
      <c r="U1466" s="13" t="str">
        <f>INDEX($L:$L, MATCH("perspective", $B:$B, 0))</f>
        <v>&lt;span class="w"&gt;&lt;b&gt;【365.perspective：観点（≒立場）, 大局観, 遠近法】&lt;/b&gt;&lt;/span&gt;
&lt;span class="ml"&gt;ラテン語に由来する語で、以下の2つの要素から成る。
&lt;span class="spacer"&gt;&lt;/span&gt;per（通して）
specere（見る）
&lt;span class="spacer"&gt;&lt;/span&gt;このまま日本語にすると「見通す」となる。これは「ある視点から対象の奥側まで全体を見通す」というイメージで、次の3つのポイントがある。①見る視点・②全体を見ること・③奥まで見ること。
&lt;span class="spacer"&gt;&lt;/span&gt;「見る視点」からは、物事を見るときの視点＝「観点, 立場」という意味になる。
&lt;span class="spacer"&gt;&lt;/span&gt;「全体を見る」からは、対局を見通す「大局観」という意味になる。
&lt;span class="spacer"&gt;&lt;/span&gt;「奥まで見る」からは、空間を見通して奥行や距離を正しく把握する「遠近法」という意味になる。
&lt;div class="sample_image perspective"&gt;&lt;/div&gt;
&lt;span class="spacer"&gt;&lt;/span&gt;perspectiveは、ある「観点, 立場」から「全体を見ること」。そしてその見方の一例が「遠近法」だと覚えればよい。&lt;/span&gt;</v>
      </c>
      <c r="V1466" s="13" t="str">
        <f>INDEX($L:$L, MATCH("species", $B:$B, 0))</f>
        <v>&lt;span class="w"&gt;&lt;b&gt;【56.species：（生物の）種】&lt;/b&gt;&lt;/span&gt;
&lt;span class="ml"&gt;ラテン語specere（注視する）に由来する。
&lt;span class="spacer"&gt;&lt;/span&gt;何かを注視するということは、全体を見るのではなく、全体の中の特定のものに目を向けるということ。ここから生物全体の中の特定の種類＝「生物の種」という意味になる。
&lt;span class="spacer"&gt;&lt;/span&gt;ラテン語のspeciesが英語になっただけなので、-iesは英語の名詞複数形ではない。&lt;/span&gt;</v>
      </c>
      <c r="W1466" s="13" t="str">
        <f>INDEX($L:$L, MATCH("specific", $B:$B, 0))</f>
        <v>&lt;span class="w"&gt;&lt;b&gt;【184.specific：特定の, 明確な, 具体的な, ～に特有の】&lt;/b&gt;&lt;/span&gt;
&lt;span class="ml"&gt;ラテン語に由来する語で、以下の2つの要素から成る。
&lt;span class="spacer"&gt;&lt;/span&gt;species（種類）
facere（作る, する）
&lt;span class="spacer"&gt;&lt;/span&gt;このまま日本語にすると「ある種類を作る」となる。何かの種類を作るとは、他の種類にはない特定の性質を持たせるということ。ここから「特定の, 特有の」という意味になる。
&lt;span class="spacer"&gt;&lt;/span&gt;また特定という意味から曖昧ではなく「明確な, 具体的な」という意味になる。&lt;/span&gt;</v>
      </c>
      <c r="X1466" s="13" t="str">
        <f>INDEX($L:$L, MATCH("unexpected", $B:$B, 0))</f>
        <v>&lt;span class="w"&gt;&lt;b&gt;【594.unexpected：思いがけない】&lt;/b&gt;&lt;/span&gt;
&lt;span class="ml"&gt;［expectの語源］
ラテン語に由来する語で、以下の2つの要素から成る。
&lt;span class="spacer"&gt;&lt;/span&gt;ex（外に, 徹底的に）
specere（見る）
&lt;span class="spacer"&gt;&lt;/span&gt;このまま日本語にすると「外を徹底的に見る」となる。これが頭の中で未来の出来事に目を向けることへと発展し、未来に起こることを「期待する」という意味になった。
&lt;span class="spacer"&gt;&lt;/span&gt;［unexpectedの語源］
近代英語にさかのぼり、以下の2つの要素から成る。
&lt;span class="spacer"&gt;&lt;/span&gt;un（否定）
expectの過去分詞expected
&lt;span class="spacer"&gt;&lt;/span&gt;ここから、起きることを期待して見ていなかった、つまり「思いがけない」という意味になる。&lt;/span&gt;</v>
      </c>
      <c r="Y1466" s="13" t="str">
        <f>INDEX($L:$L, MATCH("spectrum", $B:$B, 0))</f>
        <v>&lt;span class="w"&gt;&lt;b&gt;【1369.spectrum：スペクトル, （波動・変動の）範囲】&lt;/b&gt;&lt;/span&gt;
&lt;span class="ml"&gt;ラテン語に由来する語で、以下の2つの要素から成る。
&lt;span class="spacer"&gt;&lt;/span&gt;specere（見る, 眺める）
um（名詞化）
&lt;span class="spacer"&gt;&lt;/span&gt;このまま日本語にすると「見えるもの」となり、核は「本来は見えないものが目の前に現れたもの」。
&lt;span class="spacer"&gt;&lt;/span&gt;物理学者のアイザック・ニュートンが、プリズムを通した太陽光が虹色に分かれる現象を発表した際、この暗闇に浮かび上がる光の帯を光が現れた姿と見立ててspectrumと名付けた。そこから目に見える光の色帯＝「スペクトル」という意味になった。
&lt;span class="spacer"&gt;&lt;/span&gt;さらに、光の波長が途切れることなく連続して広がっている様子から、光や音だけではなく事象や意見など、様々な物事が連続的に存在する「範囲」という意味にもなった。
&lt;div class="sample_image spectrum"&gt;&lt;/div&gt;&lt;/span&gt;</v>
      </c>
      <c r="Z1466" s="13" t="str">
        <f>INDEX($L:$L, MATCH("despite", $B:$B, 0))</f>
        <v>&lt;span class="w"&gt;&lt;b&gt;【100.despite：～にもかかわらず】&lt;/b&gt;&lt;/span&gt;
&lt;span class="ml"&gt;ラテン語に由来する語で、以下の2つの要素から成る。
&lt;span class="spacer"&gt;&lt;/span&gt;de（下に）
specere（見る）
&lt;span class="spacer"&gt;&lt;/span&gt;このまま日本語にすると「下に見る」となる。これは見下すという対象の存在を軽く見る行為。「対象があってもなくても関係ない」から「～にもかかわらず」という意味になる。
&lt;span class="spacer"&gt;&lt;/span&gt;ターゲットの例文 "They went hiking despite the fact a storm was coming" は「嵐が来ている事実を、それが事実であろうとなかろうと関係なくハイキングに行った」ということを伝えている。この日本語訳を「嵐が来ているという事実&lt;strong&gt;にもかかわらず&lt;/strong&gt;」と表現しているだけ。&lt;/span&gt;</v>
      </c>
      <c r="AU1466" s="15"/>
      <c r="AV1466" s="1" t="s">
        <v>38</v>
      </c>
      <c r="BG1466" s="7" t="s">
        <v>1242</v>
      </c>
      <c r="BH1466" s="1" t="s">
        <v>1947</v>
      </c>
      <c r="BI1466" s="2" t="s">
        <v>7009</v>
      </c>
      <c r="BJ1466" s="1" t="s">
        <v>1877</v>
      </c>
      <c r="BK1466" s="2" t="s">
        <v>7010</v>
      </c>
    </row>
    <row r="1467" spans="1:71" ht="216" x14ac:dyDescent="0.45">
      <c r="A1467" s="5">
        <v>1466</v>
      </c>
      <c r="B1467" s="8" t="s">
        <v>1202</v>
      </c>
      <c r="C1467" s="6" t="s">
        <v>6850</v>
      </c>
      <c r="D1467" s="7" t="s">
        <v>9752</v>
      </c>
      <c r="E1467" s="1" t="s">
        <v>1202</v>
      </c>
      <c r="F1467" s="1"/>
      <c r="G1467" s="1"/>
      <c r="J1467" s="1" t="s">
        <v>9753</v>
      </c>
      <c r="L1467" s="3" t="s">
        <v>9982</v>
      </c>
      <c r="P1467" s="7" t="s">
        <v>1241</v>
      </c>
      <c r="AV1467" s="1" t="s">
        <v>38</v>
      </c>
      <c r="BG1467" s="7" t="s">
        <v>1242</v>
      </c>
      <c r="BH1467" s="1" t="s">
        <v>2458</v>
      </c>
      <c r="BI1467" s="1" t="s">
        <v>7011</v>
      </c>
      <c r="BJ1467" s="1" t="s">
        <v>1947</v>
      </c>
      <c r="BK1467" s="1" t="s">
        <v>7012</v>
      </c>
      <c r="BL1467" s="1" t="s">
        <v>1959</v>
      </c>
      <c r="BM1467" s="2" t="s">
        <v>7013</v>
      </c>
      <c r="BN1467" s="1" t="s">
        <v>2114</v>
      </c>
      <c r="BO1467" s="1" t="s">
        <v>7014</v>
      </c>
      <c r="BP1467" s="1" t="s">
        <v>1875</v>
      </c>
      <c r="BQ1467" s="2" t="s">
        <v>7015</v>
      </c>
      <c r="BR1467" s="1" t="s">
        <v>1877</v>
      </c>
      <c r="BS1467" s="2" t="s">
        <v>7016</v>
      </c>
    </row>
    <row r="1468" spans="1:71" ht="180" x14ac:dyDescent="0.45">
      <c r="A1468" s="5">
        <v>1467</v>
      </c>
      <c r="B1468" s="6" t="s">
        <v>1203</v>
      </c>
      <c r="C1468" s="6" t="s">
        <v>6850</v>
      </c>
      <c r="D1468" s="7" t="s">
        <v>9752</v>
      </c>
      <c r="E1468" s="1" t="s">
        <v>1203</v>
      </c>
      <c r="F1468" s="1"/>
      <c r="G1468" s="1"/>
      <c r="J1468" s="1" t="s">
        <v>9753</v>
      </c>
      <c r="K1468" s="1" t="s">
        <v>9983</v>
      </c>
      <c r="L1468" s="2" t="s">
        <v>9984</v>
      </c>
      <c r="P1468" s="7" t="s">
        <v>1241</v>
      </c>
      <c r="AV1468" s="1" t="s">
        <v>38</v>
      </c>
      <c r="BG1468" s="7" t="s">
        <v>1242</v>
      </c>
      <c r="BH1468" s="1" t="s">
        <v>1947</v>
      </c>
      <c r="BI1468" s="1" t="s">
        <v>7017</v>
      </c>
      <c r="BJ1468" s="1" t="s">
        <v>2036</v>
      </c>
      <c r="BK1468" s="1" t="s">
        <v>7018</v>
      </c>
      <c r="BL1468" s="1" t="s">
        <v>2114</v>
      </c>
      <c r="BM1468" s="1" t="s">
        <v>7019</v>
      </c>
      <c r="BN1468" s="1" t="s">
        <v>1875</v>
      </c>
      <c r="BO1468" s="2" t="s">
        <v>7020</v>
      </c>
      <c r="BP1468" s="1" t="s">
        <v>1877</v>
      </c>
      <c r="BQ1468" s="2" t="s">
        <v>7021</v>
      </c>
    </row>
    <row r="1469" spans="1:71" ht="252" x14ac:dyDescent="0.45">
      <c r="A1469" s="5">
        <v>1468</v>
      </c>
      <c r="B1469" s="6" t="s">
        <v>1204</v>
      </c>
      <c r="C1469" s="6" t="s">
        <v>6850</v>
      </c>
      <c r="D1469" s="7" t="s">
        <v>9752</v>
      </c>
      <c r="E1469" s="1" t="s">
        <v>1612</v>
      </c>
      <c r="F1469" s="1" t="s">
        <v>7022</v>
      </c>
      <c r="G1469" s="1"/>
      <c r="J1469" s="1" t="s">
        <v>9753</v>
      </c>
      <c r="K1469" s="2" t="s">
        <v>9985</v>
      </c>
      <c r="L1469" s="2" t="s">
        <v>9986</v>
      </c>
      <c r="P1469" s="7" t="s">
        <v>1241</v>
      </c>
      <c r="AU1469" s="15"/>
      <c r="AV1469" s="1" t="s">
        <v>38</v>
      </c>
      <c r="BG1469" s="7" t="s">
        <v>1242</v>
      </c>
      <c r="BH1469" s="1" t="s">
        <v>1872</v>
      </c>
      <c r="BI1469" s="2" t="s">
        <v>9987</v>
      </c>
      <c r="BJ1469" s="1" t="s">
        <v>1875</v>
      </c>
      <c r="BK1469" s="2" t="s">
        <v>7023</v>
      </c>
    </row>
    <row r="1470" spans="1:71" ht="180" x14ac:dyDescent="0.45">
      <c r="A1470" s="5">
        <v>1469</v>
      </c>
      <c r="B1470" s="6" t="s">
        <v>1205</v>
      </c>
      <c r="C1470" s="6" t="s">
        <v>6850</v>
      </c>
      <c r="D1470" s="7" t="s">
        <v>9752</v>
      </c>
      <c r="E1470" s="1" t="s">
        <v>1730</v>
      </c>
      <c r="F1470" s="1" t="s">
        <v>4141</v>
      </c>
      <c r="G1470" s="1"/>
      <c r="J1470" s="1" t="s">
        <v>9753</v>
      </c>
      <c r="L1470" s="3" t="s">
        <v>10458</v>
      </c>
      <c r="P1470" s="7" t="s">
        <v>1241</v>
      </c>
      <c r="AU1470" s="15"/>
      <c r="AV1470" s="1" t="s">
        <v>38</v>
      </c>
      <c r="BG1470" s="7" t="s">
        <v>1242</v>
      </c>
      <c r="BH1470" s="1" t="s">
        <v>2034</v>
      </c>
      <c r="BI1470" s="2" t="s">
        <v>7024</v>
      </c>
      <c r="BJ1470" s="1" t="s">
        <v>2036</v>
      </c>
      <c r="BK1470" s="2" t="s">
        <v>7025</v>
      </c>
      <c r="BL1470" s="1" t="s">
        <v>1959</v>
      </c>
      <c r="BM1470" s="2" t="s">
        <v>7026</v>
      </c>
      <c r="BN1470" s="1" t="s">
        <v>1875</v>
      </c>
      <c r="BO1470" s="2" t="s">
        <v>7027</v>
      </c>
    </row>
    <row r="1471" spans="1:71" ht="198" x14ac:dyDescent="0.45">
      <c r="A1471" s="5">
        <v>1470</v>
      </c>
      <c r="B1471" s="6" t="s">
        <v>1206</v>
      </c>
      <c r="C1471" s="6" t="s">
        <v>6850</v>
      </c>
      <c r="D1471" s="7" t="s">
        <v>9752</v>
      </c>
      <c r="E1471" s="1" t="s">
        <v>7028</v>
      </c>
      <c r="F1471" s="1" t="s">
        <v>7029</v>
      </c>
      <c r="G1471" s="1" t="s">
        <v>1584</v>
      </c>
      <c r="J1471" s="1" t="s">
        <v>9753</v>
      </c>
      <c r="L1471" s="3" t="s">
        <v>9988</v>
      </c>
      <c r="P1471" s="7" t="s">
        <v>1241</v>
      </c>
      <c r="AU1471" s="15"/>
      <c r="AV1471" s="1" t="s">
        <v>38</v>
      </c>
      <c r="BG1471" s="7" t="s">
        <v>1242</v>
      </c>
      <c r="BH1471" s="1" t="s">
        <v>1947</v>
      </c>
      <c r="BI1471" s="2" t="s">
        <v>7030</v>
      </c>
      <c r="BJ1471" s="1" t="s">
        <v>1875</v>
      </c>
      <c r="BK1471" s="2" t="s">
        <v>7031</v>
      </c>
      <c r="BL1471" s="1" t="s">
        <v>1877</v>
      </c>
      <c r="BM1471" s="2" t="s">
        <v>7032</v>
      </c>
    </row>
    <row r="1472" spans="1:71" ht="108" x14ac:dyDescent="0.45">
      <c r="A1472" s="5">
        <v>1471</v>
      </c>
      <c r="B1472" s="6" t="s">
        <v>1207</v>
      </c>
      <c r="C1472" s="6" t="s">
        <v>6850</v>
      </c>
      <c r="D1472" s="7" t="s">
        <v>9752</v>
      </c>
      <c r="E1472" s="1" t="s">
        <v>1207</v>
      </c>
      <c r="F1472" s="1"/>
      <c r="G1472" s="1"/>
      <c r="J1472" s="1" t="s">
        <v>9753</v>
      </c>
      <c r="L1472" s="3" t="s">
        <v>9990</v>
      </c>
      <c r="P1472" s="7" t="s">
        <v>1241</v>
      </c>
      <c r="AV1472" s="1" t="s">
        <v>38</v>
      </c>
      <c r="BG1472" s="7" t="s">
        <v>1242</v>
      </c>
      <c r="BH1472" s="1" t="s">
        <v>1872</v>
      </c>
      <c r="BI1472" s="1" t="s">
        <v>7033</v>
      </c>
      <c r="BJ1472" s="1" t="s">
        <v>1875</v>
      </c>
      <c r="BK1472" s="2" t="s">
        <v>7034</v>
      </c>
    </row>
    <row r="1473" spans="1:67" ht="72" x14ac:dyDescent="0.45">
      <c r="A1473" s="5">
        <v>1472</v>
      </c>
      <c r="B1473" s="6" t="s">
        <v>1208</v>
      </c>
      <c r="C1473" s="6" t="s">
        <v>6850</v>
      </c>
      <c r="D1473" s="7" t="s">
        <v>9752</v>
      </c>
      <c r="E1473" s="6" t="s">
        <v>7035</v>
      </c>
      <c r="F1473" s="1" t="s">
        <v>5326</v>
      </c>
      <c r="G1473" s="1"/>
      <c r="J1473" s="1" t="s">
        <v>9753</v>
      </c>
      <c r="L1473" s="2" t="s">
        <v>9991</v>
      </c>
      <c r="P1473" s="7" t="s">
        <v>1241</v>
      </c>
      <c r="AV1473" s="1" t="s">
        <v>38</v>
      </c>
      <c r="BG1473" s="7" t="s">
        <v>1242</v>
      </c>
      <c r="BH1473" s="1" t="s">
        <v>1872</v>
      </c>
      <c r="BI1473" s="1" t="s">
        <v>7036</v>
      </c>
      <c r="BJ1473" s="1" t="s">
        <v>1875</v>
      </c>
      <c r="BK1473" s="2" t="s">
        <v>7037</v>
      </c>
    </row>
    <row r="1474" spans="1:67" ht="162" x14ac:dyDescent="0.45">
      <c r="A1474" s="5">
        <v>1473</v>
      </c>
      <c r="B1474" s="8" t="s">
        <v>1209</v>
      </c>
      <c r="C1474" s="6" t="s">
        <v>6850</v>
      </c>
      <c r="D1474" s="7" t="s">
        <v>9752</v>
      </c>
      <c r="E1474" s="1" t="s">
        <v>1209</v>
      </c>
      <c r="F1474" s="1"/>
      <c r="G1474" s="1"/>
      <c r="J1474" s="1" t="s">
        <v>9753</v>
      </c>
      <c r="K1474" s="1" t="s">
        <v>7038</v>
      </c>
      <c r="L1474" s="2" t="s">
        <v>9992</v>
      </c>
      <c r="P1474" s="7" t="s">
        <v>1241</v>
      </c>
      <c r="Q1474" s="13" t="str">
        <f>INDEX($L:$L, MATCH("avoid", $B:$B, 0))</f>
        <v>&lt;span class="w"&gt;&lt;b&gt;【27.avoid：～を避ける】&lt;/b&gt;&lt;/span&gt;
&lt;span class="ml"&gt;古フランス語に由来する語で、以下の2つの要素から成る。
&lt;span class="spacer"&gt;&lt;/span&gt;es（外に）
vuidier（空にする）
&lt;span class="spacer"&gt;&lt;/span&gt;このまま日本語にすると「空にして外に」となる。つまり今いる場所をあけて空っぽにするイメージから「避ける」という意味になる。
&lt;span class="spacer"&gt;&lt;/span&gt;&lt;span class="obsolete"&gt;「避ける」という意味は、別の古フランス語eviter（避ける）と混同されたことに由来する。スペルと意味が似ていたことから混同されたと考えられる。&lt;/span&gt;
eviterは英語inevitable（避けられない）の語源でもある。動詞avoid（避ける）と形容詞inevitable（避けられない）はセットで覚える。&lt;/span&gt;</v>
      </c>
      <c r="AU1474" s="15"/>
      <c r="AV1474" s="1" t="s">
        <v>38</v>
      </c>
      <c r="BG1474" s="7" t="s">
        <v>1242</v>
      </c>
      <c r="BH1474" s="1" t="s">
        <v>1947</v>
      </c>
      <c r="BI1474" s="2" t="s">
        <v>7039</v>
      </c>
      <c r="BJ1474" s="1" t="s">
        <v>1877</v>
      </c>
      <c r="BK1474" s="2" t="s">
        <v>7040</v>
      </c>
      <c r="BL1474" s="1" t="s">
        <v>3496</v>
      </c>
      <c r="BM1474" s="2" t="s">
        <v>9993</v>
      </c>
    </row>
    <row r="1475" spans="1:67" ht="126" x14ac:dyDescent="0.45">
      <c r="A1475" s="5" t="s">
        <v>7041</v>
      </c>
      <c r="B1475" s="6" t="s">
        <v>1210</v>
      </c>
      <c r="C1475" s="6" t="s">
        <v>6850</v>
      </c>
      <c r="D1475" s="7" t="s">
        <v>9752</v>
      </c>
      <c r="E1475" s="1" t="s">
        <v>1428</v>
      </c>
      <c r="F1475" s="1" t="s">
        <v>7042</v>
      </c>
      <c r="G1475" s="1" t="s">
        <v>1584</v>
      </c>
      <c r="J1475" s="1" t="s">
        <v>9753</v>
      </c>
      <c r="L1475" s="2" t="s">
        <v>9994</v>
      </c>
      <c r="P1475" s="7" t="s">
        <v>1241</v>
      </c>
      <c r="AU1475" s="15"/>
      <c r="AV1475" s="1" t="s">
        <v>38</v>
      </c>
      <c r="BG1475" s="7" t="s">
        <v>1242</v>
      </c>
      <c r="BH1475" s="1" t="s">
        <v>1947</v>
      </c>
      <c r="BI1475" s="2" t="s">
        <v>7043</v>
      </c>
      <c r="BJ1475" s="1" t="s">
        <v>2036</v>
      </c>
      <c r="BK1475" s="2" t="s">
        <v>7044</v>
      </c>
      <c r="BL1475" s="1" t="s">
        <v>1875</v>
      </c>
      <c r="BM1475" s="2" t="s">
        <v>7045</v>
      </c>
    </row>
    <row r="1476" spans="1:67" ht="126" x14ac:dyDescent="0.45">
      <c r="A1476" s="5">
        <v>1475</v>
      </c>
      <c r="B1476" s="6" t="s">
        <v>1211</v>
      </c>
      <c r="C1476" s="6" t="s">
        <v>6850</v>
      </c>
      <c r="D1476" s="7" t="s">
        <v>9752</v>
      </c>
      <c r="E1476" s="1" t="s">
        <v>1211</v>
      </c>
      <c r="F1476" s="1"/>
      <c r="G1476" s="1"/>
      <c r="J1476" s="1" t="s">
        <v>9753</v>
      </c>
      <c r="L1476" s="2" t="s">
        <v>9995</v>
      </c>
      <c r="P1476" s="7" t="s">
        <v>1241</v>
      </c>
      <c r="AU1476" s="15"/>
      <c r="AV1476" s="1" t="s">
        <v>38</v>
      </c>
      <c r="BG1476" s="7" t="s">
        <v>1242</v>
      </c>
      <c r="BH1476" s="1" t="s">
        <v>1959</v>
      </c>
      <c r="BI1476" s="2" t="s">
        <v>7046</v>
      </c>
      <c r="BJ1476" s="1" t="s">
        <v>1875</v>
      </c>
      <c r="BK1476" s="2" t="s">
        <v>7047</v>
      </c>
      <c r="BL1476" s="1" t="s">
        <v>1877</v>
      </c>
      <c r="BM1476" s="2" t="s">
        <v>7048</v>
      </c>
    </row>
    <row r="1477" spans="1:67" ht="180" x14ac:dyDescent="0.45">
      <c r="A1477" s="5">
        <v>1476</v>
      </c>
      <c r="B1477" s="6" t="s">
        <v>1212</v>
      </c>
      <c r="C1477" s="6" t="s">
        <v>6850</v>
      </c>
      <c r="D1477" s="7" t="s">
        <v>9752</v>
      </c>
      <c r="E1477" s="1" t="s">
        <v>1678</v>
      </c>
      <c r="F1477" s="1" t="s">
        <v>69</v>
      </c>
      <c r="G1477" s="1"/>
      <c r="J1477" s="1" t="s">
        <v>9753</v>
      </c>
      <c r="L1477" s="2" t="s">
        <v>9996</v>
      </c>
      <c r="P1477" s="7" t="s">
        <v>1241</v>
      </c>
      <c r="Q1477" s="13" t="str">
        <f>INDEX($L:$L, MATCH("mark", $B:$B, 0))</f>
        <v>&lt;span class="w"&gt;&lt;b&gt;【34.mark：～に印を付ける】&lt;/b&gt;&lt;/span&gt;
&lt;span class="ml"&gt;古英語mearcian / merciga（印を付ける）にさかのぼる語。
&lt;span class="spacer"&gt;&lt;/span&gt;古英語から意味はほとんど変わっていない。&lt;/span&gt;</v>
      </c>
      <c r="AU1477" s="15"/>
      <c r="AV1477" s="1" t="s">
        <v>38</v>
      </c>
      <c r="BG1477" s="7" t="s">
        <v>1242</v>
      </c>
      <c r="BH1477" s="1" t="s">
        <v>1872</v>
      </c>
      <c r="BI1477" s="2" t="s">
        <v>7049</v>
      </c>
      <c r="BJ1477" s="1" t="s">
        <v>1875</v>
      </c>
      <c r="BK1477" s="1" t="s">
        <v>7050</v>
      </c>
      <c r="BL1477" s="1" t="s">
        <v>1877</v>
      </c>
      <c r="BM1477" s="2" t="s">
        <v>7051</v>
      </c>
    </row>
    <row r="1478" spans="1:67" ht="144" x14ac:dyDescent="0.45">
      <c r="A1478" s="5">
        <v>1477</v>
      </c>
      <c r="B1478" s="8" t="s">
        <v>1213</v>
      </c>
      <c r="C1478" s="6" t="s">
        <v>6850</v>
      </c>
      <c r="D1478" s="7" t="s">
        <v>9752</v>
      </c>
      <c r="E1478" s="1" t="s">
        <v>1251</v>
      </c>
      <c r="F1478" s="1" t="s">
        <v>7052</v>
      </c>
      <c r="G1478" s="1"/>
      <c r="J1478" s="1" t="s">
        <v>9753</v>
      </c>
      <c r="L1478" s="3" t="s">
        <v>9997</v>
      </c>
      <c r="M1478" s="1" t="s">
        <v>12152</v>
      </c>
      <c r="P1478" s="7" t="s">
        <v>1241</v>
      </c>
      <c r="Q1478" s="13" t="str">
        <f>INDEX($L:$L, MATCH("prevent", $B:$B, 0))</f>
        <v>&lt;span class="w"&gt;&lt;b&gt;【137.prevent：〜を妨げる, 〜を防ぐ】&lt;/b&gt;&lt;/span&gt;
&lt;span class="ml"&gt;ラテン語に由来する語で、以下の2つの要素から成る。
&lt;span class="spacer"&gt;&lt;/span&gt;prae（前に）
venire（来る）
&lt;span class="spacer"&gt;&lt;/span&gt;このまま日本語にすると「（時間的に）前に来る」となる。つまり何かが起こる、何かをするより先に来るということ。この先回りの行動が、先に行動して何かを阻止するという妨害と結びつき、「妨げる, 防ぐ」という意味になる。
&lt;div class="sample_image prevent"&gt;&lt;/div&gt;&lt;/span&gt;</v>
      </c>
      <c r="R1478" s="13" t="str">
        <f>INDEX($L:$L, MATCH("eventually", $B:$B, 0))</f>
        <v>&lt;span class="w"&gt;&lt;b&gt;【200.eventually：結局, 最終的に】&lt;/b&gt;&lt;/span&gt;
&lt;span class="ml"&gt;eventuallyは以下の4つの要素から成る。
&lt;span class="spacer"&gt;&lt;/span&gt;ex（外に：ラテン語）
venire（来る：ラテン語）
uel（形容詞化：古フランス語）
ly（副詞化：近代英語）
&lt;span class="spacer"&gt;&lt;/span&gt;もっとシンプルにすると
event＋ual＋lyとなる。
&lt;span class="spacer"&gt;&lt;/span&gt;「外に来る」は、様々な過程を経て何かが出てくること。つまり「最終的な結果, 出来事」を意味する。これが副詞となることで「結果的に, 結局, 最終的に」という意味になる。&lt;/span&gt;</v>
      </c>
      <c r="S1478" s="13" t="str">
        <f>INDEX($L:$L, MATCH("conventional", $B:$B, 0))</f>
        <v>&lt;span class="w"&gt;&lt;b&gt;【585.conventional：従来通りの, 型にはまった】&lt;/b&gt;&lt;/span&gt;
&lt;span class="ml"&gt;ラテン語に由来する語で、以下の4つの要素から成る。
&lt;span class="spacer"&gt;&lt;/span&gt;com（共に）
venire（来る）
io（名詞化）
alis（形容詞化）
&lt;span class="spacer"&gt;&lt;/span&gt;まずは「共に来ること」から、①人が集まること、②人が集まって形成される合意、③人が集まることで作られる暗黙のルール＝慣習という意味になる。
&lt;span class="spacer"&gt;&lt;/span&gt;慣習というのは、古くから受け継がれるもの。そこから昔から変わらない、つまり「従来通りの」という意味になる。また少しネガティブなニュアンスになると、新しさがなくて「型にはまった」という意味になる。
&lt;div class="sample_image conventional"&gt;&lt;/div&gt;&lt;/span&gt;</v>
      </c>
      <c r="T1478" s="13" t="str">
        <f>INDEX($L:$L, MATCH("venture", $B:$B, 0))</f>
        <v>&lt;span class="w"&gt;&lt;b&gt;【1204.venture：危険を冒して進む】&lt;/b&gt;&lt;/span&gt;
&lt;span class="ml"&gt;古ラテン語に由来する語で、以下の2つの要素から成る。
&lt;span class="spacer"&gt;&lt;/span&gt;ad（〜へ）
venire（来る）
&lt;span class="spacer"&gt;&lt;/span&gt;このまま日本語にすると「〜へ来る」となる。もともとは、どこかから何かが自分の元へやって来ることを表した。そこから、将来的に起こることという意味を経て、将来的に結果がどうなるかわからない出来事、そして結果がわからない危険な試みへと発展し、動詞で「危険を冒して進む」という意味になった。&lt;/span&gt;</v>
      </c>
      <c r="U1478" s="13" t="str">
        <f>INDEX($L:$L, MATCH("convenient", $B:$B, 0))</f>
        <v>&lt;span class="w"&gt;&lt;b&gt;【395.convenient：便利な, 都合のよい】&lt;/b&gt;&lt;/span&gt;
&lt;span class="ml"&gt;ラテン語に由来する語で、以下の2つの要素から成る。
&lt;span class="spacer"&gt;&lt;/span&gt;com（共に）
venire（来る）
&lt;span class="spacer"&gt;&lt;/span&gt;このまま日本語にすると「共に来る」となる。これは何かと何かが一緒に来てそろうイメージ。例えば、条件がそろう、何かを必要としている人とそれを不要としている人が一緒に来るなど。ここから「都合のよい, 便利な」という意味になる。&lt;/span&gt;</v>
      </c>
      <c r="V1478" s="13" t="str">
        <f>INDEX($L:$L, MATCH("achieve", $B:$B, 0))</f>
        <v>&lt;span class="w"&gt;&lt;b&gt;【118.achieve：～を達成する】&lt;/b&gt;&lt;/span&gt;
&lt;span class="ml"&gt;ラテン語に由来する語で、以下の3つの要素から成る。
&lt;span class="spacer"&gt;&lt;/span&gt;ad（～へ）
capt（頭）
venire（来る）
&lt;span class="spacer"&gt;&lt;/span&gt;このまま日本語にすると「頭へ来る」となる。頭は動物の体の端にあることから、端へ来る＝終わりに到達する＝何かを「達成する」という意味になる。
&lt;span class="spacer"&gt;&lt;/span&gt;ラテン語capt（頭）はcaptain（キャプテン）の語源でもある。&lt;/span&gt;</v>
      </c>
      <c r="AU1478" s="15"/>
      <c r="AV1478" s="1" t="s">
        <v>38</v>
      </c>
      <c r="BG1478" s="7" t="s">
        <v>1242</v>
      </c>
      <c r="BH1478" s="1" t="s">
        <v>1947</v>
      </c>
      <c r="BI1478" s="2" t="s">
        <v>7053</v>
      </c>
      <c r="BJ1478" s="1" t="s">
        <v>1959</v>
      </c>
      <c r="BK1478" s="2" t="s">
        <v>7054</v>
      </c>
      <c r="BL1478" s="1" t="s">
        <v>1875</v>
      </c>
      <c r="BM1478" s="2" t="s">
        <v>7055</v>
      </c>
      <c r="BN1478" s="1" t="s">
        <v>1877</v>
      </c>
      <c r="BO1478" s="2" t="s">
        <v>7056</v>
      </c>
    </row>
    <row r="1479" spans="1:67" ht="162" x14ac:dyDescent="0.45">
      <c r="A1479" s="5">
        <v>1478</v>
      </c>
      <c r="B1479" s="8" t="s">
        <v>1214</v>
      </c>
      <c r="C1479" s="6" t="s">
        <v>6850</v>
      </c>
      <c r="D1479" s="7" t="s">
        <v>9752</v>
      </c>
      <c r="E1479" s="1" t="s">
        <v>103</v>
      </c>
      <c r="F1479" s="1" t="s">
        <v>1946</v>
      </c>
      <c r="G1479" s="1"/>
      <c r="J1479" s="1" t="s">
        <v>9753</v>
      </c>
      <c r="L1479" s="2" t="s">
        <v>9998</v>
      </c>
      <c r="M1479" s="1" t="s">
        <v>12154</v>
      </c>
      <c r="P1479" s="7" t="s">
        <v>1241</v>
      </c>
      <c r="Q1479" s="13" t="str">
        <f>INDEX($L:$L, MATCH("treat", $B:$B, 0))</f>
        <v>&lt;span class="w"&gt;&lt;b&gt;【125.treat：～を扱う, ～を治療する, ごちそうする】&lt;/b&gt;&lt;/span&gt;
&lt;span class="ml"&gt;ラテン語trahere（引く, 引きずる）から派生したtractare（繰り返し引く, 引きずり回す, 取り扱う）に由来する。
&lt;span class="spacer"&gt;&lt;/span&gt;何かを繰り返し引く様子から、何かを「扱う」というイメージになる。医療における患者の扱いなら「治療する」という意味になり、客への扱いならもてなし＝「食べ物や飲み物をふるまう, ごちそうする」という意味になる。&lt;/span&gt;</v>
      </c>
      <c r="R1479" s="13" t="str">
        <f>INDEX($L:$L, MATCH("retreat", $B:$B, 0))</f>
        <v>&lt;span class="w"&gt;&lt;b&gt;【1172.retreat：後退, 退却, 撤回】&lt;/b&gt;&lt;/span&gt;
&lt;span class="ml"&gt;ラテン語に由来する語で、以下の2つの要素から成る。
&lt;span class="spacer"&gt;&lt;/span&gt;re（後ろへ）
trahere（引く）
&lt;span class="spacer"&gt;&lt;/span&gt;この語の核は「後ろへ引くこと」。物理的に引っ込めることから「後退, 撤退, 撤回」といった意味になった。また引っ込んで隠れることから「隠れ家, 避難所」という意味にもなる。
&lt;div class="sample_image retreat"&gt;&lt;/div&gt;&lt;/span&gt;</v>
      </c>
      <c r="S1479" s="13" t="str">
        <f>INDEX($L:$L, MATCH("trace", $B:$B, 0))</f>
        <v>&lt;span class="w"&gt;&lt;b&gt;【618.trace：（足跡・起源など）をたどる】&lt;/b&gt;&lt;/span&gt;
&lt;span class="ml"&gt;ラテン語trahere（引く）に由来する。
&lt;span class="spacer"&gt;&lt;/span&gt;何かを引くとそのあとに跡ができる。その跡を目印にしてなぞることから「たどる」という意味になった。&lt;/span&gt;</v>
      </c>
      <c r="T1479" s="13" t="str">
        <f>INDEX($L:$L, MATCH("trait", $B:$B, 0))</f>
        <v>&lt;span class="w"&gt;&lt;b&gt;【455.trait：特性, 特徴】&lt;/b&gt;&lt;/span&gt;
&lt;span class="ml"&gt;ラテン語trahere（引く）に由来する。
&lt;span class="spacer"&gt;&lt;/span&gt;もともとは「（物理的にものを）引っ張る」という動作を意味していたが、そこからペンや筆で「引かれた線」を指すようになった。
&lt;span class="spacer"&gt;&lt;/span&gt;特に顔の絵を描く際の線は、他者と区別される「その人固有の顔立ち（身体的特徴）」となることから、最終的に目に見えない内面的な「特徴, 特性」という意味へと発展した。
&lt;div class="sample_image trait"&gt;&lt;/div&gt;&lt;/span&gt;</v>
      </c>
      <c r="U1479" s="13" t="str">
        <f>INDEX($L:$L, MATCH("trail", $B:$B, 0))</f>
        <v>&lt;span class="w"&gt;&lt;b&gt;【972.trail：小道, 跡】&lt;/b&gt;&lt;/span&gt;
&lt;span class="ml"&gt;古フランス語trailler（引く, 引きずる）に由来する。
&lt;span class="spacer"&gt;&lt;/span&gt;この語の核は「引きずってできたもの」。人や動物が通って引かれた「跡」や、繰り返し通ることでできる「小道」という意味になる。&lt;/span&gt;</v>
      </c>
      <c r="V1479" s="13" t="str">
        <f>INDEX($L:$L, MATCH("portray", $B:$B, 0))</f>
        <v>&lt;span class="w"&gt;&lt;b&gt;【1409.portray：〜を描く, 役を演じる】&lt;/b&gt;&lt;/span&gt;
&lt;span class="ml"&gt;古フランス語に由来する語で、以下の2つの要素から成る。
&lt;span class="spacer"&gt;&lt;/span&gt;por（前へ）
traire（引く, 線を引く）
&lt;span class="spacer"&gt;&lt;/span&gt;この語の核は「内部のイメージを外に引き出して形にする」。そこから、印象・状況・人物像・性格などさまざまなものを絵や言葉で「描く」という意味になる。また演技を通して形にすることから「演じる」という意味になる。
&lt;div class="sample_image portray"&gt;&lt;/div&gt;&lt;/span&gt;</v>
      </c>
      <c r="AU1479" s="15"/>
      <c r="AV1479" s="1" t="s">
        <v>38</v>
      </c>
      <c r="BG1479" s="7" t="s">
        <v>1242</v>
      </c>
      <c r="BH1479" s="1" t="s">
        <v>1947</v>
      </c>
      <c r="BI1479" s="2" t="s">
        <v>9999</v>
      </c>
      <c r="BJ1479" s="1" t="s">
        <v>1959</v>
      </c>
      <c r="BK1479" s="1" t="s">
        <v>7057</v>
      </c>
      <c r="BL1479" s="1" t="s">
        <v>2114</v>
      </c>
      <c r="BM1479" s="1" t="s">
        <v>7058</v>
      </c>
      <c r="BN1479" s="1" t="s">
        <v>1875</v>
      </c>
      <c r="BO1479" s="2" t="s">
        <v>7059</v>
      </c>
    </row>
    <row r="1480" spans="1:67" ht="126" x14ac:dyDescent="0.45">
      <c r="A1480" s="5">
        <v>1479</v>
      </c>
      <c r="B1480" s="6" t="s">
        <v>1215</v>
      </c>
      <c r="C1480" s="6" t="s">
        <v>6851</v>
      </c>
      <c r="D1480" s="7" t="s">
        <v>9752</v>
      </c>
      <c r="E1480" s="1" t="s">
        <v>7060</v>
      </c>
      <c r="F1480" s="1" t="s">
        <v>5123</v>
      </c>
      <c r="G1480" s="1"/>
      <c r="J1480" s="1" t="s">
        <v>9753</v>
      </c>
      <c r="L1480" s="2" t="s">
        <v>10000</v>
      </c>
      <c r="P1480" s="7" t="s">
        <v>1241</v>
      </c>
      <c r="Q1480" s="13" t="str">
        <f>INDEX($L:$L, MATCH("superior", $B:$B, 0))</f>
        <v>&lt;span class="w"&gt;&lt;b&gt;【493.superior：より優れた】&lt;/b&gt;&lt;/span&gt;
&lt;span class="ml"&gt;ラテン語に由来する語で、以下の3つの要素から成る。
&lt;span class="spacer"&gt;&lt;/span&gt;super（上に, 越えて）
us（形容詞化）
ior（比較級を作る）
&lt;span class="spacer"&gt;&lt;/span&gt;このまま日本語にすると「より上の」となる。物理的な位置関係において、何かよりも上であるということから、能力・品質・地位などが上であることへと発展し、「より優れた」という意味になった。
&lt;span class="spacer"&gt;&lt;/span&gt;ラテン語由来の比較のニュアンスが含まれる語は、比較対象をtoで示す。それらの語が、もともとは空間や時間的な位置関係を表し、to（〜に対して）で位置の基準を表したからである。
&lt;span class="spacer"&gt;&lt;/span&gt;superior to A：Aより上＝優れている
inferior to A：Aより下＝劣っている
prior to A：Aより前＝先行して&lt;/span&gt;</v>
      </c>
      <c r="AU1480" s="15"/>
      <c r="AV1480" s="1" t="s">
        <v>38</v>
      </c>
      <c r="BG1480" s="7" t="s">
        <v>1242</v>
      </c>
      <c r="BH1480" s="1" t="s">
        <v>1947</v>
      </c>
      <c r="BI1480" s="2" t="s">
        <v>7061</v>
      </c>
      <c r="BJ1480" s="1" t="s">
        <v>1996</v>
      </c>
      <c r="BK1480" s="2" t="s">
        <v>7062</v>
      </c>
      <c r="BL1480" s="1" t="s">
        <v>1877</v>
      </c>
      <c r="BM1480" s="2" t="s">
        <v>7063</v>
      </c>
    </row>
    <row r="1481" spans="1:67" ht="216" x14ac:dyDescent="0.45">
      <c r="A1481" s="5">
        <v>1480</v>
      </c>
      <c r="B1481" s="6" t="s">
        <v>1216</v>
      </c>
      <c r="C1481" s="6" t="s">
        <v>6851</v>
      </c>
      <c r="D1481" s="7" t="s">
        <v>9752</v>
      </c>
      <c r="E1481" s="1" t="s">
        <v>1216</v>
      </c>
      <c r="F1481" s="1"/>
      <c r="G1481" s="1"/>
      <c r="J1481" s="1" t="s">
        <v>9753</v>
      </c>
      <c r="K1481" s="1" t="s">
        <v>10001</v>
      </c>
      <c r="L1481" s="2" t="s">
        <v>10002</v>
      </c>
      <c r="P1481" s="7" t="s">
        <v>1241</v>
      </c>
      <c r="Q1481" s="13" t="str">
        <f>INDEX($L:$L, MATCH("thrill", $B:$B, 0))</f>
        <v>&lt;span class="w"&gt;&lt;b&gt;【1032.thrill：〜をぞくぞくさせる】&lt;/b&gt;&lt;/span&gt;
&lt;span class="ml"&gt;古英語þurh（通って：throughの語源）にさかのぼる。
&lt;span class="spacer"&gt;&lt;/span&gt;この語の核は「through＝通過」。もともとは物理的に穴を開けることを表したが、そこから感覚が全身を突き抜けるというぞくぞく感へと発展して「ぞくぞくさせる」という意味になった。&lt;/span&gt;</v>
      </c>
      <c r="AV1481" s="1" t="s">
        <v>38</v>
      </c>
      <c r="BG1481" s="7" t="s">
        <v>1242</v>
      </c>
      <c r="BH1481" s="1" t="s">
        <v>1872</v>
      </c>
      <c r="BI1481" s="1" t="s">
        <v>7064</v>
      </c>
      <c r="BJ1481" s="1" t="s">
        <v>1875</v>
      </c>
      <c r="BK1481" s="2" t="s">
        <v>10003</v>
      </c>
    </row>
    <row r="1482" spans="1:67" ht="72" x14ac:dyDescent="0.45">
      <c r="A1482" s="5">
        <v>1481</v>
      </c>
      <c r="B1482" s="6" t="s">
        <v>1217</v>
      </c>
      <c r="C1482" s="6" t="s">
        <v>6851</v>
      </c>
      <c r="D1482" s="7" t="s">
        <v>9752</v>
      </c>
      <c r="E1482" s="1" t="s">
        <v>1217</v>
      </c>
      <c r="F1482" s="1"/>
      <c r="G1482" s="1"/>
      <c r="J1482" s="1" t="s">
        <v>9753</v>
      </c>
      <c r="L1482" s="2" t="s">
        <v>10004</v>
      </c>
      <c r="P1482" s="7" t="s">
        <v>1241</v>
      </c>
      <c r="AV1482" s="1" t="s">
        <v>38</v>
      </c>
      <c r="BG1482" s="7" t="s">
        <v>1242</v>
      </c>
      <c r="BH1482" s="1" t="s">
        <v>1872</v>
      </c>
      <c r="BI1482" s="1" t="s">
        <v>7065</v>
      </c>
      <c r="BJ1482" s="1" t="s">
        <v>1875</v>
      </c>
      <c r="BK1482" s="2" t="s">
        <v>7066</v>
      </c>
      <c r="BL1482" s="1" t="s">
        <v>1877</v>
      </c>
      <c r="BM1482" s="1" t="s">
        <v>7067</v>
      </c>
    </row>
    <row r="1483" spans="1:67" ht="162" x14ac:dyDescent="0.45">
      <c r="A1483" s="5">
        <v>1482</v>
      </c>
      <c r="B1483" s="6" t="s">
        <v>1218</v>
      </c>
      <c r="C1483" s="6" t="s">
        <v>6851</v>
      </c>
      <c r="D1483" s="7" t="s">
        <v>9752</v>
      </c>
      <c r="E1483" s="1" t="s">
        <v>1218</v>
      </c>
      <c r="F1483" s="1"/>
      <c r="G1483" s="1"/>
      <c r="J1483" s="1" t="s">
        <v>9753</v>
      </c>
      <c r="L1483" s="2" t="s">
        <v>10005</v>
      </c>
      <c r="P1483" s="7" t="s">
        <v>1241</v>
      </c>
      <c r="AV1483" s="1" t="s">
        <v>38</v>
      </c>
      <c r="BG1483" s="7" t="s">
        <v>1242</v>
      </c>
      <c r="BH1483" s="1" t="s">
        <v>1976</v>
      </c>
      <c r="BI1483" s="2" t="s">
        <v>10006</v>
      </c>
      <c r="BJ1483" s="1" t="s">
        <v>1947</v>
      </c>
      <c r="BK1483" s="1" t="s">
        <v>7068</v>
      </c>
      <c r="BL1483" s="1" t="s">
        <v>1996</v>
      </c>
      <c r="BM1483" s="2" t="s">
        <v>7069</v>
      </c>
      <c r="BN1483" s="1" t="s">
        <v>1877</v>
      </c>
      <c r="BO1483" s="2" t="s">
        <v>7070</v>
      </c>
    </row>
    <row r="1484" spans="1:67" ht="144" x14ac:dyDescent="0.45">
      <c r="A1484" s="5">
        <v>1483</v>
      </c>
      <c r="B1484" s="6" t="s">
        <v>1219</v>
      </c>
      <c r="C1484" s="6" t="s">
        <v>6851</v>
      </c>
      <c r="D1484" s="7" t="s">
        <v>9752</v>
      </c>
      <c r="E1484" s="1" t="s">
        <v>1219</v>
      </c>
      <c r="F1484" s="1"/>
      <c r="G1484" s="1"/>
      <c r="J1484" s="1" t="s">
        <v>9753</v>
      </c>
      <c r="K1484" s="2" t="s">
        <v>10007</v>
      </c>
      <c r="L1484" s="2" t="s">
        <v>10008</v>
      </c>
      <c r="P1484" s="7" t="s">
        <v>1241</v>
      </c>
      <c r="AV1484" s="1" t="s">
        <v>38</v>
      </c>
      <c r="BG1484" s="7" t="s">
        <v>1242</v>
      </c>
      <c r="BH1484" s="1" t="s">
        <v>1872</v>
      </c>
      <c r="BI1484" s="1" t="s">
        <v>7071</v>
      </c>
      <c r="BJ1484" s="1" t="s">
        <v>1875</v>
      </c>
      <c r="BK1484" s="2" t="s">
        <v>7072</v>
      </c>
      <c r="BL1484" s="1" t="s">
        <v>1877</v>
      </c>
      <c r="BM1484" s="2" t="s">
        <v>7073</v>
      </c>
    </row>
    <row r="1485" spans="1:67" ht="126" x14ac:dyDescent="0.45">
      <c r="A1485" s="5">
        <v>1484</v>
      </c>
      <c r="B1485" s="6" t="s">
        <v>1220</v>
      </c>
      <c r="C1485" s="6" t="s">
        <v>6851</v>
      </c>
      <c r="D1485" s="7" t="s">
        <v>9752</v>
      </c>
      <c r="E1485" s="1" t="s">
        <v>27</v>
      </c>
      <c r="F1485" s="1" t="s">
        <v>321</v>
      </c>
      <c r="G1485" s="1"/>
      <c r="J1485" s="1" t="s">
        <v>9753</v>
      </c>
      <c r="L1485" s="2" t="s">
        <v>10009</v>
      </c>
      <c r="M1485" s="1" t="s">
        <v>12123</v>
      </c>
      <c r="P1485" s="7" t="s">
        <v>1241</v>
      </c>
      <c r="Q1485" s="13" t="str">
        <f>INDEX($L:$L, MATCH("affect", $B:$B, 0))</f>
        <v>&lt;span class="w"&gt;&lt;b&gt;【25.affect：～に影響する】&lt;/b&gt;&lt;/span&gt;
&lt;span class="ml"&gt;ラテン語に由来する語で、以下の2つの要素から成る。
&lt;span class="spacer"&gt;&lt;/span&gt;ad（～へ）
facere（する, 作る）
&lt;span class="spacer"&gt;&lt;/span&gt;このまま日本語にすると「～へ何かをする」となる。ここから精神的もしくは物理的に「影響する」という意味になる。&lt;/span&gt;</v>
      </c>
      <c r="R1485" s="13" t="str">
        <f>INDEX($L:$L, MATCH("effect", $B:$B, 0))</f>
        <v>&lt;span class="w"&gt;&lt;b&gt;【48.effect：影響, 効果】&lt;/b&gt;&lt;/span&gt;
&lt;span class="ml"&gt;ラテン語に由来する語で、以下の2つの要素から成る。
&lt;span class="spacer"&gt;&lt;/span&gt;ex（外へ）
facere（行う）
&lt;span class="spacer"&gt;&lt;/span&gt;このまま日本語にすると「行なって外へ」となる。何かを行なった結果として外に出てきたものというイメージから、「影響, 効果」という意味になる。
&lt;span class="spacer"&gt;&lt;/span&gt;サウンドエフェクトやゲームのエフェクトといった「効果」と関連させて覚える。
&lt;span class="spacer"&gt;&lt;/span&gt;effectは、何かを行なった結果として現実に出てきたものなので、かつては「現実, 事実」という意味があった。この意味はin effect「実際に, 事実上」に残っている。&lt;/span&gt;</v>
      </c>
      <c r="S1485" s="13" t="str">
        <f>INDEX($L:$L, MATCH("infection", $B:$B, 0))</f>
        <v>&lt;span class="w"&gt;&lt;b&gt;【852.infection：感染（症）】&lt;/b&gt;&lt;/span&gt;
&lt;span class="ml"&gt;ラテン語に由来する語で、以下の3つの要素から成る。
&lt;span class="spacer"&gt;&lt;/span&gt;in（中に）
facere（行う, 作る）
io（名詞化）
&lt;span class="spacer"&gt;&lt;/span&gt;このまま日本語にすると「中に（入れて）行う」となる。もともとは、布を染料の中に入れて染めることを表したが、次第に美しく染めるだけではなく、悪いものが入り込んで汚染することも表すようになった。そこから医学において、悪いものが体の中に入って健康体を病気に染めていくこと、つまり「感染（症）」という意味になった。
&lt;div class="sample_image infection"&gt;&lt;/div&gt;&lt;/span&gt;</v>
      </c>
      <c r="T1485" s="13" t="str">
        <f>INDEX($L:$L, MATCH("efficient", $B:$B, 0))</f>
        <v>&lt;span class="w"&gt;&lt;b&gt;【281.efficient：効率的な, 有能な】&lt;/b&gt;&lt;/span&gt;
&lt;span class="ml"&gt;ラテン語に由来する語で、以下の2つの要素から成る。
&lt;span class="spacer"&gt;&lt;/span&gt;ex（外に）
facere（作る, する）
&lt;span class="spacer"&gt;&lt;/span&gt;この語の核は何かを外に作り出す際に「テキパキしている」こと。結果や効果を作り出す際に無駄なく、素早く行うことから「効率的な, 有能な」という意味になる。
&lt;div class="sample_image efficient"&gt;&lt;/div&gt;&lt;/span&gt;</v>
      </c>
      <c r="U1485" s="13" t="str">
        <f>INDEX($L:$L, MATCH("sufficient", $B:$B, 0))</f>
        <v>&lt;span class="w"&gt;&lt;b&gt;【483.sufficient：十分な（=enough）】&lt;/b&gt;&lt;/span&gt;
&lt;span class="ml"&gt;ラテン語に由来する語で、以下の2つの要素から成る。
&lt;span class="spacer"&gt;&lt;/span&gt;sub（下から）
facere（行う, 作る）
&lt;span class="spacer"&gt;&lt;/span&gt;このまま日本語にすると「下から作る」となる。これは、下から必要とされるラインまで作り上げるというイメージ。ここから、数量が足りていて「十分な」という意味になる。
&lt;div class="sample_image sufficient"&gt;&lt;/div&gt;
&lt;span class="spacer"&gt;&lt;/span&gt;［sufficientとadequate］
&lt;span class="spacer"&gt;&lt;/span&gt;sufficient：必要な分まで足りるという意味で「十分な」という感じ。否定のinsufficientは「不足している」という意味になる。
&lt;span class="spacer"&gt;&lt;/span&gt;adequate：必要最低限の水準は満たしていて「十分な」という感じ。否定のinadequateは「不適切な」という意味になる。またadequateは、質はまぁまぁという少しネガティブな印象を含むことがある。&lt;/span&gt;</v>
      </c>
      <c r="AU1485" s="15"/>
      <c r="AV1485" s="1" t="s">
        <v>38</v>
      </c>
      <c r="BG1485" s="7" t="s">
        <v>1242</v>
      </c>
      <c r="BH1485" s="1" t="s">
        <v>2036</v>
      </c>
      <c r="BI1485" s="2" t="s">
        <v>7074</v>
      </c>
      <c r="BJ1485" s="1" t="s">
        <v>1959</v>
      </c>
      <c r="BK1485" s="2" t="s">
        <v>7075</v>
      </c>
      <c r="BL1485" s="1" t="s">
        <v>1875</v>
      </c>
      <c r="BM1485" s="2" t="s">
        <v>7076</v>
      </c>
    </row>
    <row r="1486" spans="1:67" ht="90" x14ac:dyDescent="0.45">
      <c r="A1486" s="5">
        <v>1485</v>
      </c>
      <c r="B1486" s="6" t="s">
        <v>1221</v>
      </c>
      <c r="C1486" s="6" t="s">
        <v>6851</v>
      </c>
      <c r="D1486" s="7" t="s">
        <v>9752</v>
      </c>
      <c r="E1486" s="1" t="s">
        <v>1221</v>
      </c>
      <c r="F1486" s="1"/>
      <c r="G1486" s="1"/>
      <c r="J1486" s="1" t="s">
        <v>9753</v>
      </c>
      <c r="L1486" s="2" t="s">
        <v>10010</v>
      </c>
      <c r="P1486" s="7" t="s">
        <v>1241</v>
      </c>
      <c r="AV1486" s="1" t="s">
        <v>38</v>
      </c>
      <c r="BG1486" s="7" t="s">
        <v>1242</v>
      </c>
      <c r="BH1486" s="1" t="s">
        <v>1872</v>
      </c>
      <c r="BI1486" s="1" t="s">
        <v>7077</v>
      </c>
      <c r="BJ1486" s="1" t="s">
        <v>1875</v>
      </c>
      <c r="BK1486" s="2" t="s">
        <v>7078</v>
      </c>
    </row>
    <row r="1487" spans="1:67" ht="162" x14ac:dyDescent="0.45">
      <c r="A1487" s="5">
        <v>1486</v>
      </c>
      <c r="B1487" s="6" t="s">
        <v>1222</v>
      </c>
      <c r="C1487" s="6" t="s">
        <v>6851</v>
      </c>
      <c r="D1487" s="7" t="s">
        <v>9752</v>
      </c>
      <c r="E1487" s="1" t="s">
        <v>1222</v>
      </c>
      <c r="F1487" s="1"/>
      <c r="G1487" s="1"/>
      <c r="J1487" s="1" t="s">
        <v>9753</v>
      </c>
      <c r="K1487" s="2"/>
      <c r="L1487" s="3" t="s">
        <v>10011</v>
      </c>
      <c r="P1487" s="7" t="s">
        <v>1241</v>
      </c>
      <c r="Q1487" s="13" t="str">
        <f>INDEX($L:$L, MATCH("eager", $B:$B, 0))</f>
        <v>&lt;span class="w"&gt;&lt;b&gt;【798.eager：熱望して, 熱心な】&lt;/b&gt;&lt;/span&gt;
&lt;span class="ml"&gt;ラテン語acer（鋭い, 尖った, 熱心な）に由来する。
&lt;span class="spacer"&gt;&lt;/span&gt;鋭いとは、先端が一点に集中しているイメージ。そこから、意識や意欲を一点に向ける感じを表し、何かに対して「熱心な, 熱望して」という意味になる。
&lt;span class="spacer"&gt;&lt;/span&gt;be eager to doは、to do（すること）という一点に意識や意欲が向いているイメージ。だから「しきりに〜すたがる」という意味になる。&lt;/span&gt;</v>
      </c>
      <c r="AU1487" s="15"/>
      <c r="AV1487" s="1" t="s">
        <v>38</v>
      </c>
      <c r="BG1487" s="7" t="s">
        <v>1242</v>
      </c>
      <c r="BH1487" s="1" t="s">
        <v>1947</v>
      </c>
      <c r="BI1487" s="2" t="s">
        <v>7079</v>
      </c>
      <c r="BJ1487" s="1" t="s">
        <v>1875</v>
      </c>
      <c r="BK1487" s="2" t="s">
        <v>7080</v>
      </c>
      <c r="BL1487" s="1" t="s">
        <v>1877</v>
      </c>
      <c r="BM1487" s="2" t="s">
        <v>7081</v>
      </c>
    </row>
    <row r="1488" spans="1:67" ht="126" x14ac:dyDescent="0.45">
      <c r="A1488" s="5">
        <v>1487</v>
      </c>
      <c r="B1488" s="8" t="s">
        <v>1223</v>
      </c>
      <c r="C1488" s="6" t="s">
        <v>6851</v>
      </c>
      <c r="D1488" s="7" t="s">
        <v>9752</v>
      </c>
      <c r="E1488" s="1" t="s">
        <v>1505</v>
      </c>
      <c r="F1488" s="1" t="s">
        <v>1456</v>
      </c>
      <c r="G1488" s="1" t="s">
        <v>1819</v>
      </c>
      <c r="J1488" s="1" t="s">
        <v>9753</v>
      </c>
      <c r="L1488" s="2" t="s">
        <v>10012</v>
      </c>
      <c r="M1488" s="1" t="s">
        <v>12193</v>
      </c>
      <c r="P1488" s="7" t="s">
        <v>1241</v>
      </c>
      <c r="Q1488" s="13" t="str">
        <f>INDEX($L:$L, MATCH("enable", $B:$B, 0))</f>
        <v>&lt;span class="w"&gt;&lt;b&gt;【309.enable：可能にする】&lt;/b&gt;&lt;/span&gt;
&lt;span class="ml"&gt;中英語en（動詞化）+able（～できる）にさかのぼる。
&lt;span class="spacer"&gt;&lt;/span&gt;このenはもう一つの要素を動詞化する働きがある。ここではableを動詞化して「可能にする」という意味になる。&lt;/span&gt;</v>
      </c>
      <c r="R1488" s="13" t="str">
        <f>INDEX($L:$L, MATCH("inability", $B:$B, 0))</f>
        <v>&lt;span class="w"&gt;&lt;b&gt;【1266.inability：無能, 無力】&lt;/b&gt;&lt;/span&gt;
&lt;span class="ml"&gt;中英語にさかのぼり、以下の2つの要素から成る。
&lt;span class="spacer"&gt;&lt;/span&gt;in（否定）
habilite（可能, 能力）
&lt;span class="spacer"&gt;&lt;/span&gt;これは、可能・能力の否定なので「無能, 無力」という意味になる。able（できる）の名詞ability（能力）を否定して、能力がない＝「無能, 無力」と覚えればよい。&lt;/span&gt;</v>
      </c>
      <c r="AU1488" s="15"/>
      <c r="AV1488" s="1" t="s">
        <v>38</v>
      </c>
      <c r="BG1488" s="7" t="s">
        <v>1242</v>
      </c>
      <c r="BH1488" s="1" t="s">
        <v>1875</v>
      </c>
      <c r="BI1488" s="2" t="s">
        <v>10013</v>
      </c>
      <c r="BJ1488" s="1" t="s">
        <v>1877</v>
      </c>
      <c r="BK1488" s="2" t="s">
        <v>10014</v>
      </c>
    </row>
    <row r="1489" spans="1:69" ht="126" x14ac:dyDescent="0.45">
      <c r="A1489" s="5">
        <v>1488</v>
      </c>
      <c r="B1489" s="8" t="s">
        <v>1224</v>
      </c>
      <c r="C1489" s="6" t="s">
        <v>6851</v>
      </c>
      <c r="D1489" s="7" t="s">
        <v>9752</v>
      </c>
      <c r="E1489" s="1" t="s">
        <v>7082</v>
      </c>
      <c r="F1489" s="1" t="s">
        <v>1905</v>
      </c>
      <c r="G1489" s="1" t="s">
        <v>1595</v>
      </c>
      <c r="J1489" s="1" t="s">
        <v>9753</v>
      </c>
      <c r="L1489" s="2" t="s">
        <v>10015</v>
      </c>
      <c r="P1489" s="7" t="s">
        <v>1241</v>
      </c>
      <c r="Q1489" s="13" t="str">
        <f>INDEX($L:$L, MATCH("policy", $B:$B, 0))</f>
        <v>&lt;span class="w"&gt;&lt;b&gt;【146.policy：政策, 方針】&lt;/b&gt;&lt;/span&gt;
&lt;span class="ml"&gt;ギリシャ語polis（都市）に由来する。
&lt;span class="spacer"&gt;&lt;/span&gt;古代ギリシャのpolis（都市国家, ポリス）からは、そこに住む市民や、市民の統治＝政治に関する語が生まれている。
&lt;span class="spacer"&gt;&lt;/span&gt;policyも都市国家ポリスに関わり、国家を運営していく上でその方向性を示す「政策, 方針」という意味になる。また国家運営に限らず、組織運営や個人の行動の「方針」という意味にもなる。&lt;/span&gt;</v>
      </c>
      <c r="R1489" s="13" t="str">
        <f>INDEX($L:$L, MATCH("political", $B:$B, 0))</f>
        <v>&lt;span class="w"&gt;&lt;b&gt;【95.political：政治の】&lt;/b&gt;&lt;/span&gt;
&lt;span class="ml"&gt;ギリシャ語に由来する語で、以下の3つの要素から成る。
&lt;span class="spacer"&gt;&lt;/span&gt;polis（都市）から派生したpolitēs（市民）
ikos（形容詞化）
&lt;span class="obsolete"&gt;al（形容詞化）は英語段階で付いた&lt;/span&gt;
&lt;span class="spacer"&gt;&lt;/span&gt;古代ギリシャのpolis（都市国家, ポリス）から、そこに住む市民（politēs）、そして市民の統治＝「政治の」（politikos）という語が生まれた。
&lt;span class="spacer"&gt;&lt;/span&gt;polis（ポリス）に由来する語には以下のものがある。
political（政治の）
politics（政治, 政治学）
policy（政策）
police（警察, 市民の平和を守る組織）&lt;/span&gt;</v>
      </c>
      <c r="AU1489" s="15"/>
      <c r="AV1489" s="1" t="s">
        <v>38</v>
      </c>
      <c r="BG1489" s="7" t="s">
        <v>1242</v>
      </c>
      <c r="BH1489" s="1" t="s">
        <v>2458</v>
      </c>
      <c r="BI1489" s="2" t="s">
        <v>7083</v>
      </c>
      <c r="BJ1489" s="1" t="s">
        <v>2036</v>
      </c>
      <c r="BK1489" s="1" t="s">
        <v>7084</v>
      </c>
      <c r="BL1489" s="1" t="s">
        <v>1875</v>
      </c>
      <c r="BM1489" s="2" t="s">
        <v>7085</v>
      </c>
      <c r="BN1489" s="1" t="s">
        <v>1877</v>
      </c>
      <c r="BO1489" s="2" t="s">
        <v>7086</v>
      </c>
    </row>
    <row r="1490" spans="1:69" ht="108" x14ac:dyDescent="0.45">
      <c r="A1490" s="5">
        <v>1489</v>
      </c>
      <c r="B1490" s="6" t="s">
        <v>1225</v>
      </c>
      <c r="C1490" s="6" t="s">
        <v>6851</v>
      </c>
      <c r="D1490" s="7" t="s">
        <v>9752</v>
      </c>
      <c r="E1490" s="1" t="s">
        <v>7087</v>
      </c>
      <c r="F1490" s="1" t="s">
        <v>1927</v>
      </c>
      <c r="G1490" s="1"/>
      <c r="J1490" s="1" t="s">
        <v>9753</v>
      </c>
      <c r="K1490" s="1" t="s">
        <v>7088</v>
      </c>
      <c r="L1490" s="2" t="s">
        <v>10016</v>
      </c>
      <c r="P1490" s="7" t="s">
        <v>1241</v>
      </c>
      <c r="AV1490" s="1" t="s">
        <v>38</v>
      </c>
      <c r="BG1490" s="7" t="s">
        <v>1242</v>
      </c>
      <c r="BH1490" s="1" t="s">
        <v>1947</v>
      </c>
      <c r="BI1490" s="1" t="s">
        <v>7089</v>
      </c>
      <c r="BJ1490" s="1" t="s">
        <v>2036</v>
      </c>
      <c r="BK1490" s="2" t="s">
        <v>7090</v>
      </c>
      <c r="BL1490" s="1" t="s">
        <v>1877</v>
      </c>
      <c r="BM1490" s="2" t="s">
        <v>7091</v>
      </c>
    </row>
    <row r="1491" spans="1:69" ht="252" x14ac:dyDescent="0.45">
      <c r="A1491" s="5">
        <v>1490</v>
      </c>
      <c r="B1491" s="8" t="s">
        <v>1226</v>
      </c>
      <c r="C1491" s="6" t="s">
        <v>6851</v>
      </c>
      <c r="D1491" s="7" t="s">
        <v>9752</v>
      </c>
      <c r="E1491" s="1" t="s">
        <v>49</v>
      </c>
      <c r="F1491" s="1" t="s">
        <v>1720</v>
      </c>
      <c r="G1491" s="1" t="s">
        <v>6390</v>
      </c>
      <c r="J1491" s="1" t="s">
        <v>9753</v>
      </c>
      <c r="K1491" s="2" t="s">
        <v>10017</v>
      </c>
      <c r="L1491" s="3" t="s">
        <v>10018</v>
      </c>
      <c r="M1491" s="1" t="s">
        <v>12208</v>
      </c>
      <c r="P1491" s="7" t="s">
        <v>1241</v>
      </c>
      <c r="Q1491" s="13" t="str">
        <f>INDEX($L:$L, MATCH("alter", $B:$B, 0))</f>
        <v>&lt;span class="w"&gt;&lt;b&gt;【524.alter：〜を変える, 変わる】&lt;/b&gt;&lt;/span&gt;
&lt;span class="ml"&gt;次の2つの印欧祖語の要素にさかのぼる。
&lt;span class="spacer"&gt;&lt;/span&gt;*al（向こう側に）
ter（比較級接尾辞）
&lt;span class="spacer"&gt;&lt;/span&gt;この語はもともと比較の要素を持っており、核となるのは「こちら側と向こう側を比較して向こう側」ということ。ここから、2つのうち一方ではなくてもう一方ということを表した。これが動詞になって一方から他方に「変える, 変わる」という意味になった。&lt;/span&gt;</v>
      </c>
      <c r="R1491" s="13" t="str">
        <f>INDEX($L:$L, MATCH("alien", $B:$B, 0))</f>
        <v>&lt;span class="w"&gt;&lt;b&gt;【596.alien：異質の, 外国の, 宇宙人の】&lt;/b&gt;&lt;/span&gt;
&lt;span class="ml"&gt;印欧祖語*al-（向こうに, 越えて）から派生したラテン語alius（他の, 別の）に由来する。
&lt;span class="spacer"&gt;&lt;/span&gt;これは、自分たち側ではない、つまり自分たちとは違うということから「異質の」という意味になる。古代の人々の視点で考えれば、住む場所が違えば、言葉や文化、宗教などが異なり、理解の及ばない異質な存在となる。そのため「向こうに」から「他の, 別の」そして「異質な」へと発展したと考えられる。
&lt;span class="spacer"&gt;&lt;/span&gt;これが国単位になれば「外国の」となり、地球単位で考えれば「宇宙人の」という意味になる。
&lt;span class="spacer"&gt;&lt;/span&gt;ちなみにミステリ小説などで使われる「アリバイ」という言葉は、ラテン語aliusが、場所を意味する形になったalibi（他の場所）に由来する。事件当時に他の場所にいたことを示すことから、alibiという語が使われるようになった。&lt;/span&gt;</v>
      </c>
      <c r="S1491" s="13" t="str">
        <f>INDEX($L:$L, MATCH("parallel", $B:$B, 0))</f>
        <v>&lt;span class="w"&gt;&lt;b&gt;【1186.parallel：平行の, 並行の】&lt;/b&gt;&lt;/span&gt;
&lt;span class="ml"&gt;ギリシャ語に由来する語で、以下の2つの要素から成る。
&lt;span class="spacer"&gt;&lt;/span&gt;para（傍らに）
allēlois（お互いに）
&lt;span class="spacer"&gt;&lt;/span&gt;このまま日本語にすると「お互いが傍にある」となる。そこから幾何学において、お互いが傍にあって交わらない＝「平行な」や、お互いが傍に並んで進んで行く＝「並行な」という意味になった。
&lt;div class="sample_image parallel"&gt;&lt;/div&gt;&lt;/span&gt;</v>
      </c>
      <c r="AU1491" s="15"/>
      <c r="AV1491" s="1" t="s">
        <v>38</v>
      </c>
      <c r="BG1491" s="7" t="s">
        <v>1242</v>
      </c>
      <c r="BH1491" s="1" t="s">
        <v>1976</v>
      </c>
      <c r="BI1491" s="2" t="s">
        <v>7092</v>
      </c>
      <c r="BJ1491" s="1" t="s">
        <v>1947</v>
      </c>
      <c r="BK1491" s="2" t="s">
        <v>7093</v>
      </c>
      <c r="BL1491" s="1" t="s">
        <v>1877</v>
      </c>
      <c r="BM1491" s="2" t="s">
        <v>7094</v>
      </c>
    </row>
    <row r="1492" spans="1:69" ht="126" x14ac:dyDescent="0.45">
      <c r="A1492" s="5">
        <v>1491</v>
      </c>
      <c r="B1492" s="8" t="s">
        <v>1227</v>
      </c>
      <c r="C1492" s="6" t="s">
        <v>6851</v>
      </c>
      <c r="D1492" s="7" t="s">
        <v>9752</v>
      </c>
      <c r="E1492" s="1" t="s">
        <v>5538</v>
      </c>
      <c r="F1492" s="1" t="s">
        <v>49</v>
      </c>
      <c r="G1492" s="1"/>
      <c r="J1492" s="1" t="s">
        <v>9753</v>
      </c>
      <c r="L1492" s="2" t="s">
        <v>10019</v>
      </c>
      <c r="P1492" s="7" t="s">
        <v>1241</v>
      </c>
      <c r="Q1492" s="13" t="str">
        <f>INDEX($L:$L, MATCH("proportion", $B:$B, 0))</f>
        <v>&lt;span class="w"&gt;&lt;b&gt;【464.proportion：割合, つり合い, 比例】&lt;/b&gt;&lt;/span&gt;
&lt;span class="ml"&gt;ラテン語に由来する語で、以下の2つの要素から成る。
&lt;span class="spacer"&gt;&lt;/span&gt;pro（〜に対して）
pars（部分）から派生した*portio（部分）
&lt;span class="spacer"&gt;&lt;/span&gt;この二つが合わさることで、「全体や他の要素に対して（pro）、ある部分（portio）がどのような関係にあるか」を表すようになる。
&lt;span class="spacer"&gt;&lt;/span&gt;具体的には、全体と部分、あるいは部分同士の大きさを比較する考え方から、主に以下の3つの意味へと派生した。
&lt;span class="spacer"&gt;&lt;/span&gt;「割合」： 全体と部分の大きさの比較。全体（100）に対して、ある部分（10）なら10％という割合になる。
&lt;span class="spacer"&gt;&lt;/span&gt;「比例」： ある部分と全体・他の部分との比較。ある部分が変化した際、同じ比率で全体や他の部分も連動して変化する。
&lt;span class="spacer"&gt;&lt;/span&gt;「つり合い」： ある部分と全体・他の部分との比較。全体や他の部分に対して、ある部分の大きさやバランスが適切に保たれている状態。
&lt;div class="sample_image proportion"&gt;&lt;/div&gt;&lt;/span&gt;</v>
      </c>
      <c r="R1492" s="13" t="str">
        <f>INDEX($L:$L, MATCH("portion", $B:$B, 0))</f>
        <v>&lt;span class="w"&gt;&lt;b&gt;【869.portion：部分, 1人前, 割り当て】&lt;/b&gt;&lt;/span&gt;
&lt;span class="ml"&gt;ラテン語portio（部分, 分け前）に由来する。
&lt;span class="spacer"&gt;&lt;/span&gt;この語の核は「全体を分けて何かに割り当てた部分」。そこから「1人前, 割り当て, 部分」という意味になる。&lt;/span&gt;</v>
      </c>
      <c r="S1492" s="13" t="str">
        <f>INDEX($L:$L, MATCH("particle", $B:$B, 0))</f>
        <v>&lt;span class="w"&gt;&lt;b&gt;【1059.particle：（微）粒子, ほんのわずか】&lt;/b&gt;&lt;/span&gt;
&lt;span class="ml"&gt;ラテン語に由来する語で、以下の2つの要素から成る。
&lt;span class="spacer"&gt;&lt;/span&gt;pars（部分）
cula（小さいことを表す）
&lt;span class="spacer"&gt;&lt;/span&gt;このまま日本語にすると「小さい部分」となり、そこから「（微）粒子, ほんのわずか」という意味になった。&lt;/span&gt;</v>
      </c>
      <c r="T1492" s="13" t="str">
        <f>INDEX($L:$L, MATCH("depart", $B:$B, 0))</f>
        <v>&lt;span class="w"&gt;&lt;b&gt;【1415.depart：出発する, それる】&lt;/b&gt;&lt;/span&gt;
&lt;span class="ml"&gt;ラテン語に由来する語で、以下の2つの要素から成る。
&lt;span class="spacer"&gt;&lt;/span&gt;de（〜から）
pars（部分, 分け前）から派生したpartire（分ける）
&lt;span class="spacer"&gt;&lt;/span&gt;このまま日本語にすると「〜から分ける」となる。くっついてまとまっている状態から分かれて離れるイメージ。そこから、今いる場所から離れる＝「出発する」や、本来の流れから「それる」という意味になる。
&lt;div class="sample_image depart"&gt;&lt;/div&gt;&lt;/span&gt;</v>
      </c>
      <c r="U1492" s="13" t="str">
        <f>INDEX($L:$L, MATCH("counterpart", $B:$B, 0))</f>
        <v>&lt;span class="w"&gt;&lt;b&gt;【969.counterpart：相当する物や人】&lt;/b&gt;&lt;/span&gt;
&lt;span class="ml"&gt;フランス語に由来する語で、以下の2つの要素から成る。
&lt;span class="spacer"&gt;&lt;/span&gt;contra（対して）
partie（分けられたもの, 部分, 写し）
&lt;span class="spacer"&gt;&lt;/span&gt;このまま日本語にすると「何かに対応させて分けられたもの」となる。もともとは法的な文書を写して分けたものを表した。法的文書の写しは元の文書と同等のものであることから、一般的な意味に発展し、何かに「相当する物や人」という意味になった。&lt;/span&gt;</v>
      </c>
      <c r="V1492" s="13" t="str">
        <f>INDEX($L:$L, MATCH("particular", $B:$B, 0))</f>
        <v>&lt;span class="w"&gt;&lt;b&gt;【90.particular：特定の, こだわる】&lt;/b&gt;&lt;/span&gt;
&lt;span class="ml"&gt;ラテン語に由来する語で、以下の3つの要素から成る。
&lt;span class="spacer"&gt;&lt;/span&gt;pars（部分：partの語源）
cula（小さいことを表す）
arius（形容詞化）
&lt;span class="spacer"&gt;&lt;/span&gt;このまま日本語にすると「小さな部分の」となる。全体ではなく、ある一部分に目を向けることから、「特定の」という意味になる。また全体ではなく、細かい部分に目がいくということから、「こだわる, 口うるさい」という意味になる。&lt;/span&gt;</v>
      </c>
      <c r="AV1492" s="1" t="s">
        <v>38</v>
      </c>
      <c r="BG1492" s="7" t="s">
        <v>1242</v>
      </c>
      <c r="BH1492" s="1" t="s">
        <v>1947</v>
      </c>
      <c r="BI1492" s="1" t="s">
        <v>7096</v>
      </c>
      <c r="BJ1492" s="1" t="s">
        <v>7097</v>
      </c>
      <c r="BK1492" s="2" t="s">
        <v>7098</v>
      </c>
      <c r="BL1492" s="1" t="s">
        <v>1959</v>
      </c>
      <c r="BM1492" s="2" t="s">
        <v>7099</v>
      </c>
      <c r="BN1492" s="1" t="s">
        <v>1875</v>
      </c>
      <c r="BO1492" s="2" t="s">
        <v>7100</v>
      </c>
      <c r="BP1492" s="1" t="s">
        <v>1877</v>
      </c>
      <c r="BQ1492" s="2" t="s">
        <v>7101</v>
      </c>
    </row>
    <row r="1493" spans="1:69" ht="180" x14ac:dyDescent="0.45">
      <c r="A1493" s="5">
        <v>1492</v>
      </c>
      <c r="B1493" s="6" t="s">
        <v>1228</v>
      </c>
      <c r="C1493" s="6" t="s">
        <v>6851</v>
      </c>
      <c r="D1493" s="7" t="s">
        <v>9752</v>
      </c>
      <c r="E1493" s="1" t="s">
        <v>7102</v>
      </c>
      <c r="F1493" s="1" t="s">
        <v>1758</v>
      </c>
      <c r="G1493" s="1"/>
      <c r="J1493" s="1" t="s">
        <v>9753</v>
      </c>
      <c r="K1493" s="2" t="s">
        <v>10020</v>
      </c>
      <c r="L1493" s="2" t="s">
        <v>10021</v>
      </c>
      <c r="P1493" s="7" t="s">
        <v>1241</v>
      </c>
      <c r="AU1493" s="15"/>
      <c r="AV1493" s="1" t="s">
        <v>38</v>
      </c>
      <c r="BG1493" s="7" t="s">
        <v>1242</v>
      </c>
      <c r="BH1493" s="1" t="s">
        <v>1947</v>
      </c>
      <c r="BI1493" s="2" t="s">
        <v>10022</v>
      </c>
      <c r="BJ1493" s="1" t="s">
        <v>1959</v>
      </c>
      <c r="BK1493" s="2" t="s">
        <v>7103</v>
      </c>
      <c r="BL1493" s="1" t="s">
        <v>1875</v>
      </c>
      <c r="BM1493" s="2" t="s">
        <v>7104</v>
      </c>
    </row>
    <row r="1494" spans="1:69" ht="180" x14ac:dyDescent="0.45">
      <c r="A1494" s="5">
        <v>1493</v>
      </c>
      <c r="B1494" s="6" t="s">
        <v>1229</v>
      </c>
      <c r="C1494" s="6" t="s">
        <v>6851</v>
      </c>
      <c r="D1494" s="7" t="s">
        <v>9752</v>
      </c>
      <c r="E1494" s="1" t="s">
        <v>7105</v>
      </c>
      <c r="F1494" s="1" t="s">
        <v>1551</v>
      </c>
      <c r="G1494" s="1"/>
      <c r="J1494" s="1" t="s">
        <v>9753</v>
      </c>
      <c r="L1494" s="3" t="s">
        <v>11734</v>
      </c>
      <c r="P1494" s="7" t="s">
        <v>1241</v>
      </c>
      <c r="AU1494" s="15"/>
      <c r="AV1494" s="1" t="s">
        <v>38</v>
      </c>
      <c r="BG1494" s="7" t="s">
        <v>1242</v>
      </c>
      <c r="BH1494" s="1" t="s">
        <v>2458</v>
      </c>
      <c r="BI1494" s="2" t="s">
        <v>10023</v>
      </c>
      <c r="BJ1494" s="1" t="s">
        <v>1877</v>
      </c>
      <c r="BK1494" s="2" t="s">
        <v>7106</v>
      </c>
    </row>
    <row r="1495" spans="1:69" ht="162" x14ac:dyDescent="0.45">
      <c r="A1495" s="5">
        <v>1494</v>
      </c>
      <c r="B1495" s="6" t="s">
        <v>1230</v>
      </c>
      <c r="C1495" s="6" t="s">
        <v>6851</v>
      </c>
      <c r="D1495" s="7" t="s">
        <v>9752</v>
      </c>
      <c r="E1495" s="1" t="s">
        <v>1230</v>
      </c>
      <c r="F1495" s="1"/>
      <c r="G1495" s="1"/>
      <c r="J1495" s="1" t="s">
        <v>9753</v>
      </c>
      <c r="L1495" s="3" t="s">
        <v>10024</v>
      </c>
      <c r="P1495" s="7" t="s">
        <v>1241</v>
      </c>
      <c r="AV1495" s="1" t="s">
        <v>38</v>
      </c>
      <c r="BG1495" s="7" t="s">
        <v>1242</v>
      </c>
      <c r="BH1495" s="1" t="s">
        <v>1947</v>
      </c>
      <c r="BI1495" s="1" t="s">
        <v>7107</v>
      </c>
      <c r="BJ1495" s="1" t="s">
        <v>1959</v>
      </c>
      <c r="BK1495" s="1" t="s">
        <v>7108</v>
      </c>
      <c r="BL1495" s="1" t="s">
        <v>1875</v>
      </c>
      <c r="BM1495" s="2" t="s">
        <v>7109</v>
      </c>
    </row>
    <row r="1496" spans="1:69" ht="72" x14ac:dyDescent="0.45">
      <c r="A1496" s="5">
        <v>1495</v>
      </c>
      <c r="B1496" s="6" t="s">
        <v>1231</v>
      </c>
      <c r="C1496" s="6" t="s">
        <v>6851</v>
      </c>
      <c r="D1496" s="7" t="s">
        <v>9752</v>
      </c>
      <c r="E1496" s="1" t="s">
        <v>1231</v>
      </c>
      <c r="F1496" s="1"/>
      <c r="G1496" s="1"/>
      <c r="J1496" s="1" t="s">
        <v>9753</v>
      </c>
      <c r="L1496" s="2" t="s">
        <v>10025</v>
      </c>
      <c r="P1496" s="7" t="s">
        <v>1241</v>
      </c>
      <c r="AV1496" s="1" t="s">
        <v>38</v>
      </c>
      <c r="BG1496" s="7" t="s">
        <v>1242</v>
      </c>
      <c r="BH1496" s="1" t="s">
        <v>1947</v>
      </c>
      <c r="BI1496" s="1" t="s">
        <v>7110</v>
      </c>
      <c r="BJ1496" s="1" t="s">
        <v>1959</v>
      </c>
      <c r="BK1496" s="1" t="s">
        <v>7111</v>
      </c>
      <c r="BL1496" s="1" t="s">
        <v>1875</v>
      </c>
      <c r="BM1496" s="2" t="s">
        <v>7112</v>
      </c>
    </row>
    <row r="1497" spans="1:69" ht="108" x14ac:dyDescent="0.45">
      <c r="A1497" s="5">
        <v>1496</v>
      </c>
      <c r="B1497" s="6" t="s">
        <v>1232</v>
      </c>
      <c r="C1497" s="6" t="s">
        <v>6851</v>
      </c>
      <c r="D1497" s="7" t="s">
        <v>9752</v>
      </c>
      <c r="E1497" s="1" t="s">
        <v>7113</v>
      </c>
      <c r="F1497" s="1" t="s">
        <v>7114</v>
      </c>
      <c r="G1497" s="1"/>
      <c r="J1497" s="1" t="s">
        <v>9753</v>
      </c>
      <c r="L1497" s="2" t="s">
        <v>10026</v>
      </c>
      <c r="P1497" s="7" t="s">
        <v>1241</v>
      </c>
      <c r="AU1497" s="15"/>
      <c r="AV1497" s="1" t="s">
        <v>38</v>
      </c>
      <c r="BG1497" s="7" t="s">
        <v>1242</v>
      </c>
      <c r="BH1497" s="1" t="s">
        <v>1947</v>
      </c>
      <c r="BI1497" s="2" t="s">
        <v>7115</v>
      </c>
      <c r="BJ1497" s="1" t="s">
        <v>2036</v>
      </c>
      <c r="BK1497" s="1" t="s">
        <v>7116</v>
      </c>
      <c r="BL1497" s="1" t="s">
        <v>1877</v>
      </c>
      <c r="BM1497" s="2" t="s">
        <v>7117</v>
      </c>
    </row>
    <row r="1498" spans="1:69" ht="108" x14ac:dyDescent="0.45">
      <c r="A1498" s="5">
        <v>1497</v>
      </c>
      <c r="B1498" s="6" t="s">
        <v>1233</v>
      </c>
      <c r="C1498" s="6" t="s">
        <v>6851</v>
      </c>
      <c r="D1498" s="7" t="s">
        <v>9752</v>
      </c>
      <c r="E1498" s="1" t="s">
        <v>7118</v>
      </c>
      <c r="F1498" s="1" t="s">
        <v>49</v>
      </c>
      <c r="G1498" s="1"/>
      <c r="J1498" s="1" t="s">
        <v>9753</v>
      </c>
      <c r="L1498" s="2" t="s">
        <v>10027</v>
      </c>
      <c r="P1498" s="7" t="s">
        <v>1241</v>
      </c>
      <c r="AV1498" s="1" t="s">
        <v>38</v>
      </c>
      <c r="BG1498" s="7" t="s">
        <v>1242</v>
      </c>
      <c r="BH1498" s="1" t="s">
        <v>1947</v>
      </c>
      <c r="BI1498" s="1" t="s">
        <v>7119</v>
      </c>
      <c r="BJ1498" s="1" t="s">
        <v>1877</v>
      </c>
      <c r="BK1498" s="2" t="s">
        <v>7120</v>
      </c>
    </row>
    <row r="1499" spans="1:69" ht="234" x14ac:dyDescent="0.45">
      <c r="A1499" s="5">
        <v>1498</v>
      </c>
      <c r="B1499" s="6" t="s">
        <v>1234</v>
      </c>
      <c r="C1499" s="6" t="s">
        <v>6851</v>
      </c>
      <c r="D1499" s="7" t="s">
        <v>9752</v>
      </c>
      <c r="E1499" s="1" t="s">
        <v>1234</v>
      </c>
      <c r="F1499" s="1"/>
      <c r="G1499" s="1"/>
      <c r="J1499" s="1" t="s">
        <v>9753</v>
      </c>
      <c r="L1499" s="2" t="s">
        <v>10028</v>
      </c>
      <c r="P1499" s="7" t="s">
        <v>1241</v>
      </c>
      <c r="AU1499" s="15"/>
      <c r="AV1499" s="1" t="s">
        <v>38</v>
      </c>
      <c r="BG1499" s="7" t="s">
        <v>1242</v>
      </c>
      <c r="BH1499" s="1" t="s">
        <v>1947</v>
      </c>
      <c r="BI1499" s="2" t="s">
        <v>7121</v>
      </c>
      <c r="BJ1499" s="1" t="s">
        <v>1959</v>
      </c>
      <c r="BK1499" s="2" t="s">
        <v>7122</v>
      </c>
      <c r="BL1499" s="1" t="s">
        <v>2114</v>
      </c>
      <c r="BM1499" s="1" t="s">
        <v>7123</v>
      </c>
      <c r="BN1499" s="1" t="s">
        <v>1877</v>
      </c>
      <c r="BO1499" s="2" t="s">
        <v>7124</v>
      </c>
    </row>
    <row r="1500" spans="1:69" ht="198" x14ac:dyDescent="0.45">
      <c r="A1500" s="5">
        <v>1499</v>
      </c>
      <c r="B1500" s="6" t="s">
        <v>1235</v>
      </c>
      <c r="C1500" s="6" t="s">
        <v>6851</v>
      </c>
      <c r="D1500" s="7" t="s">
        <v>9752</v>
      </c>
      <c r="E1500" s="1" t="s">
        <v>7125</v>
      </c>
      <c r="F1500" s="1" t="s">
        <v>1946</v>
      </c>
      <c r="G1500" s="1"/>
      <c r="J1500" s="1" t="s">
        <v>9753</v>
      </c>
      <c r="L1500" s="2" t="s">
        <v>11735</v>
      </c>
      <c r="P1500" s="7" t="s">
        <v>1241</v>
      </c>
      <c r="AV1500" s="1" t="s">
        <v>38</v>
      </c>
      <c r="BG1500" s="7" t="s">
        <v>1242</v>
      </c>
      <c r="BH1500" s="1" t="s">
        <v>1872</v>
      </c>
      <c r="BI1500" s="1" t="s">
        <v>7126</v>
      </c>
      <c r="BJ1500" s="1" t="s">
        <v>1875</v>
      </c>
      <c r="BK1500" s="2" t="s">
        <v>7127</v>
      </c>
      <c r="BL1500" s="1" t="s">
        <v>1877</v>
      </c>
      <c r="BM1500" s="2" t="s">
        <v>7128</v>
      </c>
    </row>
    <row r="1501" spans="1:69" ht="144" x14ac:dyDescent="0.45">
      <c r="A1501" s="5">
        <v>1500</v>
      </c>
      <c r="B1501" s="8" t="s">
        <v>1236</v>
      </c>
      <c r="C1501" s="6" t="s">
        <v>12258</v>
      </c>
      <c r="D1501" s="7" t="s">
        <v>9752</v>
      </c>
      <c r="E1501" s="1" t="s">
        <v>7129</v>
      </c>
      <c r="F1501" s="1" t="s">
        <v>49</v>
      </c>
      <c r="G1501" s="1"/>
      <c r="J1501" s="1" t="s">
        <v>9753</v>
      </c>
      <c r="L1501" s="2" t="s">
        <v>10029</v>
      </c>
      <c r="P1501" s="7" t="s">
        <v>1241</v>
      </c>
      <c r="Q1501" s="13" t="str">
        <f>INDEX($L:$L, MATCH("legal", $B:$B, 0))</f>
        <v>&lt;span class="w"&gt;&lt;b&gt;【294.legal：法律の, 合法の】&lt;/b&gt;&lt;/span&gt;
&lt;span class="ml"&gt;ラテン語に由来する語で、以下の2つの要素から成る。
&lt;span class="spacer"&gt;&lt;/span&gt;lex（命令, 法）
alis（形容詞化）
&lt;span class="spacer"&gt;&lt;/span&gt;ラテン語から意味の変化はほとんどなく「法の」という意味になる。また法によって認められている、つまり「合法の」という意味にもなる。&lt;/span&gt;</v>
      </c>
      <c r="R1501" s="13" t="str">
        <f>INDEX($L:$L, MATCH("privilege", $B:$B, 0))</f>
        <v>&lt;span class="w"&gt;&lt;b&gt;【941.privilege：特権】&lt;/b&gt;&lt;/span&gt;
&lt;span class="ml"&gt;ラテン語に由来する語で、以下の2つの要素から成る。
&lt;span class="spacer"&gt;&lt;/span&gt;privus（個人の：privateの語源）
lex（法律）
&lt;span class="spacer"&gt;&lt;/span&gt;この語の核は「特定の個人に適用される法律」。みんなに適用される法・ルールではなく、特定の個人に有利なルールを表して「特権」という意味になった。&lt;/span&gt;</v>
      </c>
      <c r="AU1501" s="15"/>
      <c r="AV1501" s="1" t="s">
        <v>38</v>
      </c>
      <c r="BG1501" s="7" t="s">
        <v>1242</v>
      </c>
      <c r="BH1501" s="1" t="s">
        <v>1947</v>
      </c>
      <c r="BI1501" s="2" t="s">
        <v>7130</v>
      </c>
      <c r="BJ1501" s="1" t="s">
        <v>1959</v>
      </c>
      <c r="BK1501" s="1" t="s">
        <v>7131</v>
      </c>
      <c r="BL1501" s="1" t="s">
        <v>1996</v>
      </c>
      <c r="BM1501" s="1" t="s">
        <v>1236</v>
      </c>
      <c r="BN1501" s="1" t="s">
        <v>1877</v>
      </c>
      <c r="BO1501" s="2" t="s">
        <v>7132</v>
      </c>
    </row>
  </sheetData>
  <phoneticPr fontId="1"/>
  <conditionalFormatting sqref="E1:E296 E298 E300 E302:E303 E306:E318 E321:E329 E331 E333:E334 E338:E341 E344 E346 E349:E352 E354 E356:E357 E361 E364 E366:E372 E374:E376 E380:E385 E387:E392 E394:E398 E400:E438 E440:E445 E447:E457 E459 E461:E474 E478:E512 E514:E515 E517:E522 E524:E529 E533:E535 E537:E543 E545:E562 E564:E568 E570:E574 E576 E578:E591 E593:E602 E604:E607 E609 E611:E612 E614 E617:E619 E621:E623 E626 E629:E637 E639 E642 E644:E647 E649 E651:E652 E654:E655 E659:E660 E662:E667 E669:E670 E672:E681 E683:E689 E691:E693 E695 E699:E700 E702:E704 E706:E709 E712:E725 E727:E728 E730:E745 E747:E753 E757 E759:E763 E765 E768:E777 E779:E886 E888:E974 E976:E1002 E1004:E1005 E1009:E1011 E1013:E1017 E1019:E1022 E1024 E1026 E1028:E1029 E1032:E1040 E1042:E1043 E1045:E1047 E1049:E1052 E1055:E1057 E1059:E1065 E1067 E1070:E1075 E1079:E1084 E1086:E1090 E1092:E1094 E1096:E1104 E1107:E1109 E1111:E1113 E1115:E1223 E1225:E1233 E1236:E1327 E1329:E1349 E1351:E1355 E1359:E1361 E1364:E1372 E1374:E1410 E1412:E1413 E1415:E1422 E1424:E1436 E1438:E1445 E1447:E1452 E1454 E1456:E1463 E1465:E1472 E1474:E1501">
    <cfRule type="expression" dxfId="14" priority="127">
      <formula>ISBLANK($E1)</formula>
    </cfRule>
  </conditionalFormatting>
  <conditionalFormatting sqref="L1 Q4 L4:L17 R7 U17 L19:L20 L23:L67 R31 Y31 R43:S43 R64 L70:L71 L73:L74 L76:L102 Q77 R79 Q85 Q99:S99 V102 L104:L123 V107 Q114:Q115 R115 AC122:AG122 L125:L133 R129 R133 Y134 L135:L174 S159 Z170 L176:L178 L180:L202 R184 Q200 AA200 Q203 L204:L205 T206 V206 L208:L213 L215:L256 S225 V225 Q228 Y241 Q244 Q257 L258:L265 Q259 L267:L281 R275 U275 R280 W280:X280 L283:L295 R286 Q290 L297 Q297 L299:L301 Q300 R302 Q303 L303:L306 L310 R311 Q312:S312 L312:L315 L317:L320 Q318:V318 Q320:R320 L322 Q322:V322 Q324 Q325:R325 L325:L326 L330 L332 Q332:Q333 L334:L339 Q338 V340 Q341:R341 L341:L350 Q344:U344 L353:L360 Q354:T354 Q356 L362:L364 L367:L368 Q368 L370 L372:L375 Q374:R374 L377:L379 Q379 L381 L383 Q383:S383 L388 Q388 Q406 W407 L414 Q414:Q416 S422:T422 L426 Q426:R426 L429 Q429:R429 V433 AC434:AG434 L435:L436 Q436:R436 AC437:AG437 L438:L439 L442 Q444:S444 L444:L446 Q446:Q447 L448:L449 L451 L453 T454 Q457 L458:L461 Q459 L463:L464 L466:L471 L473:L476 L498 S498 R499 L502 Q502:R502 Q510 S510:U510 AC514:AG514 Q515 L528 Q528:S528 L530 L543:L545 L548 Q549 L550:L559 Q558:U558 Q560 L561:L563 L565 Q567:U567 L567:L570 Q571 L573:L575 L577 L579:L584 Q580:T580 Q581:S581 Q586 Q588:Q589 R589 L592 L596 L598:L653 Q651:S651 Q654 R655 L655:L737 Q660 T660:U660 R692 Q697 R707 R722 T722:U722 Q737 L739:L783 Q743 Q752 Q758 L785:L1501 Q814 Q1010:R1010">
    <cfRule type="expression" dxfId="13" priority="149">
      <formula>ISBLANK($L1)</formula>
    </cfRule>
  </conditionalFormatting>
  <conditionalFormatting sqref="Q499">
    <cfRule type="expression" dxfId="12" priority="9">
      <formula>ISBLANK($L501)</formula>
    </cfRule>
  </conditionalFormatting>
  <conditionalFormatting sqref="T340 S660 S722">
    <cfRule type="expression" dxfId="11" priority="33">
      <formula>ISBLANK($L339)</formula>
    </cfRule>
  </conditionalFormatting>
  <conditionalFormatting sqref="T433 V692">
    <cfRule type="expression" dxfId="10" priority="45">
      <formula>ISBLANK($L431)</formula>
    </cfRule>
  </conditionalFormatting>
  <conditionalFormatting sqref="V17 T31 Q145 T383 R510 U528 U581 Q707">
    <cfRule type="expression" dxfId="9" priority="10">
      <formula>ISBLANK($L18)</formula>
    </cfRule>
  </conditionalFormatting>
  <conditionalFormatting sqref="V725">
    <cfRule type="expression" dxfId="8" priority="38">
      <formula>ISBLANK($L722)</formula>
    </cfRule>
  </conditionalFormatting>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53944-B656-4BFD-A480-64900B096781}">
  <dimension ref="A1:BW1501"/>
  <sheetViews>
    <sheetView tabSelected="1" zoomScale="70" zoomScaleNormal="70" workbookViewId="0">
      <selection activeCell="B4" sqref="B4"/>
    </sheetView>
  </sheetViews>
  <sheetFormatPr defaultRowHeight="18" x14ac:dyDescent="0.45"/>
  <cols>
    <col min="1" max="1" width="5.3984375" bestFit="1" customWidth="1"/>
    <col min="2" max="2" width="45.09765625" bestFit="1" customWidth="1"/>
    <col min="9" max="9" width="2.3984375" bestFit="1" customWidth="1"/>
    <col min="10" max="10" width="20.09765625" bestFit="1" customWidth="1"/>
    <col min="11" max="11" width="192.3984375" bestFit="1" customWidth="1"/>
    <col min="16" max="16" width="6.796875" bestFit="1" customWidth="1"/>
    <col min="48" max="48" width="5" bestFit="1" customWidth="1"/>
    <col min="59" max="59" width="5" bestFit="1" customWidth="1"/>
  </cols>
  <sheetData>
    <row r="1" spans="1:75" s="1" customFormat="1" x14ac:dyDescent="0.45">
      <c r="A1" s="5" t="s">
        <v>1239</v>
      </c>
      <c r="B1" s="6" t="s">
        <v>1240</v>
      </c>
      <c r="C1" s="6" t="s">
        <v>6849</v>
      </c>
      <c r="D1" s="7" t="s">
        <v>39</v>
      </c>
      <c r="E1" s="1" t="s">
        <v>0</v>
      </c>
      <c r="F1" s="1" t="s">
        <v>1</v>
      </c>
      <c r="G1" s="1" t="s">
        <v>2</v>
      </c>
      <c r="H1" s="1" t="s">
        <v>3</v>
      </c>
      <c r="I1" s="1" t="s">
        <v>20</v>
      </c>
      <c r="J1" s="1" t="s">
        <v>40</v>
      </c>
      <c r="K1" s="1" t="s">
        <v>1243</v>
      </c>
      <c r="L1" s="1" t="s">
        <v>1244</v>
      </c>
      <c r="N1" s="1" t="s">
        <v>1245</v>
      </c>
      <c r="O1" s="1" t="s">
        <v>1246</v>
      </c>
      <c r="P1" s="1" t="s">
        <v>41</v>
      </c>
      <c r="Q1" t="s">
        <v>9</v>
      </c>
      <c r="R1" t="s">
        <v>10</v>
      </c>
      <c r="S1" t="s">
        <v>11</v>
      </c>
      <c r="T1" t="s">
        <v>12</v>
      </c>
      <c r="U1" t="s">
        <v>13</v>
      </c>
      <c r="V1" t="s">
        <v>14</v>
      </c>
      <c r="W1" t="s">
        <v>1255</v>
      </c>
      <c r="X1" t="s">
        <v>1256</v>
      </c>
      <c r="Y1" t="s">
        <v>1257</v>
      </c>
      <c r="Z1" t="s">
        <v>1258</v>
      </c>
      <c r="AA1" t="s">
        <v>1321</v>
      </c>
      <c r="AB1" t="s">
        <v>1322</v>
      </c>
      <c r="AC1" t="s">
        <v>1323</v>
      </c>
      <c r="AD1" t="s">
        <v>1324</v>
      </c>
      <c r="AE1" t="s">
        <v>1805</v>
      </c>
      <c r="AF1" t="s">
        <v>1806</v>
      </c>
      <c r="AG1" t="s">
        <v>1807</v>
      </c>
      <c r="AH1" t="s">
        <v>9036</v>
      </c>
      <c r="AI1" t="s">
        <v>9024</v>
      </c>
      <c r="AJ1" t="s">
        <v>9025</v>
      </c>
      <c r="AK1" t="s">
        <v>9026</v>
      </c>
      <c r="AL1" t="s">
        <v>9027</v>
      </c>
      <c r="AM1" t="s">
        <v>9028</v>
      </c>
      <c r="AN1" t="s">
        <v>9029</v>
      </c>
      <c r="AO1" t="s">
        <v>9030</v>
      </c>
      <c r="AP1" t="s">
        <v>9031</v>
      </c>
      <c r="AQ1" t="s">
        <v>9032</v>
      </c>
      <c r="AR1" t="s">
        <v>9033</v>
      </c>
      <c r="AS1" t="s">
        <v>9034</v>
      </c>
      <c r="AT1" t="s">
        <v>9035</v>
      </c>
      <c r="AU1" t="s">
        <v>11724</v>
      </c>
      <c r="AV1" s="1" t="s">
        <v>1247</v>
      </c>
      <c r="AW1" s="1" t="s">
        <v>15</v>
      </c>
      <c r="AX1" s="1" t="s">
        <v>16</v>
      </c>
      <c r="AY1" s="1" t="s">
        <v>17</v>
      </c>
      <c r="AZ1" s="1" t="s">
        <v>18</v>
      </c>
      <c r="BA1" s="1" t="s">
        <v>19</v>
      </c>
      <c r="BB1" s="1" t="s">
        <v>30</v>
      </c>
      <c r="BC1" s="1" t="s">
        <v>42</v>
      </c>
      <c r="BD1" s="1" t="s">
        <v>1125</v>
      </c>
      <c r="BE1" s="1" t="s">
        <v>1126</v>
      </c>
      <c r="BF1" s="1" t="s">
        <v>1127</v>
      </c>
      <c r="BG1" s="1" t="s">
        <v>1248</v>
      </c>
      <c r="BH1" s="1" t="s">
        <v>32</v>
      </c>
      <c r="BI1" s="1" t="s">
        <v>21</v>
      </c>
      <c r="BJ1" s="1" t="s">
        <v>33</v>
      </c>
      <c r="BK1" s="1" t="s">
        <v>22</v>
      </c>
      <c r="BL1" s="1" t="s">
        <v>34</v>
      </c>
      <c r="BM1" s="1" t="s">
        <v>23</v>
      </c>
      <c r="BN1" s="1" t="s">
        <v>35</v>
      </c>
      <c r="BO1" s="1" t="s">
        <v>24</v>
      </c>
      <c r="BP1" s="1" t="s">
        <v>36</v>
      </c>
      <c r="BQ1" s="1" t="s">
        <v>25</v>
      </c>
      <c r="BR1" s="1" t="s">
        <v>37</v>
      </c>
      <c r="BS1" s="1" t="s">
        <v>26</v>
      </c>
      <c r="BT1" s="1" t="s">
        <v>3839</v>
      </c>
      <c r="BU1" s="1" t="s">
        <v>3840</v>
      </c>
      <c r="BV1" s="1" t="s">
        <v>6781</v>
      </c>
      <c r="BW1" s="1" t="s">
        <v>6782</v>
      </c>
    </row>
    <row r="2" spans="1:75" s="1" customFormat="1" ht="54" x14ac:dyDescent="0.45">
      <c r="A2" s="5">
        <v>1</v>
      </c>
      <c r="B2" s="2" t="s">
        <v>10697</v>
      </c>
      <c r="C2" s="2"/>
      <c r="J2" s="1" t="s">
        <v>7557</v>
      </c>
      <c r="K2" s="2" t="s">
        <v>10035</v>
      </c>
      <c r="P2" s="7" t="s">
        <v>1241</v>
      </c>
      <c r="Q2"/>
      <c r="R2"/>
      <c r="S2"/>
      <c r="T2"/>
      <c r="U2"/>
      <c r="V2"/>
      <c r="W2"/>
      <c r="X2"/>
      <c r="Y2"/>
      <c r="Z2"/>
      <c r="AA2"/>
      <c r="AB2"/>
      <c r="AC2"/>
      <c r="AD2"/>
      <c r="AE2"/>
      <c r="AF2"/>
      <c r="AG2"/>
      <c r="AH2"/>
      <c r="AI2"/>
      <c r="AJ2"/>
      <c r="AK2"/>
      <c r="AL2"/>
      <c r="AM2"/>
      <c r="AN2"/>
      <c r="AO2"/>
      <c r="AP2"/>
      <c r="AQ2"/>
      <c r="AR2"/>
      <c r="AS2"/>
      <c r="AT2"/>
      <c r="AU2"/>
      <c r="AV2" s="1" t="s">
        <v>1502</v>
      </c>
      <c r="BG2" s="7" t="s">
        <v>1242</v>
      </c>
    </row>
    <row r="3" spans="1:75" s="1" customFormat="1" ht="54" x14ac:dyDescent="0.45">
      <c r="A3" s="5">
        <v>2</v>
      </c>
      <c r="B3" s="2" t="s">
        <v>10698</v>
      </c>
      <c r="C3" s="2"/>
      <c r="J3" s="1" t="s">
        <v>7557</v>
      </c>
      <c r="K3" s="2" t="s">
        <v>10699</v>
      </c>
      <c r="P3" s="7" t="s">
        <v>1241</v>
      </c>
      <c r="Q3"/>
      <c r="R3"/>
      <c r="S3"/>
      <c r="T3"/>
      <c r="U3"/>
      <c r="V3"/>
      <c r="W3"/>
      <c r="X3"/>
      <c r="Y3"/>
      <c r="Z3"/>
      <c r="AA3"/>
      <c r="AB3"/>
      <c r="AC3"/>
      <c r="AD3"/>
      <c r="AE3"/>
      <c r="AF3"/>
      <c r="AG3"/>
      <c r="AH3"/>
      <c r="AI3"/>
      <c r="AJ3"/>
      <c r="AK3"/>
      <c r="AL3"/>
      <c r="AM3"/>
      <c r="AN3"/>
      <c r="AO3"/>
      <c r="AP3"/>
      <c r="AQ3"/>
      <c r="AR3"/>
      <c r="AS3"/>
      <c r="AT3"/>
      <c r="AU3"/>
      <c r="AV3" s="1" t="s">
        <v>38</v>
      </c>
      <c r="BG3" s="7" t="s">
        <v>1242</v>
      </c>
    </row>
    <row r="4" spans="1:75" s="1" customFormat="1" ht="288" x14ac:dyDescent="0.45">
      <c r="A4" s="5">
        <v>3</v>
      </c>
      <c r="B4" s="2" t="s">
        <v>10700</v>
      </c>
      <c r="C4" s="2"/>
      <c r="J4" s="1" t="s">
        <v>7557</v>
      </c>
      <c r="K4" s="11" t="s">
        <v>11736</v>
      </c>
      <c r="P4" s="7" t="s">
        <v>1241</v>
      </c>
      <c r="Q4"/>
      <c r="R4"/>
      <c r="S4"/>
      <c r="T4"/>
      <c r="U4"/>
      <c r="V4"/>
      <c r="W4"/>
      <c r="X4"/>
      <c r="Y4"/>
      <c r="Z4"/>
      <c r="AA4"/>
      <c r="AB4"/>
      <c r="AC4"/>
      <c r="AD4"/>
      <c r="AE4"/>
      <c r="AF4"/>
      <c r="AG4"/>
      <c r="AH4"/>
      <c r="AI4"/>
      <c r="AJ4"/>
      <c r="AK4"/>
      <c r="AL4"/>
      <c r="AM4"/>
      <c r="AN4"/>
      <c r="AO4"/>
      <c r="AP4"/>
      <c r="AQ4"/>
      <c r="AR4"/>
      <c r="AS4"/>
      <c r="AT4"/>
      <c r="AU4"/>
      <c r="AV4" s="1" t="s">
        <v>38</v>
      </c>
      <c r="BG4" s="7" t="s">
        <v>1242</v>
      </c>
    </row>
    <row r="5" spans="1:75" s="1" customFormat="1" ht="234" x14ac:dyDescent="0.45">
      <c r="A5" s="5">
        <v>4</v>
      </c>
      <c r="B5" s="2" t="s">
        <v>10701</v>
      </c>
      <c r="C5" s="2"/>
      <c r="J5" s="1" t="s">
        <v>7557</v>
      </c>
      <c r="K5" s="11" t="s">
        <v>11737</v>
      </c>
      <c r="P5" s="7" t="s">
        <v>1241</v>
      </c>
      <c r="Q5"/>
      <c r="R5"/>
      <c r="S5"/>
      <c r="T5"/>
      <c r="U5"/>
      <c r="V5"/>
      <c r="W5"/>
      <c r="X5"/>
      <c r="Y5"/>
      <c r="Z5"/>
      <c r="AA5"/>
      <c r="AB5"/>
      <c r="AC5"/>
      <c r="AD5"/>
      <c r="AE5"/>
      <c r="AF5"/>
      <c r="AG5"/>
      <c r="AH5"/>
      <c r="AI5"/>
      <c r="AJ5"/>
      <c r="AK5"/>
      <c r="AL5"/>
      <c r="AM5"/>
      <c r="AN5"/>
      <c r="AO5"/>
      <c r="AP5"/>
      <c r="AQ5"/>
      <c r="AR5"/>
      <c r="AS5"/>
      <c r="AT5"/>
      <c r="AU5"/>
      <c r="AV5" s="1" t="s">
        <v>38</v>
      </c>
      <c r="BG5" s="7" t="s">
        <v>1242</v>
      </c>
    </row>
    <row r="6" spans="1:75" s="1" customFormat="1" ht="162" x14ac:dyDescent="0.45">
      <c r="A6" s="5">
        <v>5</v>
      </c>
      <c r="B6" s="2" t="s">
        <v>10702</v>
      </c>
      <c r="C6" s="2"/>
      <c r="J6" s="1" t="s">
        <v>7557</v>
      </c>
      <c r="K6" s="11" t="s">
        <v>11738</v>
      </c>
      <c r="P6" s="7" t="s">
        <v>1241</v>
      </c>
      <c r="Q6"/>
      <c r="R6"/>
      <c r="S6"/>
      <c r="T6"/>
      <c r="U6"/>
      <c r="V6"/>
      <c r="W6"/>
      <c r="X6"/>
      <c r="Y6"/>
      <c r="Z6"/>
      <c r="AA6"/>
      <c r="AB6"/>
      <c r="AC6"/>
      <c r="AD6"/>
      <c r="AE6"/>
      <c r="AF6"/>
      <c r="AG6"/>
      <c r="AH6"/>
      <c r="AI6"/>
      <c r="AJ6"/>
      <c r="AK6"/>
      <c r="AL6"/>
      <c r="AM6"/>
      <c r="AN6"/>
      <c r="AO6"/>
      <c r="AP6"/>
      <c r="AQ6"/>
      <c r="AR6"/>
      <c r="AS6"/>
      <c r="AT6"/>
      <c r="AU6"/>
      <c r="AV6" s="1" t="s">
        <v>38</v>
      </c>
      <c r="BG6" s="7" t="s">
        <v>1242</v>
      </c>
    </row>
    <row r="7" spans="1:75" s="1" customFormat="1" ht="180" x14ac:dyDescent="0.45">
      <c r="A7" s="5">
        <v>6</v>
      </c>
      <c r="B7" s="2" t="s">
        <v>10703</v>
      </c>
      <c r="C7" s="2"/>
      <c r="J7" s="1" t="s">
        <v>7557</v>
      </c>
      <c r="K7" s="2" t="s">
        <v>12236</v>
      </c>
      <c r="P7" s="7" t="s">
        <v>1241</v>
      </c>
      <c r="Q7"/>
      <c r="R7"/>
      <c r="S7"/>
      <c r="T7"/>
      <c r="U7"/>
      <c r="V7"/>
      <c r="W7"/>
      <c r="X7"/>
      <c r="Y7"/>
      <c r="Z7"/>
      <c r="AA7"/>
      <c r="AB7"/>
      <c r="AC7"/>
      <c r="AD7"/>
      <c r="AE7"/>
      <c r="AF7"/>
      <c r="AG7"/>
      <c r="AH7"/>
      <c r="AI7"/>
      <c r="AJ7"/>
      <c r="AK7"/>
      <c r="AL7"/>
      <c r="AM7"/>
      <c r="AN7"/>
      <c r="AO7"/>
      <c r="AP7"/>
      <c r="AQ7"/>
      <c r="AR7"/>
      <c r="AS7"/>
      <c r="AT7"/>
      <c r="AU7"/>
      <c r="AV7" s="1" t="s">
        <v>38</v>
      </c>
      <c r="BG7" s="7" t="s">
        <v>1242</v>
      </c>
    </row>
    <row r="8" spans="1:75" s="1" customFormat="1" ht="90" x14ac:dyDescent="0.45">
      <c r="A8" s="5">
        <v>7</v>
      </c>
      <c r="B8" s="2" t="s">
        <v>10704</v>
      </c>
      <c r="C8" s="2"/>
      <c r="J8" s="1" t="s">
        <v>7557</v>
      </c>
      <c r="K8" s="2" t="s">
        <v>12237</v>
      </c>
      <c r="P8" s="7" t="s">
        <v>1241</v>
      </c>
      <c r="Q8"/>
      <c r="R8"/>
      <c r="S8"/>
      <c r="T8"/>
      <c r="U8"/>
      <c r="V8"/>
      <c r="W8"/>
      <c r="X8"/>
      <c r="Y8"/>
      <c r="Z8"/>
      <c r="AA8"/>
      <c r="AB8"/>
      <c r="AC8"/>
      <c r="AD8"/>
      <c r="AE8"/>
      <c r="AF8"/>
      <c r="AG8"/>
      <c r="AH8"/>
      <c r="AI8"/>
      <c r="AJ8"/>
      <c r="AK8"/>
      <c r="AL8"/>
      <c r="AM8"/>
      <c r="AN8"/>
      <c r="AO8"/>
      <c r="AP8"/>
      <c r="AQ8"/>
      <c r="AR8"/>
      <c r="AS8"/>
      <c r="AT8"/>
      <c r="AU8"/>
      <c r="AV8" s="1" t="s">
        <v>38</v>
      </c>
      <c r="BG8" s="7" t="s">
        <v>1242</v>
      </c>
    </row>
    <row r="9" spans="1:75" s="1" customFormat="1" ht="72" x14ac:dyDescent="0.45">
      <c r="A9" s="5">
        <v>8</v>
      </c>
      <c r="B9" s="2" t="s">
        <v>10705</v>
      </c>
      <c r="C9" s="2"/>
      <c r="J9" s="1" t="s">
        <v>7557</v>
      </c>
      <c r="K9" s="2" t="s">
        <v>10036</v>
      </c>
      <c r="P9" s="7" t="s">
        <v>1241</v>
      </c>
      <c r="Q9"/>
      <c r="R9"/>
      <c r="S9"/>
      <c r="T9"/>
      <c r="U9"/>
      <c r="V9"/>
      <c r="W9"/>
      <c r="X9"/>
      <c r="Y9"/>
      <c r="Z9"/>
      <c r="AA9"/>
      <c r="AB9"/>
      <c r="AC9"/>
      <c r="AD9"/>
      <c r="AE9"/>
      <c r="AF9"/>
      <c r="AG9"/>
      <c r="AH9"/>
      <c r="AI9"/>
      <c r="AJ9"/>
      <c r="AK9"/>
      <c r="AL9"/>
      <c r="AM9"/>
      <c r="AN9"/>
      <c r="AO9"/>
      <c r="AP9"/>
      <c r="AQ9"/>
      <c r="AR9"/>
      <c r="AS9"/>
      <c r="AT9"/>
      <c r="AU9"/>
      <c r="AV9" s="1" t="s">
        <v>38</v>
      </c>
      <c r="BG9" s="7" t="s">
        <v>1242</v>
      </c>
    </row>
    <row r="10" spans="1:75" s="1" customFormat="1" ht="144" x14ac:dyDescent="0.45">
      <c r="A10" s="5">
        <v>9</v>
      </c>
      <c r="B10" s="2" t="s">
        <v>10706</v>
      </c>
      <c r="C10" s="2"/>
      <c r="J10" s="1" t="s">
        <v>7557</v>
      </c>
      <c r="K10" s="2" t="s">
        <v>10037</v>
      </c>
      <c r="P10" s="7" t="s">
        <v>1241</v>
      </c>
      <c r="Q10"/>
      <c r="R10"/>
      <c r="S10"/>
      <c r="T10"/>
      <c r="U10"/>
      <c r="V10"/>
      <c r="W10"/>
      <c r="X10"/>
      <c r="Y10"/>
      <c r="Z10"/>
      <c r="AA10"/>
      <c r="AB10"/>
      <c r="AC10"/>
      <c r="AD10"/>
      <c r="AE10"/>
      <c r="AF10"/>
      <c r="AG10"/>
      <c r="AH10"/>
      <c r="AI10"/>
      <c r="AJ10"/>
      <c r="AK10"/>
      <c r="AL10"/>
      <c r="AM10"/>
      <c r="AN10"/>
      <c r="AO10"/>
      <c r="AP10"/>
      <c r="AQ10"/>
      <c r="AR10"/>
      <c r="AS10"/>
      <c r="AT10"/>
      <c r="AU10"/>
      <c r="AV10" s="1" t="s">
        <v>38</v>
      </c>
      <c r="BG10" s="7" t="s">
        <v>1242</v>
      </c>
    </row>
    <row r="11" spans="1:75" s="1" customFormat="1" ht="54" x14ac:dyDescent="0.45">
      <c r="A11" s="5">
        <v>10</v>
      </c>
      <c r="B11" s="2" t="s">
        <v>10707</v>
      </c>
      <c r="C11" s="2"/>
      <c r="J11" s="1" t="s">
        <v>7557</v>
      </c>
      <c r="K11" s="2" t="s">
        <v>10038</v>
      </c>
      <c r="P11" s="7" t="s">
        <v>1241</v>
      </c>
      <c r="Q11"/>
      <c r="R11"/>
      <c r="S11"/>
      <c r="T11"/>
      <c r="U11"/>
      <c r="V11"/>
      <c r="W11"/>
      <c r="X11"/>
      <c r="Y11"/>
      <c r="Z11"/>
      <c r="AA11"/>
      <c r="AB11"/>
      <c r="AC11"/>
      <c r="AD11"/>
      <c r="AE11"/>
      <c r="AF11"/>
      <c r="AG11"/>
      <c r="AH11"/>
      <c r="AI11"/>
      <c r="AJ11"/>
      <c r="AK11"/>
      <c r="AL11"/>
      <c r="AM11"/>
      <c r="AN11"/>
      <c r="AO11"/>
      <c r="AP11"/>
      <c r="AQ11"/>
      <c r="AR11"/>
      <c r="AS11"/>
      <c r="AT11"/>
      <c r="AU11"/>
      <c r="AV11" s="1" t="s">
        <v>38</v>
      </c>
      <c r="BG11" s="7" t="s">
        <v>1242</v>
      </c>
    </row>
    <row r="12" spans="1:75" s="1" customFormat="1" ht="108" x14ac:dyDescent="0.45">
      <c r="A12" s="5">
        <v>11</v>
      </c>
      <c r="B12" s="2" t="s">
        <v>10708</v>
      </c>
      <c r="C12" s="2"/>
      <c r="J12" s="1" t="s">
        <v>7557</v>
      </c>
      <c r="K12" s="2" t="s">
        <v>10039</v>
      </c>
      <c r="P12" s="7" t="s">
        <v>1241</v>
      </c>
      <c r="Q12"/>
      <c r="R12"/>
      <c r="S12"/>
      <c r="T12"/>
      <c r="U12"/>
      <c r="V12"/>
      <c r="W12"/>
      <c r="X12"/>
      <c r="Y12"/>
      <c r="Z12"/>
      <c r="AA12"/>
      <c r="AB12"/>
      <c r="AC12"/>
      <c r="AD12"/>
      <c r="AE12"/>
      <c r="AF12"/>
      <c r="AG12"/>
      <c r="AH12"/>
      <c r="AI12"/>
      <c r="AJ12"/>
      <c r="AK12"/>
      <c r="AL12"/>
      <c r="AM12"/>
      <c r="AN12"/>
      <c r="AO12"/>
      <c r="AP12"/>
      <c r="AQ12"/>
      <c r="AR12"/>
      <c r="AS12"/>
      <c r="AT12"/>
      <c r="AU12"/>
      <c r="AV12" s="1" t="s">
        <v>38</v>
      </c>
      <c r="BG12" s="7" t="s">
        <v>1242</v>
      </c>
    </row>
    <row r="13" spans="1:75" s="1" customFormat="1" ht="54" x14ac:dyDescent="0.45">
      <c r="A13" s="5">
        <v>12</v>
      </c>
      <c r="B13" s="2" t="s">
        <v>10709</v>
      </c>
      <c r="C13" s="2"/>
      <c r="J13" s="1" t="s">
        <v>7557</v>
      </c>
      <c r="K13" s="2" t="s">
        <v>10040</v>
      </c>
      <c r="P13" s="7" t="s">
        <v>1241</v>
      </c>
      <c r="Q13"/>
      <c r="R13"/>
      <c r="S13"/>
      <c r="T13"/>
      <c r="U13"/>
      <c r="V13"/>
      <c r="W13"/>
      <c r="X13"/>
      <c r="Y13"/>
      <c r="Z13"/>
      <c r="AA13"/>
      <c r="AB13"/>
      <c r="AC13"/>
      <c r="AD13"/>
      <c r="AE13"/>
      <c r="AF13"/>
      <c r="AG13"/>
      <c r="AH13"/>
      <c r="AI13"/>
      <c r="AJ13"/>
      <c r="AK13"/>
      <c r="AL13"/>
      <c r="AM13"/>
      <c r="AN13"/>
      <c r="AO13"/>
      <c r="AP13"/>
      <c r="AQ13"/>
      <c r="AR13"/>
      <c r="AS13"/>
      <c r="AT13"/>
      <c r="AU13"/>
      <c r="AV13" s="1" t="s">
        <v>38</v>
      </c>
      <c r="BG13" s="7" t="s">
        <v>1242</v>
      </c>
    </row>
    <row r="14" spans="1:75" s="1" customFormat="1" ht="90" x14ac:dyDescent="0.45">
      <c r="A14" s="5">
        <v>13</v>
      </c>
      <c r="B14" s="2" t="s">
        <v>10710</v>
      </c>
      <c r="C14" s="2"/>
      <c r="J14" s="1" t="s">
        <v>7557</v>
      </c>
      <c r="K14" s="11" t="s">
        <v>11739</v>
      </c>
      <c r="P14" s="7" t="s">
        <v>1241</v>
      </c>
      <c r="Q14"/>
      <c r="R14"/>
      <c r="S14"/>
      <c r="T14"/>
      <c r="U14"/>
      <c r="V14"/>
      <c r="W14"/>
      <c r="X14"/>
      <c r="Y14"/>
      <c r="Z14"/>
      <c r="AA14"/>
      <c r="AB14"/>
      <c r="AC14"/>
      <c r="AD14"/>
      <c r="AE14"/>
      <c r="AF14"/>
      <c r="AG14"/>
      <c r="AH14"/>
      <c r="AI14"/>
      <c r="AJ14"/>
      <c r="AK14"/>
      <c r="AL14"/>
      <c r="AM14"/>
      <c r="AN14"/>
      <c r="AO14"/>
      <c r="AP14"/>
      <c r="AQ14"/>
      <c r="AR14"/>
      <c r="AS14"/>
      <c r="AT14"/>
      <c r="AU14"/>
      <c r="AV14" s="1" t="s">
        <v>38</v>
      </c>
      <c r="BG14" s="7" t="s">
        <v>1242</v>
      </c>
    </row>
    <row r="15" spans="1:75" s="1" customFormat="1" ht="90" x14ac:dyDescent="0.45">
      <c r="A15" s="5">
        <v>14</v>
      </c>
      <c r="B15" s="2" t="s">
        <v>10711</v>
      </c>
      <c r="C15" s="2"/>
      <c r="J15" s="1" t="s">
        <v>7557</v>
      </c>
      <c r="K15" s="2" t="s">
        <v>10041</v>
      </c>
      <c r="P15" s="7" t="s">
        <v>1241</v>
      </c>
      <c r="Q15"/>
      <c r="R15"/>
      <c r="S15"/>
      <c r="T15"/>
      <c r="U15"/>
      <c r="V15"/>
      <c r="W15"/>
      <c r="X15"/>
      <c r="Y15"/>
      <c r="Z15"/>
      <c r="AA15"/>
      <c r="AB15"/>
      <c r="AC15"/>
      <c r="AD15"/>
      <c r="AE15"/>
      <c r="AF15"/>
      <c r="AG15"/>
      <c r="AH15"/>
      <c r="AI15"/>
      <c r="AJ15"/>
      <c r="AK15"/>
      <c r="AL15"/>
      <c r="AM15"/>
      <c r="AN15"/>
      <c r="AO15"/>
      <c r="AP15"/>
      <c r="AQ15"/>
      <c r="AR15"/>
      <c r="AS15"/>
      <c r="AT15"/>
      <c r="AU15"/>
      <c r="AV15" s="1" t="s">
        <v>38</v>
      </c>
      <c r="BG15" s="7" t="s">
        <v>1242</v>
      </c>
    </row>
    <row r="16" spans="1:75" s="1" customFormat="1" ht="144" x14ac:dyDescent="0.45">
      <c r="A16" s="5">
        <v>15</v>
      </c>
      <c r="B16" s="2" t="s">
        <v>10712</v>
      </c>
      <c r="C16" s="2"/>
      <c r="J16" s="1" t="s">
        <v>7557</v>
      </c>
      <c r="K16" s="2" t="s">
        <v>10042</v>
      </c>
      <c r="P16" s="7" t="s">
        <v>1241</v>
      </c>
      <c r="Q16"/>
      <c r="R16"/>
      <c r="S16"/>
      <c r="T16"/>
      <c r="U16"/>
      <c r="V16"/>
      <c r="W16"/>
      <c r="X16"/>
      <c r="Y16"/>
      <c r="Z16"/>
      <c r="AA16"/>
      <c r="AB16"/>
      <c r="AC16"/>
      <c r="AD16"/>
      <c r="AE16"/>
      <c r="AF16"/>
      <c r="AG16"/>
      <c r="AH16"/>
      <c r="AI16"/>
      <c r="AJ16"/>
      <c r="AK16"/>
      <c r="AL16"/>
      <c r="AM16"/>
      <c r="AN16"/>
      <c r="AO16"/>
      <c r="AP16"/>
      <c r="AQ16"/>
      <c r="AR16"/>
      <c r="AS16"/>
      <c r="AT16"/>
      <c r="AU16"/>
      <c r="AV16" s="1" t="s">
        <v>38</v>
      </c>
      <c r="BG16" s="7" t="s">
        <v>1242</v>
      </c>
    </row>
    <row r="17" spans="1:59" s="1" customFormat="1" ht="90" x14ac:dyDescent="0.45">
      <c r="A17" s="5">
        <v>16</v>
      </c>
      <c r="B17" s="6" t="s">
        <v>10713</v>
      </c>
      <c r="C17" s="6"/>
      <c r="J17" s="1" t="s">
        <v>7557</v>
      </c>
      <c r="K17" s="2" t="s">
        <v>11607</v>
      </c>
      <c r="P17" s="7" t="s">
        <v>1241</v>
      </c>
      <c r="Q17"/>
      <c r="R17"/>
      <c r="S17"/>
      <c r="T17"/>
      <c r="U17"/>
      <c r="V17"/>
      <c r="W17"/>
      <c r="X17"/>
      <c r="Y17"/>
      <c r="Z17"/>
      <c r="AA17"/>
      <c r="AB17"/>
      <c r="AC17"/>
      <c r="AD17"/>
      <c r="AE17"/>
      <c r="AF17"/>
      <c r="AG17"/>
      <c r="AH17"/>
      <c r="AI17"/>
      <c r="AJ17"/>
      <c r="AK17"/>
      <c r="AL17"/>
      <c r="AM17"/>
      <c r="AN17"/>
      <c r="AO17"/>
      <c r="AP17"/>
      <c r="AQ17"/>
      <c r="AR17"/>
      <c r="AS17"/>
      <c r="AT17"/>
      <c r="AU17"/>
      <c r="AV17" s="1" t="s">
        <v>38</v>
      </c>
      <c r="BG17" s="7" t="s">
        <v>1242</v>
      </c>
    </row>
    <row r="18" spans="1:59" s="1" customFormat="1" ht="144" x14ac:dyDescent="0.45">
      <c r="A18" s="5">
        <v>17</v>
      </c>
      <c r="B18" s="2" t="s">
        <v>10714</v>
      </c>
      <c r="C18" s="2"/>
      <c r="J18" s="1" t="s">
        <v>7557</v>
      </c>
      <c r="K18" s="2" t="s">
        <v>10043</v>
      </c>
      <c r="P18" s="7" t="s">
        <v>1241</v>
      </c>
      <c r="Q18"/>
      <c r="R18"/>
      <c r="S18"/>
      <c r="T18"/>
      <c r="U18"/>
      <c r="V18"/>
      <c r="W18"/>
      <c r="X18"/>
      <c r="Y18"/>
      <c r="Z18"/>
      <c r="AA18"/>
      <c r="AB18"/>
      <c r="AC18"/>
      <c r="AD18"/>
      <c r="AE18"/>
      <c r="AF18"/>
      <c r="AG18"/>
      <c r="AH18"/>
      <c r="AI18"/>
      <c r="AJ18"/>
      <c r="AK18"/>
      <c r="AL18"/>
      <c r="AM18"/>
      <c r="AN18"/>
      <c r="AO18"/>
      <c r="AP18"/>
      <c r="AQ18"/>
      <c r="AR18"/>
      <c r="AS18"/>
      <c r="AT18"/>
      <c r="AU18"/>
      <c r="AV18" s="1" t="s">
        <v>38</v>
      </c>
      <c r="BG18" s="7" t="s">
        <v>1242</v>
      </c>
    </row>
    <row r="19" spans="1:59" s="1" customFormat="1" ht="126" x14ac:dyDescent="0.45">
      <c r="A19" s="5">
        <v>18</v>
      </c>
      <c r="B19" s="2" t="s">
        <v>10715</v>
      </c>
      <c r="C19" s="2"/>
      <c r="J19" s="1" t="s">
        <v>7557</v>
      </c>
      <c r="K19" s="2" t="s">
        <v>10259</v>
      </c>
      <c r="P19" s="7" t="s">
        <v>1241</v>
      </c>
      <c r="Q19"/>
      <c r="R19"/>
      <c r="S19"/>
      <c r="T19"/>
      <c r="U19"/>
      <c r="V19"/>
      <c r="W19"/>
      <c r="X19"/>
      <c r="Y19"/>
      <c r="Z19"/>
      <c r="AA19"/>
      <c r="AB19"/>
      <c r="AC19"/>
      <c r="AD19"/>
      <c r="AE19"/>
      <c r="AF19"/>
      <c r="AG19"/>
      <c r="AH19"/>
      <c r="AI19"/>
      <c r="AJ19"/>
      <c r="AK19"/>
      <c r="AL19"/>
      <c r="AM19"/>
      <c r="AN19"/>
      <c r="AO19"/>
      <c r="AP19"/>
      <c r="AQ19"/>
      <c r="AR19"/>
      <c r="AS19"/>
      <c r="AT19"/>
      <c r="AU19"/>
      <c r="AV19" s="1" t="s">
        <v>38</v>
      </c>
      <c r="BG19" s="7" t="s">
        <v>1242</v>
      </c>
    </row>
    <row r="20" spans="1:59" s="1" customFormat="1" ht="90" x14ac:dyDescent="0.45">
      <c r="A20" s="5">
        <v>19</v>
      </c>
      <c r="B20" s="2" t="s">
        <v>10716</v>
      </c>
      <c r="C20" s="2"/>
      <c r="J20" s="1" t="s">
        <v>7557</v>
      </c>
      <c r="K20" s="2" t="s">
        <v>10044</v>
      </c>
      <c r="P20" s="7" t="s">
        <v>1241</v>
      </c>
      <c r="Q20"/>
      <c r="R20"/>
      <c r="S20"/>
      <c r="T20"/>
      <c r="U20"/>
      <c r="V20"/>
      <c r="W20"/>
      <c r="X20"/>
      <c r="Y20"/>
      <c r="Z20"/>
      <c r="AA20"/>
      <c r="AB20"/>
      <c r="AC20"/>
      <c r="AD20"/>
      <c r="AE20"/>
      <c r="AF20"/>
      <c r="AG20"/>
      <c r="AH20"/>
      <c r="AI20"/>
      <c r="AJ20"/>
      <c r="AK20"/>
      <c r="AL20"/>
      <c r="AM20"/>
      <c r="AN20"/>
      <c r="AO20"/>
      <c r="AP20"/>
      <c r="AQ20"/>
      <c r="AR20"/>
      <c r="AS20"/>
      <c r="AT20"/>
      <c r="AU20"/>
      <c r="AV20" s="1" t="s">
        <v>38</v>
      </c>
      <c r="BG20" s="7" t="s">
        <v>1242</v>
      </c>
    </row>
    <row r="21" spans="1:59" s="1" customFormat="1" ht="72" x14ac:dyDescent="0.45">
      <c r="A21" s="5">
        <v>20</v>
      </c>
      <c r="B21" s="2" t="s">
        <v>10717</v>
      </c>
      <c r="C21" s="2"/>
      <c r="J21" s="1" t="s">
        <v>7557</v>
      </c>
      <c r="K21" s="2" t="s">
        <v>10718</v>
      </c>
      <c r="P21" s="7" t="s">
        <v>1241</v>
      </c>
      <c r="Q21"/>
      <c r="R21"/>
      <c r="S21"/>
      <c r="T21"/>
      <c r="U21"/>
      <c r="V21"/>
      <c r="W21"/>
      <c r="X21"/>
      <c r="Y21"/>
      <c r="Z21"/>
      <c r="AA21"/>
      <c r="AB21"/>
      <c r="AC21"/>
      <c r="AD21"/>
      <c r="AE21"/>
      <c r="AF21"/>
      <c r="AG21"/>
      <c r="AH21"/>
      <c r="AI21"/>
      <c r="AJ21"/>
      <c r="AK21"/>
      <c r="AL21"/>
      <c r="AM21"/>
      <c r="AN21"/>
      <c r="AO21"/>
      <c r="AP21"/>
      <c r="AQ21"/>
      <c r="AR21"/>
      <c r="AS21"/>
      <c r="AT21"/>
      <c r="AU21"/>
      <c r="AV21" s="1" t="s">
        <v>38</v>
      </c>
      <c r="BG21" s="7" t="s">
        <v>1242</v>
      </c>
    </row>
    <row r="22" spans="1:59" s="1" customFormat="1" ht="108" x14ac:dyDescent="0.45">
      <c r="A22" s="5">
        <v>21</v>
      </c>
      <c r="B22" s="2" t="s">
        <v>10719</v>
      </c>
      <c r="C22" s="2"/>
      <c r="J22" s="1" t="s">
        <v>7557</v>
      </c>
      <c r="K22" s="2" t="s">
        <v>10045</v>
      </c>
      <c r="P22" s="7" t="s">
        <v>1241</v>
      </c>
      <c r="Q22"/>
      <c r="R22"/>
      <c r="S22"/>
      <c r="T22"/>
      <c r="U22"/>
      <c r="V22"/>
      <c r="W22"/>
      <c r="X22"/>
      <c r="Y22"/>
      <c r="Z22"/>
      <c r="AA22"/>
      <c r="AB22"/>
      <c r="AC22"/>
      <c r="AD22"/>
      <c r="AE22"/>
      <c r="AF22"/>
      <c r="AG22"/>
      <c r="AH22"/>
      <c r="AI22"/>
      <c r="AJ22"/>
      <c r="AK22"/>
      <c r="AL22"/>
      <c r="AM22"/>
      <c r="AN22"/>
      <c r="AO22"/>
      <c r="AP22"/>
      <c r="AQ22"/>
      <c r="AR22"/>
      <c r="AS22"/>
      <c r="AT22"/>
      <c r="AU22"/>
      <c r="AV22" s="1" t="s">
        <v>38</v>
      </c>
      <c r="BG22" s="7" t="s">
        <v>1242</v>
      </c>
    </row>
    <row r="23" spans="1:59" s="1" customFormat="1" ht="126" x14ac:dyDescent="0.45">
      <c r="A23" s="5">
        <v>22</v>
      </c>
      <c r="B23" s="6" t="s">
        <v>10720</v>
      </c>
      <c r="C23" s="6"/>
      <c r="J23" s="1" t="s">
        <v>7557</v>
      </c>
      <c r="K23" s="2" t="s">
        <v>10307</v>
      </c>
      <c r="P23" s="7" t="s">
        <v>1241</v>
      </c>
      <c r="Q23"/>
      <c r="R23"/>
      <c r="S23"/>
      <c r="T23"/>
      <c r="U23"/>
      <c r="V23"/>
      <c r="W23"/>
      <c r="X23"/>
      <c r="Y23"/>
      <c r="Z23"/>
      <c r="AA23"/>
      <c r="AB23"/>
      <c r="AC23"/>
      <c r="AD23"/>
      <c r="AE23"/>
      <c r="AF23"/>
      <c r="AG23"/>
      <c r="AH23"/>
      <c r="AI23"/>
      <c r="AJ23"/>
      <c r="AK23"/>
      <c r="AL23"/>
      <c r="AM23"/>
      <c r="AN23"/>
      <c r="AO23"/>
      <c r="AP23"/>
      <c r="AQ23"/>
      <c r="AR23"/>
      <c r="AS23"/>
      <c r="AT23"/>
      <c r="AU23"/>
      <c r="AV23" s="1" t="s">
        <v>38</v>
      </c>
      <c r="BG23" s="7" t="s">
        <v>1242</v>
      </c>
    </row>
    <row r="24" spans="1:59" s="1" customFormat="1" ht="216" x14ac:dyDescent="0.45">
      <c r="A24" s="5">
        <v>23</v>
      </c>
      <c r="B24" s="2" t="s">
        <v>10721</v>
      </c>
      <c r="C24" s="2"/>
      <c r="J24" s="1" t="s">
        <v>7557</v>
      </c>
      <c r="K24" s="2" t="s">
        <v>10046</v>
      </c>
      <c r="P24" s="7" t="s">
        <v>1241</v>
      </c>
      <c r="Q24"/>
      <c r="R24"/>
      <c r="S24"/>
      <c r="T24"/>
      <c r="U24"/>
      <c r="V24"/>
      <c r="W24"/>
      <c r="X24"/>
      <c r="Y24"/>
      <c r="Z24"/>
      <c r="AA24"/>
      <c r="AB24"/>
      <c r="AC24"/>
      <c r="AD24"/>
      <c r="AE24"/>
      <c r="AF24"/>
      <c r="AG24"/>
      <c r="AH24"/>
      <c r="AI24"/>
      <c r="AJ24"/>
      <c r="AK24"/>
      <c r="AL24"/>
      <c r="AM24"/>
      <c r="AN24"/>
      <c r="AO24"/>
      <c r="AP24"/>
      <c r="AQ24"/>
      <c r="AR24"/>
      <c r="AS24"/>
      <c r="AT24"/>
      <c r="AU24"/>
      <c r="AV24" s="1" t="s">
        <v>38</v>
      </c>
      <c r="BG24" s="7" t="s">
        <v>1242</v>
      </c>
    </row>
    <row r="25" spans="1:59" s="1" customFormat="1" ht="54" x14ac:dyDescent="0.45">
      <c r="A25" s="5">
        <v>24</v>
      </c>
      <c r="B25" s="2" t="s">
        <v>10722</v>
      </c>
      <c r="C25" s="2"/>
      <c r="J25" s="1" t="s">
        <v>7557</v>
      </c>
      <c r="K25" s="2" t="s">
        <v>10047</v>
      </c>
      <c r="P25" s="7" t="s">
        <v>1241</v>
      </c>
      <c r="Q25"/>
      <c r="R25"/>
      <c r="S25"/>
      <c r="T25"/>
      <c r="U25"/>
      <c r="V25"/>
      <c r="W25"/>
      <c r="X25"/>
      <c r="Y25"/>
      <c r="Z25"/>
      <c r="AA25"/>
      <c r="AB25"/>
      <c r="AC25"/>
      <c r="AD25"/>
      <c r="AE25"/>
      <c r="AF25"/>
      <c r="AG25"/>
      <c r="AH25"/>
      <c r="AI25"/>
      <c r="AJ25"/>
      <c r="AK25"/>
      <c r="AL25"/>
      <c r="AM25"/>
      <c r="AN25"/>
      <c r="AO25"/>
      <c r="AP25"/>
      <c r="AQ25"/>
      <c r="AR25"/>
      <c r="AS25"/>
      <c r="AT25"/>
      <c r="AU25"/>
      <c r="AV25" s="1" t="s">
        <v>38</v>
      </c>
      <c r="BG25" s="7" t="s">
        <v>1242</v>
      </c>
    </row>
    <row r="26" spans="1:59" s="1" customFormat="1" ht="36" x14ac:dyDescent="0.45">
      <c r="A26" s="5">
        <v>25</v>
      </c>
      <c r="B26" s="2" t="s">
        <v>10723</v>
      </c>
      <c r="C26" s="2"/>
      <c r="J26" s="1" t="s">
        <v>7557</v>
      </c>
      <c r="K26" s="2" t="s">
        <v>10048</v>
      </c>
      <c r="P26" s="7" t="s">
        <v>1241</v>
      </c>
      <c r="Q26"/>
      <c r="R26"/>
      <c r="S26"/>
      <c r="T26"/>
      <c r="U26"/>
      <c r="V26"/>
      <c r="W26"/>
      <c r="X26"/>
      <c r="Y26"/>
      <c r="Z26"/>
      <c r="AA26"/>
      <c r="AB26"/>
      <c r="AC26"/>
      <c r="AD26"/>
      <c r="AE26"/>
      <c r="AF26"/>
      <c r="AG26"/>
      <c r="AH26"/>
      <c r="AI26"/>
      <c r="AJ26"/>
      <c r="AK26"/>
      <c r="AL26"/>
      <c r="AM26"/>
      <c r="AN26"/>
      <c r="AO26"/>
      <c r="AP26"/>
      <c r="AQ26"/>
      <c r="AR26"/>
      <c r="AS26"/>
      <c r="AT26"/>
      <c r="AU26"/>
      <c r="AV26" s="1" t="s">
        <v>38</v>
      </c>
      <c r="BG26" s="7" t="s">
        <v>1242</v>
      </c>
    </row>
    <row r="27" spans="1:59" s="1" customFormat="1" ht="90" x14ac:dyDescent="0.45">
      <c r="A27" s="5">
        <v>26</v>
      </c>
      <c r="B27" s="2" t="s">
        <v>10724</v>
      </c>
      <c r="C27" s="2"/>
      <c r="J27" s="1" t="s">
        <v>7557</v>
      </c>
      <c r="K27" s="2" t="s">
        <v>10049</v>
      </c>
      <c r="P27" s="7" t="s">
        <v>1241</v>
      </c>
      <c r="Q27"/>
      <c r="R27"/>
      <c r="S27"/>
      <c r="T27"/>
      <c r="U27"/>
      <c r="V27"/>
      <c r="W27"/>
      <c r="X27"/>
      <c r="Y27"/>
      <c r="Z27"/>
      <c r="AA27"/>
      <c r="AB27"/>
      <c r="AC27"/>
      <c r="AD27"/>
      <c r="AE27"/>
      <c r="AF27"/>
      <c r="AG27"/>
      <c r="AH27"/>
      <c r="AI27"/>
      <c r="AJ27"/>
      <c r="AK27"/>
      <c r="AL27"/>
      <c r="AM27"/>
      <c r="AN27"/>
      <c r="AO27"/>
      <c r="AP27"/>
      <c r="AQ27"/>
      <c r="AR27"/>
      <c r="AS27"/>
      <c r="AT27"/>
      <c r="AU27"/>
      <c r="AV27" s="1" t="s">
        <v>38</v>
      </c>
      <c r="BG27" s="7" t="s">
        <v>1242</v>
      </c>
    </row>
    <row r="28" spans="1:59" s="1" customFormat="1" ht="72" x14ac:dyDescent="0.45">
      <c r="A28" s="5">
        <v>27</v>
      </c>
      <c r="B28" s="2" t="s">
        <v>10725</v>
      </c>
      <c r="C28" s="2"/>
      <c r="J28" s="1" t="s">
        <v>7557</v>
      </c>
      <c r="K28" s="2" t="s">
        <v>10050</v>
      </c>
      <c r="P28" s="7" t="s">
        <v>1241</v>
      </c>
      <c r="Q28"/>
      <c r="R28"/>
      <c r="S28"/>
      <c r="T28"/>
      <c r="U28"/>
      <c r="V28"/>
      <c r="W28"/>
      <c r="X28"/>
      <c r="Y28"/>
      <c r="Z28"/>
      <c r="AA28"/>
      <c r="AB28"/>
      <c r="AC28"/>
      <c r="AD28"/>
      <c r="AE28"/>
      <c r="AF28"/>
      <c r="AG28"/>
      <c r="AH28"/>
      <c r="AI28"/>
      <c r="AJ28"/>
      <c r="AK28"/>
      <c r="AL28"/>
      <c r="AM28"/>
      <c r="AN28"/>
      <c r="AO28"/>
      <c r="AP28"/>
      <c r="AQ28"/>
      <c r="AR28"/>
      <c r="AS28"/>
      <c r="AT28"/>
      <c r="AU28"/>
      <c r="AV28" s="1" t="s">
        <v>38</v>
      </c>
      <c r="BG28" s="7" t="s">
        <v>1242</v>
      </c>
    </row>
    <row r="29" spans="1:59" s="1" customFormat="1" ht="108" x14ac:dyDescent="0.45">
      <c r="A29" s="5">
        <v>28</v>
      </c>
      <c r="B29" s="2" t="s">
        <v>10726</v>
      </c>
      <c r="C29" s="2"/>
      <c r="J29" s="1" t="s">
        <v>7557</v>
      </c>
      <c r="K29" s="2" t="s">
        <v>10051</v>
      </c>
      <c r="P29" s="7" t="s">
        <v>1241</v>
      </c>
      <c r="Q29"/>
      <c r="R29"/>
      <c r="S29"/>
      <c r="T29"/>
      <c r="U29"/>
      <c r="V29"/>
      <c r="W29"/>
      <c r="X29"/>
      <c r="Y29"/>
      <c r="Z29"/>
      <c r="AA29"/>
      <c r="AB29"/>
      <c r="AC29"/>
      <c r="AD29"/>
      <c r="AE29"/>
      <c r="AF29"/>
      <c r="AG29"/>
      <c r="AH29"/>
      <c r="AI29"/>
      <c r="AJ29"/>
      <c r="AK29"/>
      <c r="AL29"/>
      <c r="AM29"/>
      <c r="AN29"/>
      <c r="AO29"/>
      <c r="AP29"/>
      <c r="AQ29"/>
      <c r="AR29"/>
      <c r="AS29"/>
      <c r="AT29"/>
      <c r="AU29"/>
      <c r="AV29" s="1" t="s">
        <v>38</v>
      </c>
      <c r="BG29" s="7" t="s">
        <v>1242</v>
      </c>
    </row>
    <row r="30" spans="1:59" s="1" customFormat="1" ht="72" x14ac:dyDescent="0.45">
      <c r="A30" s="5">
        <v>29</v>
      </c>
      <c r="B30" s="2" t="s">
        <v>10727</v>
      </c>
      <c r="C30" s="2"/>
      <c r="J30" s="1" t="s">
        <v>7557</v>
      </c>
      <c r="K30" s="2" t="s">
        <v>10052</v>
      </c>
      <c r="P30" s="7" t="s">
        <v>1241</v>
      </c>
      <c r="Q30"/>
      <c r="R30"/>
      <c r="S30"/>
      <c r="T30"/>
      <c r="U30"/>
      <c r="V30"/>
      <c r="W30"/>
      <c r="X30"/>
      <c r="Y30"/>
      <c r="Z30"/>
      <c r="AA30"/>
      <c r="AB30"/>
      <c r="AC30"/>
      <c r="AD30"/>
      <c r="AE30"/>
      <c r="AF30"/>
      <c r="AG30"/>
      <c r="AH30"/>
      <c r="AI30"/>
      <c r="AJ30"/>
      <c r="AK30"/>
      <c r="AL30"/>
      <c r="AM30"/>
      <c r="AN30"/>
      <c r="AO30"/>
      <c r="AP30"/>
      <c r="AQ30"/>
      <c r="AR30"/>
      <c r="AS30"/>
      <c r="AT30"/>
      <c r="AU30"/>
      <c r="AV30" s="1" t="s">
        <v>38</v>
      </c>
      <c r="BG30" s="7" t="s">
        <v>1242</v>
      </c>
    </row>
    <row r="31" spans="1:59" s="1" customFormat="1" ht="108" x14ac:dyDescent="0.45">
      <c r="A31" s="5">
        <v>30</v>
      </c>
      <c r="B31" s="2" t="s">
        <v>10728</v>
      </c>
      <c r="C31" s="2"/>
      <c r="J31" s="1" t="s">
        <v>7557</v>
      </c>
      <c r="K31" s="2" t="s">
        <v>10053</v>
      </c>
      <c r="P31" s="7" t="s">
        <v>1241</v>
      </c>
      <c r="Q31"/>
      <c r="R31"/>
      <c r="S31"/>
      <c r="T31"/>
      <c r="U31"/>
      <c r="V31"/>
      <c r="W31"/>
      <c r="X31"/>
      <c r="Y31"/>
      <c r="Z31"/>
      <c r="AA31"/>
      <c r="AB31"/>
      <c r="AC31"/>
      <c r="AD31"/>
      <c r="AE31"/>
      <c r="AF31"/>
      <c r="AG31"/>
      <c r="AH31"/>
      <c r="AI31"/>
      <c r="AJ31"/>
      <c r="AK31"/>
      <c r="AL31"/>
      <c r="AM31"/>
      <c r="AN31"/>
      <c r="AO31"/>
      <c r="AP31"/>
      <c r="AQ31"/>
      <c r="AR31"/>
      <c r="AS31"/>
      <c r="AT31"/>
      <c r="AU31"/>
      <c r="AV31" s="1" t="s">
        <v>38</v>
      </c>
      <c r="BG31" s="7" t="s">
        <v>1242</v>
      </c>
    </row>
    <row r="32" spans="1:59" s="1" customFormat="1" ht="108" x14ac:dyDescent="0.45">
      <c r="A32" s="5">
        <v>31</v>
      </c>
      <c r="B32" s="2" t="s">
        <v>10729</v>
      </c>
      <c r="C32" s="2"/>
      <c r="J32" s="1" t="s">
        <v>7557</v>
      </c>
      <c r="K32" s="11" t="s">
        <v>11740</v>
      </c>
      <c r="P32" s="7" t="s">
        <v>1241</v>
      </c>
      <c r="Q32"/>
      <c r="R32"/>
      <c r="S32"/>
      <c r="T32"/>
      <c r="U32"/>
      <c r="V32"/>
      <c r="W32"/>
      <c r="X32"/>
      <c r="Y32"/>
      <c r="Z32"/>
      <c r="AA32"/>
      <c r="AB32"/>
      <c r="AC32"/>
      <c r="AD32"/>
      <c r="AE32"/>
      <c r="AF32"/>
      <c r="AG32"/>
      <c r="AH32"/>
      <c r="AI32"/>
      <c r="AJ32"/>
      <c r="AK32"/>
      <c r="AL32"/>
      <c r="AM32"/>
      <c r="AN32"/>
      <c r="AO32"/>
      <c r="AP32"/>
      <c r="AQ32"/>
      <c r="AR32"/>
      <c r="AS32"/>
      <c r="AT32"/>
      <c r="AU32"/>
      <c r="AV32" s="1" t="s">
        <v>38</v>
      </c>
      <c r="BG32" s="7" t="s">
        <v>1242</v>
      </c>
    </row>
    <row r="33" spans="1:59" s="1" customFormat="1" ht="72" x14ac:dyDescent="0.45">
      <c r="A33" s="5">
        <v>32</v>
      </c>
      <c r="B33" s="2" t="s">
        <v>10730</v>
      </c>
      <c r="C33" s="2"/>
      <c r="J33" s="1" t="s">
        <v>7557</v>
      </c>
      <c r="K33" s="2" t="s">
        <v>10054</v>
      </c>
      <c r="P33" s="7" t="s">
        <v>1241</v>
      </c>
      <c r="Q33"/>
      <c r="R33"/>
      <c r="S33"/>
      <c r="T33"/>
      <c r="U33"/>
      <c r="V33"/>
      <c r="W33"/>
      <c r="X33"/>
      <c r="Y33"/>
      <c r="Z33"/>
      <c r="AA33"/>
      <c r="AB33"/>
      <c r="AC33"/>
      <c r="AD33"/>
      <c r="AE33"/>
      <c r="AF33"/>
      <c r="AG33"/>
      <c r="AH33"/>
      <c r="AI33"/>
      <c r="AJ33"/>
      <c r="AK33"/>
      <c r="AL33"/>
      <c r="AM33"/>
      <c r="AN33"/>
      <c r="AO33"/>
      <c r="AP33"/>
      <c r="AQ33"/>
      <c r="AR33"/>
      <c r="AS33"/>
      <c r="AT33"/>
      <c r="AU33"/>
      <c r="AV33" s="1" t="s">
        <v>38</v>
      </c>
      <c r="BG33" s="7" t="s">
        <v>1242</v>
      </c>
    </row>
    <row r="34" spans="1:59" s="1" customFormat="1" ht="108" x14ac:dyDescent="0.45">
      <c r="A34" s="5">
        <v>33</v>
      </c>
      <c r="B34" s="2" t="s">
        <v>10731</v>
      </c>
      <c r="C34" s="2"/>
      <c r="J34" s="1" t="s">
        <v>7557</v>
      </c>
      <c r="K34" s="2" t="s">
        <v>10055</v>
      </c>
      <c r="P34" s="7" t="s">
        <v>1241</v>
      </c>
      <c r="Q34"/>
      <c r="R34"/>
      <c r="S34"/>
      <c r="T34"/>
      <c r="U34"/>
      <c r="V34"/>
      <c r="W34"/>
      <c r="X34"/>
      <c r="Y34"/>
      <c r="Z34"/>
      <c r="AA34"/>
      <c r="AB34"/>
      <c r="AC34"/>
      <c r="AD34"/>
      <c r="AE34"/>
      <c r="AF34"/>
      <c r="AG34"/>
      <c r="AH34"/>
      <c r="AI34"/>
      <c r="AJ34"/>
      <c r="AK34"/>
      <c r="AL34"/>
      <c r="AM34"/>
      <c r="AN34"/>
      <c r="AO34"/>
      <c r="AP34"/>
      <c r="AQ34"/>
      <c r="AR34"/>
      <c r="AS34"/>
      <c r="AT34"/>
      <c r="AU34"/>
      <c r="AV34" s="1" t="s">
        <v>38</v>
      </c>
      <c r="BG34" s="7" t="s">
        <v>1242</v>
      </c>
    </row>
    <row r="35" spans="1:59" s="1" customFormat="1" ht="108" x14ac:dyDescent="0.45">
      <c r="A35" s="5">
        <v>34</v>
      </c>
      <c r="B35" s="2" t="s">
        <v>10732</v>
      </c>
      <c r="C35" s="2"/>
      <c r="J35" s="1" t="s">
        <v>7557</v>
      </c>
      <c r="K35" s="2" t="s">
        <v>10056</v>
      </c>
      <c r="P35" s="7" t="s">
        <v>1241</v>
      </c>
      <c r="Q35"/>
      <c r="R35"/>
      <c r="S35"/>
      <c r="T35"/>
      <c r="U35"/>
      <c r="V35"/>
      <c r="W35"/>
      <c r="X35"/>
      <c r="Y35"/>
      <c r="Z35"/>
      <c r="AA35"/>
      <c r="AB35"/>
      <c r="AC35"/>
      <c r="AD35"/>
      <c r="AE35"/>
      <c r="AF35"/>
      <c r="AG35"/>
      <c r="AH35"/>
      <c r="AI35"/>
      <c r="AJ35"/>
      <c r="AK35"/>
      <c r="AL35"/>
      <c r="AM35"/>
      <c r="AN35"/>
      <c r="AO35"/>
      <c r="AP35"/>
      <c r="AQ35"/>
      <c r="AR35"/>
      <c r="AS35"/>
      <c r="AT35"/>
      <c r="AU35"/>
      <c r="AV35" s="1" t="s">
        <v>38</v>
      </c>
      <c r="BG35" s="7" t="s">
        <v>1242</v>
      </c>
    </row>
    <row r="36" spans="1:59" s="1" customFormat="1" ht="108" x14ac:dyDescent="0.45">
      <c r="A36" s="5">
        <v>35</v>
      </c>
      <c r="B36" s="2" t="s">
        <v>10733</v>
      </c>
      <c r="C36" s="2"/>
      <c r="J36" s="1" t="s">
        <v>7557</v>
      </c>
      <c r="K36" s="11" t="s">
        <v>12238</v>
      </c>
      <c r="P36" s="7" t="s">
        <v>1241</v>
      </c>
      <c r="Q36"/>
      <c r="R36"/>
      <c r="S36"/>
      <c r="T36"/>
      <c r="U36"/>
      <c r="V36"/>
      <c r="W36"/>
      <c r="X36"/>
      <c r="Y36"/>
      <c r="Z36"/>
      <c r="AA36"/>
      <c r="AB36"/>
      <c r="AC36"/>
      <c r="AD36"/>
      <c r="AE36"/>
      <c r="AF36"/>
      <c r="AG36"/>
      <c r="AH36"/>
      <c r="AI36"/>
      <c r="AJ36"/>
      <c r="AK36"/>
      <c r="AL36"/>
      <c r="AM36"/>
      <c r="AN36"/>
      <c r="AO36"/>
      <c r="AP36"/>
      <c r="AQ36"/>
      <c r="AR36"/>
      <c r="AS36"/>
      <c r="AT36"/>
      <c r="AU36"/>
      <c r="AV36" s="1" t="s">
        <v>38</v>
      </c>
      <c r="BG36" s="7" t="s">
        <v>1242</v>
      </c>
    </row>
    <row r="37" spans="1:59" s="1" customFormat="1" ht="108" x14ac:dyDescent="0.45">
      <c r="A37" s="5">
        <v>36</v>
      </c>
      <c r="B37" s="2" t="s">
        <v>10734</v>
      </c>
      <c r="C37" s="2"/>
      <c r="J37" s="1" t="s">
        <v>7557</v>
      </c>
      <c r="K37" s="2" t="s">
        <v>10057</v>
      </c>
      <c r="P37" s="7" t="s">
        <v>1241</v>
      </c>
      <c r="Q37"/>
      <c r="R37"/>
      <c r="S37"/>
      <c r="T37"/>
      <c r="U37"/>
      <c r="V37"/>
      <c r="W37"/>
      <c r="X37"/>
      <c r="Y37"/>
      <c r="Z37"/>
      <c r="AA37"/>
      <c r="AB37"/>
      <c r="AC37"/>
      <c r="AD37"/>
      <c r="AE37"/>
      <c r="AF37"/>
      <c r="AG37"/>
      <c r="AH37"/>
      <c r="AI37"/>
      <c r="AJ37"/>
      <c r="AK37"/>
      <c r="AL37"/>
      <c r="AM37"/>
      <c r="AN37"/>
      <c r="AO37"/>
      <c r="AP37"/>
      <c r="AQ37"/>
      <c r="AR37"/>
      <c r="AS37"/>
      <c r="AT37"/>
      <c r="AU37"/>
      <c r="AV37" s="1" t="s">
        <v>38</v>
      </c>
      <c r="BG37" s="7" t="s">
        <v>1242</v>
      </c>
    </row>
    <row r="38" spans="1:59" s="1" customFormat="1" ht="90" x14ac:dyDescent="0.45">
      <c r="A38" s="5">
        <v>37</v>
      </c>
      <c r="B38" s="2" t="s">
        <v>10735</v>
      </c>
      <c r="C38" s="2"/>
      <c r="J38" s="1" t="s">
        <v>7557</v>
      </c>
      <c r="K38" s="2" t="s">
        <v>12239</v>
      </c>
      <c r="P38" s="7" t="s">
        <v>1241</v>
      </c>
      <c r="Q38"/>
      <c r="R38"/>
      <c r="S38"/>
      <c r="T38"/>
      <c r="U38"/>
      <c r="V38"/>
      <c r="W38"/>
      <c r="X38"/>
      <c r="Y38"/>
      <c r="Z38"/>
      <c r="AA38"/>
      <c r="AB38"/>
      <c r="AC38"/>
      <c r="AD38"/>
      <c r="AE38"/>
      <c r="AF38"/>
      <c r="AG38"/>
      <c r="AH38"/>
      <c r="AI38"/>
      <c r="AJ38"/>
      <c r="AK38"/>
      <c r="AL38"/>
      <c r="AM38"/>
      <c r="AN38"/>
      <c r="AO38"/>
      <c r="AP38"/>
      <c r="AQ38"/>
      <c r="AR38"/>
      <c r="AS38"/>
      <c r="AT38"/>
      <c r="AU38"/>
      <c r="AV38" s="1" t="s">
        <v>38</v>
      </c>
      <c r="BG38" s="7" t="s">
        <v>1242</v>
      </c>
    </row>
    <row r="39" spans="1:59" s="1" customFormat="1" ht="90" x14ac:dyDescent="0.45">
      <c r="A39" s="5">
        <v>38</v>
      </c>
      <c r="B39" s="2" t="s">
        <v>10736</v>
      </c>
      <c r="C39" s="2"/>
      <c r="J39" s="1" t="s">
        <v>7557</v>
      </c>
      <c r="K39" s="2" t="s">
        <v>10058</v>
      </c>
      <c r="P39" s="7" t="s">
        <v>1241</v>
      </c>
      <c r="Q39"/>
      <c r="R39"/>
      <c r="S39"/>
      <c r="T39"/>
      <c r="U39"/>
      <c r="V39"/>
      <c r="W39"/>
      <c r="X39"/>
      <c r="Y39"/>
      <c r="Z39"/>
      <c r="AA39"/>
      <c r="AB39"/>
      <c r="AC39"/>
      <c r="AD39"/>
      <c r="AE39"/>
      <c r="AF39"/>
      <c r="AG39"/>
      <c r="AH39"/>
      <c r="AI39"/>
      <c r="AJ39"/>
      <c r="AK39"/>
      <c r="AL39"/>
      <c r="AM39"/>
      <c r="AN39"/>
      <c r="AO39"/>
      <c r="AP39"/>
      <c r="AQ39"/>
      <c r="AR39"/>
      <c r="AS39"/>
      <c r="AT39"/>
      <c r="AU39"/>
      <c r="AV39" s="1" t="s">
        <v>38</v>
      </c>
      <c r="BG39" s="7" t="s">
        <v>1242</v>
      </c>
    </row>
    <row r="40" spans="1:59" s="1" customFormat="1" ht="126" x14ac:dyDescent="0.45">
      <c r="A40" s="5">
        <v>39</v>
      </c>
      <c r="B40" s="2" t="s">
        <v>10737</v>
      </c>
      <c r="C40" s="2"/>
      <c r="J40" s="1" t="s">
        <v>7557</v>
      </c>
      <c r="K40" s="2" t="s">
        <v>10059</v>
      </c>
      <c r="P40" s="7" t="s">
        <v>1241</v>
      </c>
      <c r="Q40"/>
      <c r="R40"/>
      <c r="S40"/>
      <c r="T40"/>
      <c r="U40"/>
      <c r="V40"/>
      <c r="W40"/>
      <c r="X40"/>
      <c r="Y40"/>
      <c r="Z40"/>
      <c r="AA40"/>
      <c r="AB40"/>
      <c r="AC40"/>
      <c r="AD40"/>
      <c r="AE40"/>
      <c r="AF40"/>
      <c r="AG40"/>
      <c r="AH40"/>
      <c r="AI40"/>
      <c r="AJ40"/>
      <c r="AK40"/>
      <c r="AL40"/>
      <c r="AM40"/>
      <c r="AN40"/>
      <c r="AO40"/>
      <c r="AP40"/>
      <c r="AQ40"/>
      <c r="AR40"/>
      <c r="AS40"/>
      <c r="AT40"/>
      <c r="AU40"/>
      <c r="AV40" s="1" t="s">
        <v>38</v>
      </c>
      <c r="BG40" s="7" t="s">
        <v>1242</v>
      </c>
    </row>
    <row r="41" spans="1:59" s="1" customFormat="1" ht="90" x14ac:dyDescent="0.45">
      <c r="A41" s="5">
        <v>40</v>
      </c>
      <c r="B41" s="2" t="s">
        <v>10738</v>
      </c>
      <c r="C41" s="2"/>
      <c r="J41" s="1" t="s">
        <v>7557</v>
      </c>
      <c r="K41" s="2" t="s">
        <v>10060</v>
      </c>
      <c r="P41" s="7" t="s">
        <v>1241</v>
      </c>
      <c r="Q41"/>
      <c r="R41"/>
      <c r="S41"/>
      <c r="T41"/>
      <c r="U41"/>
      <c r="V41"/>
      <c r="W41"/>
      <c r="X41"/>
      <c r="Y41"/>
      <c r="Z41"/>
      <c r="AA41"/>
      <c r="AB41"/>
      <c r="AC41"/>
      <c r="AD41"/>
      <c r="AE41"/>
      <c r="AF41"/>
      <c r="AG41"/>
      <c r="AH41"/>
      <c r="AI41"/>
      <c r="AJ41"/>
      <c r="AK41"/>
      <c r="AL41"/>
      <c r="AM41"/>
      <c r="AN41"/>
      <c r="AO41"/>
      <c r="AP41"/>
      <c r="AQ41"/>
      <c r="AR41"/>
      <c r="AS41"/>
      <c r="AT41"/>
      <c r="AU41"/>
      <c r="AV41" s="1" t="s">
        <v>38</v>
      </c>
      <c r="BG41" s="7" t="s">
        <v>1242</v>
      </c>
    </row>
    <row r="42" spans="1:59" s="1" customFormat="1" ht="144" x14ac:dyDescent="0.45">
      <c r="A42" s="5">
        <v>41</v>
      </c>
      <c r="B42" s="2" t="s">
        <v>10739</v>
      </c>
      <c r="C42" s="2"/>
      <c r="J42" s="1" t="s">
        <v>7557</v>
      </c>
      <c r="K42" s="2" t="s">
        <v>10260</v>
      </c>
      <c r="P42" s="7" t="s">
        <v>1241</v>
      </c>
      <c r="Q42"/>
      <c r="R42"/>
      <c r="S42"/>
      <c r="T42"/>
      <c r="U42"/>
      <c r="V42"/>
      <c r="W42"/>
      <c r="X42"/>
      <c r="Y42"/>
      <c r="Z42"/>
      <c r="AA42"/>
      <c r="AB42"/>
      <c r="AC42"/>
      <c r="AD42"/>
      <c r="AE42"/>
      <c r="AF42"/>
      <c r="AG42"/>
      <c r="AH42"/>
      <c r="AI42"/>
      <c r="AJ42"/>
      <c r="AK42"/>
      <c r="AL42"/>
      <c r="AM42"/>
      <c r="AN42"/>
      <c r="AO42"/>
      <c r="AP42"/>
      <c r="AQ42"/>
      <c r="AR42"/>
      <c r="AS42"/>
      <c r="AT42"/>
      <c r="AU42"/>
      <c r="AV42" s="1" t="s">
        <v>38</v>
      </c>
      <c r="BG42" s="7" t="s">
        <v>1242</v>
      </c>
    </row>
    <row r="43" spans="1:59" s="1" customFormat="1" ht="90" x14ac:dyDescent="0.45">
      <c r="A43" s="5">
        <v>42</v>
      </c>
      <c r="B43" s="2" t="s">
        <v>10740</v>
      </c>
      <c r="C43" s="2"/>
      <c r="J43" s="1" t="s">
        <v>7557</v>
      </c>
      <c r="K43" s="2" t="s">
        <v>10061</v>
      </c>
      <c r="P43" s="7" t="s">
        <v>1241</v>
      </c>
      <c r="Q43"/>
      <c r="R43"/>
      <c r="S43"/>
      <c r="T43"/>
      <c r="U43"/>
      <c r="V43"/>
      <c r="W43"/>
      <c r="X43"/>
      <c r="Y43"/>
      <c r="Z43"/>
      <c r="AA43"/>
      <c r="AB43"/>
      <c r="AC43"/>
      <c r="AD43"/>
      <c r="AE43"/>
      <c r="AF43"/>
      <c r="AG43"/>
      <c r="AH43"/>
      <c r="AI43"/>
      <c r="AJ43"/>
      <c r="AK43"/>
      <c r="AL43"/>
      <c r="AM43"/>
      <c r="AN43"/>
      <c r="AO43"/>
      <c r="AP43"/>
      <c r="AQ43"/>
      <c r="AR43"/>
      <c r="AS43"/>
      <c r="AT43"/>
      <c r="AU43"/>
      <c r="AV43" s="1" t="s">
        <v>38</v>
      </c>
      <c r="BG43" s="7" t="s">
        <v>1242</v>
      </c>
    </row>
    <row r="44" spans="1:59" s="1" customFormat="1" ht="54" x14ac:dyDescent="0.45">
      <c r="A44" s="5">
        <v>43</v>
      </c>
      <c r="B44" s="2" t="s">
        <v>10741</v>
      </c>
      <c r="C44" s="2"/>
      <c r="J44" s="1" t="s">
        <v>7557</v>
      </c>
      <c r="K44" s="2" t="s">
        <v>10062</v>
      </c>
      <c r="P44" s="7" t="s">
        <v>1241</v>
      </c>
      <c r="Q44"/>
      <c r="R44"/>
      <c r="S44"/>
      <c r="T44"/>
      <c r="U44"/>
      <c r="V44"/>
      <c r="W44"/>
      <c r="X44"/>
      <c r="Y44"/>
      <c r="Z44"/>
      <c r="AA44"/>
      <c r="AB44"/>
      <c r="AC44"/>
      <c r="AD44"/>
      <c r="AE44"/>
      <c r="AF44"/>
      <c r="AG44"/>
      <c r="AH44"/>
      <c r="AI44"/>
      <c r="AJ44"/>
      <c r="AK44"/>
      <c r="AL44"/>
      <c r="AM44"/>
      <c r="AN44"/>
      <c r="AO44"/>
      <c r="AP44"/>
      <c r="AQ44"/>
      <c r="AR44"/>
      <c r="AS44"/>
      <c r="AT44"/>
      <c r="AU44"/>
      <c r="AV44" s="1" t="s">
        <v>38</v>
      </c>
      <c r="BG44" s="7" t="s">
        <v>1242</v>
      </c>
    </row>
    <row r="45" spans="1:59" s="1" customFormat="1" ht="90" x14ac:dyDescent="0.45">
      <c r="A45" s="5">
        <v>44</v>
      </c>
      <c r="B45" s="2" t="s">
        <v>10742</v>
      </c>
      <c r="C45" s="2"/>
      <c r="J45" s="1" t="s">
        <v>7557</v>
      </c>
      <c r="K45" s="2" t="s">
        <v>10063</v>
      </c>
      <c r="P45" s="7" t="s">
        <v>1241</v>
      </c>
      <c r="Q45"/>
      <c r="R45"/>
      <c r="S45"/>
      <c r="T45"/>
      <c r="U45"/>
      <c r="V45"/>
      <c r="W45"/>
      <c r="X45"/>
      <c r="Y45"/>
      <c r="Z45"/>
      <c r="AA45"/>
      <c r="AB45"/>
      <c r="AC45"/>
      <c r="AD45"/>
      <c r="AE45"/>
      <c r="AF45"/>
      <c r="AG45"/>
      <c r="AH45"/>
      <c r="AI45"/>
      <c r="AJ45"/>
      <c r="AK45"/>
      <c r="AL45"/>
      <c r="AM45"/>
      <c r="AN45"/>
      <c r="AO45"/>
      <c r="AP45"/>
      <c r="AQ45"/>
      <c r="AR45"/>
      <c r="AS45"/>
      <c r="AT45"/>
      <c r="AU45"/>
      <c r="AV45" s="1" t="s">
        <v>38</v>
      </c>
      <c r="BG45" s="7" t="s">
        <v>1242</v>
      </c>
    </row>
    <row r="46" spans="1:59" s="1" customFormat="1" ht="90" x14ac:dyDescent="0.45">
      <c r="A46" s="5">
        <v>45</v>
      </c>
      <c r="B46" s="2" t="s">
        <v>10743</v>
      </c>
      <c r="C46" s="2"/>
      <c r="J46" s="1" t="s">
        <v>7557</v>
      </c>
      <c r="K46" s="2" t="s">
        <v>11623</v>
      </c>
      <c r="P46" s="7" t="s">
        <v>1241</v>
      </c>
      <c r="Q46"/>
      <c r="R46"/>
      <c r="S46"/>
      <c r="T46"/>
      <c r="U46"/>
      <c r="V46"/>
      <c r="W46"/>
      <c r="X46"/>
      <c r="Y46"/>
      <c r="Z46"/>
      <c r="AA46"/>
      <c r="AB46"/>
      <c r="AC46"/>
      <c r="AD46"/>
      <c r="AE46"/>
      <c r="AF46"/>
      <c r="AG46"/>
      <c r="AH46"/>
      <c r="AI46"/>
      <c r="AJ46"/>
      <c r="AK46"/>
      <c r="AL46"/>
      <c r="AM46"/>
      <c r="AN46"/>
      <c r="AO46"/>
      <c r="AP46"/>
      <c r="AQ46"/>
      <c r="AR46"/>
      <c r="AS46"/>
      <c r="AT46"/>
      <c r="AU46"/>
      <c r="AV46" s="1" t="s">
        <v>38</v>
      </c>
      <c r="BG46" s="7" t="s">
        <v>1242</v>
      </c>
    </row>
    <row r="47" spans="1:59" s="1" customFormat="1" ht="162" x14ac:dyDescent="0.45">
      <c r="A47" s="5">
        <v>46</v>
      </c>
      <c r="B47" s="2" t="s">
        <v>10744</v>
      </c>
      <c r="C47" s="2"/>
      <c r="J47" s="1" t="s">
        <v>7557</v>
      </c>
      <c r="K47" s="11" t="s">
        <v>12244</v>
      </c>
      <c r="P47" s="7" t="s">
        <v>1241</v>
      </c>
      <c r="Q47"/>
      <c r="R47"/>
      <c r="S47"/>
      <c r="T47"/>
      <c r="U47"/>
      <c r="V47"/>
      <c r="W47"/>
      <c r="X47"/>
      <c r="Y47"/>
      <c r="Z47"/>
      <c r="AA47"/>
      <c r="AB47"/>
      <c r="AC47"/>
      <c r="AD47"/>
      <c r="AE47"/>
      <c r="AF47"/>
      <c r="AG47"/>
      <c r="AH47"/>
      <c r="AI47"/>
      <c r="AJ47"/>
      <c r="AK47"/>
      <c r="AL47"/>
      <c r="AM47"/>
      <c r="AN47"/>
      <c r="AO47"/>
      <c r="AP47"/>
      <c r="AQ47"/>
      <c r="AR47"/>
      <c r="AS47"/>
      <c r="AT47"/>
      <c r="AU47"/>
      <c r="AV47" s="1" t="s">
        <v>38</v>
      </c>
      <c r="BG47" s="7" t="s">
        <v>1242</v>
      </c>
    </row>
    <row r="48" spans="1:59" s="1" customFormat="1" ht="108" x14ac:dyDescent="0.45">
      <c r="A48" s="5">
        <v>47</v>
      </c>
      <c r="B48" s="2" t="s">
        <v>10745</v>
      </c>
      <c r="C48" s="2"/>
      <c r="J48" s="1" t="s">
        <v>7557</v>
      </c>
      <c r="K48" s="2" t="s">
        <v>10340</v>
      </c>
      <c r="P48" s="7" t="s">
        <v>1241</v>
      </c>
      <c r="Q48"/>
      <c r="R48"/>
      <c r="S48"/>
      <c r="T48"/>
      <c r="U48"/>
      <c r="V48"/>
      <c r="W48"/>
      <c r="X48"/>
      <c r="Y48"/>
      <c r="Z48"/>
      <c r="AA48"/>
      <c r="AB48"/>
      <c r="AC48"/>
      <c r="AD48"/>
      <c r="AE48"/>
      <c r="AF48"/>
      <c r="AG48"/>
      <c r="AH48"/>
      <c r="AI48"/>
      <c r="AJ48"/>
      <c r="AK48"/>
      <c r="AL48"/>
      <c r="AM48"/>
      <c r="AN48"/>
      <c r="AO48"/>
      <c r="AP48"/>
      <c r="AQ48"/>
      <c r="AR48"/>
      <c r="AS48"/>
      <c r="AT48"/>
      <c r="AU48"/>
      <c r="AV48" s="1" t="s">
        <v>38</v>
      </c>
      <c r="BG48" s="7" t="s">
        <v>1242</v>
      </c>
    </row>
    <row r="49" spans="1:59" s="1" customFormat="1" ht="72" x14ac:dyDescent="0.45">
      <c r="A49" s="5">
        <v>48</v>
      </c>
      <c r="B49" s="6" t="s">
        <v>10746</v>
      </c>
      <c r="C49" s="6"/>
      <c r="J49" s="1" t="s">
        <v>7557</v>
      </c>
      <c r="K49" s="2" t="s">
        <v>10064</v>
      </c>
      <c r="P49" s="7" t="s">
        <v>1241</v>
      </c>
      <c r="Q49"/>
      <c r="R49"/>
      <c r="S49"/>
      <c r="T49"/>
      <c r="U49"/>
      <c r="V49"/>
      <c r="W49"/>
      <c r="X49"/>
      <c r="Y49"/>
      <c r="Z49"/>
      <c r="AA49"/>
      <c r="AB49"/>
      <c r="AC49"/>
      <c r="AD49"/>
      <c r="AE49"/>
      <c r="AF49"/>
      <c r="AG49"/>
      <c r="AH49"/>
      <c r="AI49"/>
      <c r="AJ49"/>
      <c r="AK49"/>
      <c r="AL49"/>
      <c r="AM49"/>
      <c r="AN49"/>
      <c r="AO49"/>
      <c r="AP49"/>
      <c r="AQ49"/>
      <c r="AR49"/>
      <c r="AS49"/>
      <c r="AT49"/>
      <c r="AU49"/>
      <c r="AV49" s="1" t="s">
        <v>38</v>
      </c>
      <c r="BG49" s="7" t="s">
        <v>1242</v>
      </c>
    </row>
    <row r="50" spans="1:59" s="1" customFormat="1" ht="90" x14ac:dyDescent="0.45">
      <c r="A50" s="5">
        <v>49</v>
      </c>
      <c r="B50" s="2" t="s">
        <v>10747</v>
      </c>
      <c r="C50" s="2"/>
      <c r="J50" s="1" t="s">
        <v>7557</v>
      </c>
      <c r="K50" s="2" t="s">
        <v>10065</v>
      </c>
      <c r="P50" s="7" t="s">
        <v>1241</v>
      </c>
      <c r="Q50"/>
      <c r="R50"/>
      <c r="S50"/>
      <c r="T50"/>
      <c r="U50"/>
      <c r="V50"/>
      <c r="W50"/>
      <c r="X50"/>
      <c r="Y50"/>
      <c r="Z50"/>
      <c r="AA50"/>
      <c r="AB50"/>
      <c r="AC50"/>
      <c r="AD50"/>
      <c r="AE50"/>
      <c r="AF50"/>
      <c r="AG50"/>
      <c r="AH50"/>
      <c r="AI50"/>
      <c r="AJ50"/>
      <c r="AK50"/>
      <c r="AL50"/>
      <c r="AM50"/>
      <c r="AN50"/>
      <c r="AO50"/>
      <c r="AP50"/>
      <c r="AQ50"/>
      <c r="AR50"/>
      <c r="AS50"/>
      <c r="AT50"/>
      <c r="AU50"/>
      <c r="AV50" s="1" t="s">
        <v>38</v>
      </c>
      <c r="BG50" s="7" t="s">
        <v>1242</v>
      </c>
    </row>
    <row r="51" spans="1:59" s="1" customFormat="1" ht="126" x14ac:dyDescent="0.45">
      <c r="A51" s="5">
        <v>50</v>
      </c>
      <c r="B51" s="2" t="s">
        <v>10748</v>
      </c>
      <c r="C51" s="2"/>
      <c r="J51" s="1" t="s">
        <v>7557</v>
      </c>
      <c r="K51" s="2" t="s">
        <v>10066</v>
      </c>
      <c r="P51" s="7" t="s">
        <v>1241</v>
      </c>
      <c r="Q51"/>
      <c r="R51"/>
      <c r="S51"/>
      <c r="T51"/>
      <c r="U51"/>
      <c r="V51"/>
      <c r="W51"/>
      <c r="X51"/>
      <c r="Y51"/>
      <c r="Z51"/>
      <c r="AA51"/>
      <c r="AB51"/>
      <c r="AC51"/>
      <c r="AD51"/>
      <c r="AE51"/>
      <c r="AF51"/>
      <c r="AG51"/>
      <c r="AH51"/>
      <c r="AI51"/>
      <c r="AJ51"/>
      <c r="AK51"/>
      <c r="AL51"/>
      <c r="AM51"/>
      <c r="AN51"/>
      <c r="AO51"/>
      <c r="AP51"/>
      <c r="AQ51"/>
      <c r="AR51"/>
      <c r="AS51"/>
      <c r="AT51"/>
      <c r="AU51"/>
      <c r="AV51" s="1" t="s">
        <v>38</v>
      </c>
      <c r="BG51" s="7" t="s">
        <v>1242</v>
      </c>
    </row>
    <row r="52" spans="1:59" s="1" customFormat="1" ht="72" x14ac:dyDescent="0.45">
      <c r="A52" s="5">
        <v>51</v>
      </c>
      <c r="B52" s="2" t="s">
        <v>10749</v>
      </c>
      <c r="C52" s="2"/>
      <c r="J52" s="1" t="s">
        <v>7557</v>
      </c>
      <c r="K52" s="2" t="s">
        <v>10067</v>
      </c>
      <c r="P52" s="7" t="s">
        <v>1241</v>
      </c>
      <c r="Q52"/>
      <c r="R52"/>
      <c r="S52"/>
      <c r="T52"/>
      <c r="U52"/>
      <c r="V52"/>
      <c r="W52"/>
      <c r="X52"/>
      <c r="Y52"/>
      <c r="Z52"/>
      <c r="AA52"/>
      <c r="AB52"/>
      <c r="AC52"/>
      <c r="AD52"/>
      <c r="AE52"/>
      <c r="AF52"/>
      <c r="AG52"/>
      <c r="AH52"/>
      <c r="AI52"/>
      <c r="AJ52"/>
      <c r="AK52"/>
      <c r="AL52"/>
      <c r="AM52"/>
      <c r="AN52"/>
      <c r="AO52"/>
      <c r="AP52"/>
      <c r="AQ52"/>
      <c r="AR52"/>
      <c r="AS52"/>
      <c r="AT52"/>
      <c r="AU52"/>
      <c r="AV52" s="1" t="s">
        <v>38</v>
      </c>
      <c r="BG52" s="7" t="s">
        <v>1242</v>
      </c>
    </row>
    <row r="53" spans="1:59" s="1" customFormat="1" ht="90" x14ac:dyDescent="0.45">
      <c r="A53" s="5">
        <v>52</v>
      </c>
      <c r="B53" s="2" t="s">
        <v>10750</v>
      </c>
      <c r="C53" s="2"/>
      <c r="J53" s="1" t="s">
        <v>7557</v>
      </c>
      <c r="K53" s="2" t="s">
        <v>10068</v>
      </c>
      <c r="P53" s="7" t="s">
        <v>1241</v>
      </c>
      <c r="Q53"/>
      <c r="R53"/>
      <c r="S53"/>
      <c r="T53"/>
      <c r="U53"/>
      <c r="V53"/>
      <c r="W53"/>
      <c r="X53"/>
      <c r="Y53"/>
      <c r="Z53"/>
      <c r="AA53"/>
      <c r="AB53"/>
      <c r="AC53"/>
      <c r="AD53"/>
      <c r="AE53"/>
      <c r="AF53"/>
      <c r="AG53"/>
      <c r="AH53"/>
      <c r="AI53"/>
      <c r="AJ53"/>
      <c r="AK53"/>
      <c r="AL53"/>
      <c r="AM53"/>
      <c r="AN53"/>
      <c r="AO53"/>
      <c r="AP53"/>
      <c r="AQ53"/>
      <c r="AR53"/>
      <c r="AS53"/>
      <c r="AT53"/>
      <c r="AU53"/>
      <c r="AV53" s="1" t="s">
        <v>38</v>
      </c>
      <c r="BG53" s="7" t="s">
        <v>1242</v>
      </c>
    </row>
    <row r="54" spans="1:59" s="1" customFormat="1" ht="90" x14ac:dyDescent="0.45">
      <c r="A54" s="5">
        <v>53</v>
      </c>
      <c r="B54" s="2" t="s">
        <v>10751</v>
      </c>
      <c r="C54" s="2"/>
      <c r="J54" s="1" t="s">
        <v>7557</v>
      </c>
      <c r="K54" s="2" t="s">
        <v>10069</v>
      </c>
      <c r="P54" s="7" t="s">
        <v>1241</v>
      </c>
      <c r="Q54"/>
      <c r="R54"/>
      <c r="S54"/>
      <c r="T54"/>
      <c r="U54"/>
      <c r="V54"/>
      <c r="W54"/>
      <c r="X54"/>
      <c r="Y54"/>
      <c r="Z54"/>
      <c r="AA54"/>
      <c r="AB54"/>
      <c r="AC54"/>
      <c r="AD54"/>
      <c r="AE54"/>
      <c r="AF54"/>
      <c r="AG54"/>
      <c r="AH54"/>
      <c r="AI54"/>
      <c r="AJ54"/>
      <c r="AK54"/>
      <c r="AL54"/>
      <c r="AM54"/>
      <c r="AN54"/>
      <c r="AO54"/>
      <c r="AP54"/>
      <c r="AQ54"/>
      <c r="AR54"/>
      <c r="AS54"/>
      <c r="AT54"/>
      <c r="AU54"/>
      <c r="AV54" s="1" t="s">
        <v>38</v>
      </c>
      <c r="BG54" s="7" t="s">
        <v>1242</v>
      </c>
    </row>
    <row r="55" spans="1:59" s="1" customFormat="1" ht="54" x14ac:dyDescent="0.45">
      <c r="A55" s="5">
        <v>54</v>
      </c>
      <c r="B55" s="2" t="s">
        <v>10752</v>
      </c>
      <c r="C55" s="2"/>
      <c r="J55" s="1" t="s">
        <v>7557</v>
      </c>
      <c r="K55" s="2" t="s">
        <v>10070</v>
      </c>
      <c r="P55" s="7" t="s">
        <v>1241</v>
      </c>
      <c r="Q55"/>
      <c r="R55"/>
      <c r="S55"/>
      <c r="T55"/>
      <c r="U55"/>
      <c r="V55"/>
      <c r="W55"/>
      <c r="X55"/>
      <c r="Y55"/>
      <c r="Z55"/>
      <c r="AA55"/>
      <c r="AB55"/>
      <c r="AC55"/>
      <c r="AD55"/>
      <c r="AE55"/>
      <c r="AF55"/>
      <c r="AG55"/>
      <c r="AH55"/>
      <c r="AI55"/>
      <c r="AJ55"/>
      <c r="AK55"/>
      <c r="AL55"/>
      <c r="AM55"/>
      <c r="AN55"/>
      <c r="AO55"/>
      <c r="AP55"/>
      <c r="AQ55"/>
      <c r="AR55"/>
      <c r="AS55"/>
      <c r="AT55"/>
      <c r="AU55"/>
      <c r="AV55" s="1" t="s">
        <v>38</v>
      </c>
      <c r="BG55" s="7" t="s">
        <v>1242</v>
      </c>
    </row>
    <row r="56" spans="1:59" s="1" customFormat="1" ht="126" x14ac:dyDescent="0.45">
      <c r="A56" s="5">
        <v>55</v>
      </c>
      <c r="B56" s="2" t="s">
        <v>10753</v>
      </c>
      <c r="C56" s="2"/>
      <c r="J56" s="1" t="s">
        <v>7557</v>
      </c>
      <c r="K56" s="2" t="s">
        <v>10071</v>
      </c>
      <c r="P56" s="7" t="s">
        <v>1241</v>
      </c>
      <c r="Q56"/>
      <c r="R56"/>
      <c r="S56"/>
      <c r="T56"/>
      <c r="U56"/>
      <c r="V56"/>
      <c r="W56"/>
      <c r="X56"/>
      <c r="Y56"/>
      <c r="Z56"/>
      <c r="AA56"/>
      <c r="AB56"/>
      <c r="AC56"/>
      <c r="AD56"/>
      <c r="AE56"/>
      <c r="AF56"/>
      <c r="AG56"/>
      <c r="AH56"/>
      <c r="AI56"/>
      <c r="AJ56"/>
      <c r="AK56"/>
      <c r="AL56"/>
      <c r="AM56"/>
      <c r="AN56"/>
      <c r="AO56"/>
      <c r="AP56"/>
      <c r="AQ56"/>
      <c r="AR56"/>
      <c r="AS56"/>
      <c r="AT56"/>
      <c r="AU56"/>
      <c r="AV56" s="1" t="s">
        <v>38</v>
      </c>
      <c r="BG56" s="7" t="s">
        <v>1242</v>
      </c>
    </row>
    <row r="57" spans="1:59" s="1" customFormat="1" ht="126" x14ac:dyDescent="0.45">
      <c r="A57" s="5">
        <v>56</v>
      </c>
      <c r="B57" s="2" t="s">
        <v>10754</v>
      </c>
      <c r="C57" s="2"/>
      <c r="J57" s="1" t="s">
        <v>7557</v>
      </c>
      <c r="K57" s="2" t="s">
        <v>10072</v>
      </c>
      <c r="P57" s="7" t="s">
        <v>1241</v>
      </c>
      <c r="Q57"/>
      <c r="R57"/>
      <c r="S57"/>
      <c r="T57"/>
      <c r="U57"/>
      <c r="V57"/>
      <c r="W57"/>
      <c r="X57"/>
      <c r="Y57"/>
      <c r="Z57"/>
      <c r="AA57"/>
      <c r="AB57"/>
      <c r="AC57"/>
      <c r="AD57"/>
      <c r="AE57"/>
      <c r="AF57"/>
      <c r="AG57"/>
      <c r="AH57"/>
      <c r="AI57"/>
      <c r="AJ57"/>
      <c r="AK57"/>
      <c r="AL57"/>
      <c r="AM57"/>
      <c r="AN57"/>
      <c r="AO57"/>
      <c r="AP57"/>
      <c r="AQ57"/>
      <c r="AR57"/>
      <c r="AS57"/>
      <c r="AT57"/>
      <c r="AU57"/>
      <c r="AV57" s="1" t="s">
        <v>38</v>
      </c>
      <c r="BG57" s="7" t="s">
        <v>1242</v>
      </c>
    </row>
    <row r="58" spans="1:59" s="1" customFormat="1" ht="72" x14ac:dyDescent="0.45">
      <c r="A58" s="5">
        <v>57</v>
      </c>
      <c r="B58" s="2" t="s">
        <v>10755</v>
      </c>
      <c r="C58" s="2"/>
      <c r="J58" s="1" t="s">
        <v>7557</v>
      </c>
      <c r="K58" s="2" t="s">
        <v>10073</v>
      </c>
      <c r="P58" s="7" t="s">
        <v>1241</v>
      </c>
      <c r="Q58"/>
      <c r="R58"/>
      <c r="S58"/>
      <c r="T58"/>
      <c r="U58"/>
      <c r="V58"/>
      <c r="W58"/>
      <c r="X58"/>
      <c r="Y58"/>
      <c r="Z58"/>
      <c r="AA58"/>
      <c r="AB58"/>
      <c r="AC58"/>
      <c r="AD58"/>
      <c r="AE58"/>
      <c r="AF58"/>
      <c r="AG58"/>
      <c r="AH58"/>
      <c r="AI58"/>
      <c r="AJ58"/>
      <c r="AK58"/>
      <c r="AL58"/>
      <c r="AM58"/>
      <c r="AN58"/>
      <c r="AO58"/>
      <c r="AP58"/>
      <c r="AQ58"/>
      <c r="AR58"/>
      <c r="AS58"/>
      <c r="AT58"/>
      <c r="AU58"/>
      <c r="AV58" s="1" t="s">
        <v>38</v>
      </c>
      <c r="BG58" s="7" t="s">
        <v>1242</v>
      </c>
    </row>
    <row r="59" spans="1:59" s="1" customFormat="1" ht="72" x14ac:dyDescent="0.45">
      <c r="A59" s="5">
        <v>58</v>
      </c>
      <c r="B59" s="2" t="s">
        <v>10756</v>
      </c>
      <c r="C59" s="2"/>
      <c r="J59" s="1" t="s">
        <v>7557</v>
      </c>
      <c r="K59" s="11" t="s">
        <v>11741</v>
      </c>
      <c r="P59" s="7" t="s">
        <v>1241</v>
      </c>
      <c r="Q59"/>
      <c r="R59"/>
      <c r="S59"/>
      <c r="T59"/>
      <c r="U59"/>
      <c r="V59"/>
      <c r="W59"/>
      <c r="X59"/>
      <c r="Y59"/>
      <c r="Z59"/>
      <c r="AA59"/>
      <c r="AB59"/>
      <c r="AC59"/>
      <c r="AD59"/>
      <c r="AE59"/>
      <c r="AF59"/>
      <c r="AG59"/>
      <c r="AH59"/>
      <c r="AI59"/>
      <c r="AJ59"/>
      <c r="AK59"/>
      <c r="AL59"/>
      <c r="AM59"/>
      <c r="AN59"/>
      <c r="AO59"/>
      <c r="AP59"/>
      <c r="AQ59"/>
      <c r="AR59"/>
      <c r="AS59"/>
      <c r="AT59"/>
      <c r="AU59"/>
      <c r="AV59" s="1" t="s">
        <v>38</v>
      </c>
      <c r="BG59" s="7" t="s">
        <v>1242</v>
      </c>
    </row>
    <row r="60" spans="1:59" s="1" customFormat="1" ht="54" x14ac:dyDescent="0.45">
      <c r="A60" s="5">
        <v>59</v>
      </c>
      <c r="B60" s="2" t="s">
        <v>10757</v>
      </c>
      <c r="C60" s="2"/>
      <c r="J60" s="1" t="s">
        <v>7557</v>
      </c>
      <c r="K60" s="2" t="s">
        <v>10074</v>
      </c>
      <c r="P60" s="7" t="s">
        <v>1241</v>
      </c>
      <c r="Q60"/>
      <c r="R60"/>
      <c r="S60"/>
      <c r="T60"/>
      <c r="U60"/>
      <c r="V60"/>
      <c r="W60"/>
      <c r="X60"/>
      <c r="Y60"/>
      <c r="Z60"/>
      <c r="AA60"/>
      <c r="AB60"/>
      <c r="AC60"/>
      <c r="AD60"/>
      <c r="AE60"/>
      <c r="AF60"/>
      <c r="AG60"/>
      <c r="AH60"/>
      <c r="AI60"/>
      <c r="AJ60"/>
      <c r="AK60"/>
      <c r="AL60"/>
      <c r="AM60"/>
      <c r="AN60"/>
      <c r="AO60"/>
      <c r="AP60"/>
      <c r="AQ60"/>
      <c r="AR60"/>
      <c r="AS60"/>
      <c r="AT60"/>
      <c r="AU60"/>
      <c r="AV60" s="1" t="s">
        <v>38</v>
      </c>
      <c r="BG60" s="7" t="s">
        <v>1242</v>
      </c>
    </row>
    <row r="61" spans="1:59" s="1" customFormat="1" ht="180" x14ac:dyDescent="0.45">
      <c r="A61" s="5">
        <v>60</v>
      </c>
      <c r="B61" s="2" t="s">
        <v>10758</v>
      </c>
      <c r="C61" s="2"/>
      <c r="J61" s="1" t="s">
        <v>7557</v>
      </c>
      <c r="K61" s="11" t="s">
        <v>11742</v>
      </c>
      <c r="P61" s="7" t="s">
        <v>1241</v>
      </c>
      <c r="Q61"/>
      <c r="R61"/>
      <c r="S61"/>
      <c r="T61"/>
      <c r="U61"/>
      <c r="V61"/>
      <c r="W61"/>
      <c r="X61"/>
      <c r="Y61"/>
      <c r="Z61"/>
      <c r="AA61"/>
      <c r="AB61"/>
      <c r="AC61"/>
      <c r="AD61"/>
      <c r="AE61"/>
      <c r="AF61"/>
      <c r="AG61"/>
      <c r="AH61"/>
      <c r="AI61"/>
      <c r="AJ61"/>
      <c r="AK61"/>
      <c r="AL61"/>
      <c r="AM61"/>
      <c r="AN61"/>
      <c r="AO61"/>
      <c r="AP61"/>
      <c r="AQ61"/>
      <c r="AR61"/>
      <c r="AS61"/>
      <c r="AT61"/>
      <c r="AU61"/>
      <c r="AV61" s="1" t="s">
        <v>38</v>
      </c>
      <c r="BG61" s="7" t="s">
        <v>1242</v>
      </c>
    </row>
    <row r="62" spans="1:59" s="1" customFormat="1" ht="216" x14ac:dyDescent="0.45">
      <c r="A62" s="5">
        <v>61</v>
      </c>
      <c r="B62" s="2" t="s">
        <v>10759</v>
      </c>
      <c r="C62" s="2"/>
      <c r="J62" s="1" t="s">
        <v>7557</v>
      </c>
      <c r="K62" s="2" t="s">
        <v>10100</v>
      </c>
      <c r="P62" s="7" t="s">
        <v>1241</v>
      </c>
      <c r="Q62"/>
      <c r="R62"/>
      <c r="S62"/>
      <c r="T62"/>
      <c r="U62"/>
      <c r="V62"/>
      <c r="W62"/>
      <c r="X62"/>
      <c r="Y62"/>
      <c r="Z62"/>
      <c r="AA62"/>
      <c r="AB62"/>
      <c r="AC62"/>
      <c r="AD62"/>
      <c r="AE62"/>
      <c r="AF62"/>
      <c r="AG62"/>
      <c r="AH62"/>
      <c r="AI62"/>
      <c r="AJ62"/>
      <c r="AK62"/>
      <c r="AL62"/>
      <c r="AM62"/>
      <c r="AN62"/>
      <c r="AO62"/>
      <c r="AP62"/>
      <c r="AQ62"/>
      <c r="AR62"/>
      <c r="AS62"/>
      <c r="AT62"/>
      <c r="AU62"/>
      <c r="AV62" s="1" t="s">
        <v>38</v>
      </c>
      <c r="BG62" s="7" t="s">
        <v>1242</v>
      </c>
    </row>
    <row r="63" spans="1:59" s="1" customFormat="1" ht="72" x14ac:dyDescent="0.45">
      <c r="A63" s="5">
        <v>62</v>
      </c>
      <c r="B63" s="2" t="s">
        <v>10760</v>
      </c>
      <c r="C63" s="2"/>
      <c r="J63" s="1" t="s">
        <v>7557</v>
      </c>
      <c r="K63" s="2" t="s">
        <v>10075</v>
      </c>
      <c r="P63" s="7" t="s">
        <v>1241</v>
      </c>
      <c r="Q63"/>
      <c r="R63"/>
      <c r="S63"/>
      <c r="T63"/>
      <c r="U63"/>
      <c r="V63"/>
      <c r="W63"/>
      <c r="X63"/>
      <c r="Y63"/>
      <c r="Z63"/>
      <c r="AA63"/>
      <c r="AB63"/>
      <c r="AC63"/>
      <c r="AD63"/>
      <c r="AE63"/>
      <c r="AF63"/>
      <c r="AG63"/>
      <c r="AH63"/>
      <c r="AI63"/>
      <c r="AJ63"/>
      <c r="AK63"/>
      <c r="AL63"/>
      <c r="AM63"/>
      <c r="AN63"/>
      <c r="AO63"/>
      <c r="AP63"/>
      <c r="AQ63"/>
      <c r="AR63"/>
      <c r="AS63"/>
      <c r="AT63"/>
      <c r="AU63"/>
      <c r="AV63" s="1" t="s">
        <v>38</v>
      </c>
      <c r="BG63" s="7" t="s">
        <v>1242</v>
      </c>
    </row>
    <row r="64" spans="1:59" s="1" customFormat="1" ht="54" x14ac:dyDescent="0.45">
      <c r="A64" s="5">
        <v>63</v>
      </c>
      <c r="B64" s="2" t="s">
        <v>10761</v>
      </c>
      <c r="C64" s="2"/>
      <c r="J64" s="1" t="s">
        <v>7557</v>
      </c>
      <c r="K64" s="2" t="s">
        <v>10076</v>
      </c>
      <c r="P64" s="7" t="s">
        <v>1241</v>
      </c>
      <c r="Q64"/>
      <c r="R64"/>
      <c r="S64"/>
      <c r="T64"/>
      <c r="U64"/>
      <c r="V64"/>
      <c r="W64"/>
      <c r="X64"/>
      <c r="Y64"/>
      <c r="Z64"/>
      <c r="AA64"/>
      <c r="AB64"/>
      <c r="AC64"/>
      <c r="AD64"/>
      <c r="AE64"/>
      <c r="AF64"/>
      <c r="AG64"/>
      <c r="AH64"/>
      <c r="AI64"/>
      <c r="AJ64"/>
      <c r="AK64"/>
      <c r="AL64"/>
      <c r="AM64"/>
      <c r="AN64"/>
      <c r="AO64"/>
      <c r="AP64"/>
      <c r="AQ64"/>
      <c r="AR64"/>
      <c r="AS64"/>
      <c r="AT64"/>
      <c r="AU64"/>
      <c r="AV64" s="1" t="s">
        <v>38</v>
      </c>
      <c r="BG64" s="7" t="s">
        <v>1242</v>
      </c>
    </row>
    <row r="65" spans="1:59" s="1" customFormat="1" ht="126" x14ac:dyDescent="0.45">
      <c r="A65" s="5">
        <v>64</v>
      </c>
      <c r="B65" s="6" t="s">
        <v>10762</v>
      </c>
      <c r="C65" s="6"/>
      <c r="J65" s="1" t="s">
        <v>7557</v>
      </c>
      <c r="K65" s="2" t="s">
        <v>10077</v>
      </c>
      <c r="P65" s="7" t="s">
        <v>1241</v>
      </c>
      <c r="Q65"/>
      <c r="R65"/>
      <c r="S65"/>
      <c r="T65"/>
      <c r="U65"/>
      <c r="V65"/>
      <c r="W65"/>
      <c r="X65"/>
      <c r="Y65"/>
      <c r="Z65"/>
      <c r="AA65"/>
      <c r="AB65"/>
      <c r="AC65"/>
      <c r="AD65"/>
      <c r="AE65"/>
      <c r="AF65"/>
      <c r="AG65"/>
      <c r="AH65"/>
      <c r="AI65"/>
      <c r="AJ65"/>
      <c r="AK65"/>
      <c r="AL65"/>
      <c r="AM65"/>
      <c r="AN65"/>
      <c r="AO65"/>
      <c r="AP65"/>
      <c r="AQ65"/>
      <c r="AR65"/>
      <c r="AS65"/>
      <c r="AT65"/>
      <c r="AU65"/>
      <c r="AV65" s="1" t="s">
        <v>38</v>
      </c>
      <c r="BG65" s="7" t="s">
        <v>1242</v>
      </c>
    </row>
    <row r="66" spans="1:59" s="1" customFormat="1" ht="54" x14ac:dyDescent="0.45">
      <c r="A66" s="5">
        <v>65</v>
      </c>
      <c r="B66" s="2" t="s">
        <v>10763</v>
      </c>
      <c r="C66" s="2"/>
      <c r="J66" s="1" t="s">
        <v>7557</v>
      </c>
      <c r="K66" s="2" t="s">
        <v>10078</v>
      </c>
      <c r="P66" s="7" t="s">
        <v>1241</v>
      </c>
      <c r="Q66"/>
      <c r="R66"/>
      <c r="S66"/>
      <c r="T66"/>
      <c r="U66"/>
      <c r="V66"/>
      <c r="W66"/>
      <c r="X66"/>
      <c r="Y66"/>
      <c r="Z66"/>
      <c r="AA66"/>
      <c r="AB66"/>
      <c r="AC66"/>
      <c r="AD66"/>
      <c r="AE66"/>
      <c r="AF66"/>
      <c r="AG66"/>
      <c r="AH66"/>
      <c r="AI66"/>
      <c r="AJ66"/>
      <c r="AK66"/>
      <c r="AL66"/>
      <c r="AM66"/>
      <c r="AN66"/>
      <c r="AO66"/>
      <c r="AP66"/>
      <c r="AQ66"/>
      <c r="AR66"/>
      <c r="AS66"/>
      <c r="AT66"/>
      <c r="AU66"/>
      <c r="AV66" s="1" t="s">
        <v>38</v>
      </c>
      <c r="BG66" s="7" t="s">
        <v>1242</v>
      </c>
    </row>
    <row r="67" spans="1:59" s="1" customFormat="1" ht="126" x14ac:dyDescent="0.45">
      <c r="A67" s="5">
        <v>66</v>
      </c>
      <c r="B67" s="2" t="s">
        <v>10764</v>
      </c>
      <c r="C67" s="2"/>
      <c r="J67" s="1" t="s">
        <v>7557</v>
      </c>
      <c r="K67" s="2" t="s">
        <v>10079</v>
      </c>
      <c r="P67" s="7" t="s">
        <v>1241</v>
      </c>
      <c r="Q67"/>
      <c r="R67"/>
      <c r="S67"/>
      <c r="T67"/>
      <c r="U67"/>
      <c r="V67"/>
      <c r="W67"/>
      <c r="X67"/>
      <c r="Y67"/>
      <c r="Z67"/>
      <c r="AA67"/>
      <c r="AB67"/>
      <c r="AC67"/>
      <c r="AD67"/>
      <c r="AE67"/>
      <c r="AF67"/>
      <c r="AG67"/>
      <c r="AH67"/>
      <c r="AI67"/>
      <c r="AJ67"/>
      <c r="AK67"/>
      <c r="AL67"/>
      <c r="AM67"/>
      <c r="AN67"/>
      <c r="AO67"/>
      <c r="AP67"/>
      <c r="AQ67"/>
      <c r="AR67"/>
      <c r="AS67"/>
      <c r="AT67"/>
      <c r="AU67"/>
      <c r="AV67" s="1" t="s">
        <v>38</v>
      </c>
      <c r="BG67" s="7" t="s">
        <v>1242</v>
      </c>
    </row>
    <row r="68" spans="1:59" s="1" customFormat="1" ht="54" x14ac:dyDescent="0.45">
      <c r="A68" s="5">
        <v>67</v>
      </c>
      <c r="B68" s="2" t="s">
        <v>10765</v>
      </c>
      <c r="C68" s="2"/>
      <c r="J68" s="1" t="s">
        <v>7557</v>
      </c>
      <c r="K68" s="2" t="s">
        <v>10080</v>
      </c>
      <c r="P68" s="7" t="s">
        <v>1241</v>
      </c>
      <c r="Q68"/>
      <c r="R68"/>
      <c r="S68"/>
      <c r="T68"/>
      <c r="U68"/>
      <c r="V68"/>
      <c r="W68"/>
      <c r="X68"/>
      <c r="Y68"/>
      <c r="Z68"/>
      <c r="AA68"/>
      <c r="AB68"/>
      <c r="AC68"/>
      <c r="AD68"/>
      <c r="AE68"/>
      <c r="AF68"/>
      <c r="AG68"/>
      <c r="AH68"/>
      <c r="AI68"/>
      <c r="AJ68"/>
      <c r="AK68"/>
      <c r="AL68"/>
      <c r="AM68"/>
      <c r="AN68"/>
      <c r="AO68"/>
      <c r="AP68"/>
      <c r="AQ68"/>
      <c r="AR68"/>
      <c r="AS68"/>
      <c r="AT68"/>
      <c r="AU68"/>
      <c r="AV68" s="1" t="s">
        <v>38</v>
      </c>
      <c r="BG68" s="7" t="s">
        <v>1242</v>
      </c>
    </row>
    <row r="69" spans="1:59" s="1" customFormat="1" ht="72" x14ac:dyDescent="0.45">
      <c r="A69" s="5">
        <v>68</v>
      </c>
      <c r="B69" s="2" t="s">
        <v>10766</v>
      </c>
      <c r="C69" s="2"/>
      <c r="J69" s="1" t="s">
        <v>7557</v>
      </c>
      <c r="K69" s="2" t="s">
        <v>10081</v>
      </c>
      <c r="P69" s="7" t="s">
        <v>1241</v>
      </c>
      <c r="Q69"/>
      <c r="R69"/>
      <c r="S69"/>
      <c r="T69"/>
      <c r="U69"/>
      <c r="V69"/>
      <c r="W69"/>
      <c r="X69"/>
      <c r="Y69"/>
      <c r="Z69"/>
      <c r="AA69"/>
      <c r="AB69"/>
      <c r="AC69"/>
      <c r="AD69"/>
      <c r="AE69"/>
      <c r="AF69"/>
      <c r="AG69"/>
      <c r="AH69"/>
      <c r="AI69"/>
      <c r="AJ69"/>
      <c r="AK69"/>
      <c r="AL69"/>
      <c r="AM69"/>
      <c r="AN69"/>
      <c r="AO69"/>
      <c r="AP69"/>
      <c r="AQ69"/>
      <c r="AR69"/>
      <c r="AS69"/>
      <c r="AT69"/>
      <c r="AU69"/>
      <c r="AV69" s="1" t="s">
        <v>38</v>
      </c>
      <c r="BG69" s="7" t="s">
        <v>1242</v>
      </c>
    </row>
    <row r="70" spans="1:59" s="1" customFormat="1" ht="54" x14ac:dyDescent="0.45">
      <c r="A70" s="5">
        <v>69</v>
      </c>
      <c r="B70" s="2" t="s">
        <v>10767</v>
      </c>
      <c r="C70" s="2"/>
      <c r="J70" s="1" t="s">
        <v>7557</v>
      </c>
      <c r="K70" s="2" t="s">
        <v>10082</v>
      </c>
      <c r="P70" s="7" t="s">
        <v>1241</v>
      </c>
      <c r="Q70"/>
      <c r="R70"/>
      <c r="S70"/>
      <c r="T70"/>
      <c r="U70"/>
      <c r="V70"/>
      <c r="W70"/>
      <c r="X70"/>
      <c r="Y70"/>
      <c r="Z70"/>
      <c r="AA70"/>
      <c r="AB70"/>
      <c r="AC70"/>
      <c r="AD70"/>
      <c r="AE70"/>
      <c r="AF70"/>
      <c r="AG70"/>
      <c r="AH70"/>
      <c r="AI70"/>
      <c r="AJ70"/>
      <c r="AK70"/>
      <c r="AL70"/>
      <c r="AM70"/>
      <c r="AN70"/>
      <c r="AO70"/>
      <c r="AP70"/>
      <c r="AQ70"/>
      <c r="AR70"/>
      <c r="AS70"/>
      <c r="AT70"/>
      <c r="AU70"/>
      <c r="AV70" s="1" t="s">
        <v>38</v>
      </c>
      <c r="BG70" s="7" t="s">
        <v>1242</v>
      </c>
    </row>
    <row r="71" spans="1:59" s="1" customFormat="1" ht="180" x14ac:dyDescent="0.45">
      <c r="A71" s="5">
        <v>70</v>
      </c>
      <c r="B71" s="2" t="s">
        <v>10768</v>
      </c>
      <c r="C71" s="2"/>
      <c r="J71" s="1" t="s">
        <v>7557</v>
      </c>
      <c r="K71" s="2" t="s">
        <v>10083</v>
      </c>
      <c r="P71" s="7" t="s">
        <v>1241</v>
      </c>
      <c r="Q71"/>
      <c r="R71"/>
      <c r="S71"/>
      <c r="T71"/>
      <c r="U71"/>
      <c r="V71"/>
      <c r="W71"/>
      <c r="X71"/>
      <c r="Y71"/>
      <c r="Z71"/>
      <c r="AA71"/>
      <c r="AB71"/>
      <c r="AC71"/>
      <c r="AD71"/>
      <c r="AE71"/>
      <c r="AF71"/>
      <c r="AG71"/>
      <c r="AH71"/>
      <c r="AI71"/>
      <c r="AJ71"/>
      <c r="AK71"/>
      <c r="AL71"/>
      <c r="AM71"/>
      <c r="AN71"/>
      <c r="AO71"/>
      <c r="AP71"/>
      <c r="AQ71"/>
      <c r="AR71"/>
      <c r="AS71"/>
      <c r="AT71"/>
      <c r="AU71"/>
      <c r="AV71" s="1" t="s">
        <v>38</v>
      </c>
      <c r="BG71" s="7" t="s">
        <v>1242</v>
      </c>
    </row>
    <row r="72" spans="1:59" s="1" customFormat="1" ht="54" x14ac:dyDescent="0.45">
      <c r="A72" s="5">
        <v>71</v>
      </c>
      <c r="B72" s="2" t="s">
        <v>10769</v>
      </c>
      <c r="C72" s="2"/>
      <c r="J72" s="1" t="s">
        <v>7557</v>
      </c>
      <c r="K72" s="2" t="s">
        <v>10084</v>
      </c>
      <c r="P72" s="7" t="s">
        <v>1241</v>
      </c>
      <c r="Q72"/>
      <c r="R72"/>
      <c r="S72"/>
      <c r="T72"/>
      <c r="U72"/>
      <c r="V72"/>
      <c r="W72"/>
      <c r="X72"/>
      <c r="Y72"/>
      <c r="Z72"/>
      <c r="AA72"/>
      <c r="AB72"/>
      <c r="AC72"/>
      <c r="AD72"/>
      <c r="AE72"/>
      <c r="AF72"/>
      <c r="AG72"/>
      <c r="AH72"/>
      <c r="AI72"/>
      <c r="AJ72"/>
      <c r="AK72"/>
      <c r="AL72"/>
      <c r="AM72"/>
      <c r="AN72"/>
      <c r="AO72"/>
      <c r="AP72"/>
      <c r="AQ72"/>
      <c r="AR72"/>
      <c r="AS72"/>
      <c r="AT72"/>
      <c r="AU72"/>
      <c r="AV72" s="1" t="s">
        <v>38</v>
      </c>
      <c r="BG72" s="7" t="s">
        <v>1242</v>
      </c>
    </row>
    <row r="73" spans="1:59" s="1" customFormat="1" ht="144" x14ac:dyDescent="0.45">
      <c r="A73" s="5">
        <v>72</v>
      </c>
      <c r="B73" s="2" t="s">
        <v>10770</v>
      </c>
      <c r="C73" s="2"/>
      <c r="J73" s="1" t="s">
        <v>7557</v>
      </c>
      <c r="K73" s="11" t="s">
        <v>11743</v>
      </c>
      <c r="P73" s="7" t="s">
        <v>1241</v>
      </c>
      <c r="Q73"/>
      <c r="R73"/>
      <c r="S73"/>
      <c r="T73"/>
      <c r="U73"/>
      <c r="V73"/>
      <c r="W73"/>
      <c r="X73"/>
      <c r="Y73"/>
      <c r="Z73"/>
      <c r="AA73"/>
      <c r="AB73"/>
      <c r="AC73"/>
      <c r="AD73"/>
      <c r="AE73"/>
      <c r="AF73"/>
      <c r="AG73"/>
      <c r="AH73"/>
      <c r="AI73"/>
      <c r="AJ73"/>
      <c r="AK73"/>
      <c r="AL73"/>
      <c r="AM73"/>
      <c r="AN73"/>
      <c r="AO73"/>
      <c r="AP73"/>
      <c r="AQ73"/>
      <c r="AR73"/>
      <c r="AS73"/>
      <c r="AT73"/>
      <c r="AU73"/>
      <c r="AV73" s="1" t="s">
        <v>38</v>
      </c>
      <c r="BG73" s="7" t="s">
        <v>1242</v>
      </c>
    </row>
    <row r="74" spans="1:59" s="1" customFormat="1" ht="144" x14ac:dyDescent="0.45">
      <c r="A74" s="5">
        <v>73</v>
      </c>
      <c r="B74" s="6" t="s">
        <v>10771</v>
      </c>
      <c r="C74" s="6"/>
      <c r="J74" s="1" t="s">
        <v>7557</v>
      </c>
      <c r="K74" s="11" t="s">
        <v>11744</v>
      </c>
      <c r="P74" s="7" t="s">
        <v>1241</v>
      </c>
      <c r="Q74"/>
      <c r="R74"/>
      <c r="S74"/>
      <c r="T74"/>
      <c r="U74"/>
      <c r="V74"/>
      <c r="W74"/>
      <c r="X74"/>
      <c r="Y74"/>
      <c r="Z74"/>
      <c r="AA74"/>
      <c r="AB74"/>
      <c r="AC74"/>
      <c r="AD74"/>
      <c r="AE74"/>
      <c r="AF74"/>
      <c r="AG74"/>
      <c r="AH74"/>
      <c r="AI74"/>
      <c r="AJ74"/>
      <c r="AK74"/>
      <c r="AL74"/>
      <c r="AM74"/>
      <c r="AN74"/>
      <c r="AO74"/>
      <c r="AP74"/>
      <c r="AQ74"/>
      <c r="AR74"/>
      <c r="AS74"/>
      <c r="AT74"/>
      <c r="AU74"/>
      <c r="AV74" s="1" t="s">
        <v>38</v>
      </c>
      <c r="BG74" s="7" t="s">
        <v>1242</v>
      </c>
    </row>
    <row r="75" spans="1:59" s="1" customFormat="1" ht="144" x14ac:dyDescent="0.45">
      <c r="A75" s="5">
        <v>74</v>
      </c>
      <c r="B75" s="2" t="s">
        <v>10772</v>
      </c>
      <c r="C75" s="2"/>
      <c r="J75" s="1" t="s">
        <v>7557</v>
      </c>
      <c r="K75" s="11" t="s">
        <v>11745</v>
      </c>
      <c r="P75" s="7" t="s">
        <v>1241</v>
      </c>
      <c r="Q75"/>
      <c r="R75"/>
      <c r="S75"/>
      <c r="T75"/>
      <c r="U75"/>
      <c r="V75"/>
      <c r="W75"/>
      <c r="X75"/>
      <c r="Y75"/>
      <c r="Z75"/>
      <c r="AA75"/>
      <c r="AB75"/>
      <c r="AC75"/>
      <c r="AD75"/>
      <c r="AE75"/>
      <c r="AF75"/>
      <c r="AG75"/>
      <c r="AH75"/>
      <c r="AI75"/>
      <c r="AJ75"/>
      <c r="AK75"/>
      <c r="AL75"/>
      <c r="AM75"/>
      <c r="AN75"/>
      <c r="AO75"/>
      <c r="AP75"/>
      <c r="AQ75"/>
      <c r="AR75"/>
      <c r="AS75"/>
      <c r="AT75"/>
      <c r="AU75"/>
      <c r="AV75" s="1" t="s">
        <v>38</v>
      </c>
      <c r="BG75" s="7" t="s">
        <v>1242</v>
      </c>
    </row>
    <row r="76" spans="1:59" s="1" customFormat="1" ht="54" x14ac:dyDescent="0.45">
      <c r="A76" s="5">
        <v>75</v>
      </c>
      <c r="B76" s="2" t="s">
        <v>10773</v>
      </c>
      <c r="C76" s="2"/>
      <c r="J76" s="1" t="s">
        <v>7557</v>
      </c>
      <c r="K76" s="2" t="s">
        <v>10085</v>
      </c>
      <c r="P76" s="7" t="s">
        <v>1241</v>
      </c>
      <c r="Q76"/>
      <c r="R76"/>
      <c r="S76"/>
      <c r="T76"/>
      <c r="U76"/>
      <c r="V76"/>
      <c r="W76"/>
      <c r="X76"/>
      <c r="Y76"/>
      <c r="Z76"/>
      <c r="AA76"/>
      <c r="AB76"/>
      <c r="AC76"/>
      <c r="AD76"/>
      <c r="AE76"/>
      <c r="AF76"/>
      <c r="AG76"/>
      <c r="AH76"/>
      <c r="AI76"/>
      <c r="AJ76"/>
      <c r="AK76"/>
      <c r="AL76"/>
      <c r="AM76"/>
      <c r="AN76"/>
      <c r="AO76"/>
      <c r="AP76"/>
      <c r="AQ76"/>
      <c r="AR76"/>
      <c r="AS76"/>
      <c r="AT76"/>
      <c r="AU76"/>
      <c r="AV76" s="1" t="s">
        <v>38</v>
      </c>
      <c r="BG76" s="7" t="s">
        <v>1242</v>
      </c>
    </row>
    <row r="77" spans="1:59" s="1" customFormat="1" ht="108" x14ac:dyDescent="0.45">
      <c r="A77" s="5">
        <v>76</v>
      </c>
      <c r="B77" s="2" t="s">
        <v>10774</v>
      </c>
      <c r="C77" s="2"/>
      <c r="J77" s="1" t="s">
        <v>7557</v>
      </c>
      <c r="K77" s="2" t="s">
        <v>10086</v>
      </c>
      <c r="P77" s="7" t="s">
        <v>1241</v>
      </c>
      <c r="Q77"/>
      <c r="R77"/>
      <c r="S77"/>
      <c r="T77"/>
      <c r="U77"/>
      <c r="V77"/>
      <c r="W77"/>
      <c r="X77"/>
      <c r="Y77"/>
      <c r="Z77"/>
      <c r="AA77"/>
      <c r="AB77"/>
      <c r="AC77"/>
      <c r="AD77"/>
      <c r="AE77"/>
      <c r="AF77"/>
      <c r="AG77"/>
      <c r="AH77"/>
      <c r="AI77"/>
      <c r="AJ77"/>
      <c r="AK77"/>
      <c r="AL77"/>
      <c r="AM77"/>
      <c r="AN77"/>
      <c r="AO77"/>
      <c r="AP77"/>
      <c r="AQ77"/>
      <c r="AR77"/>
      <c r="AS77"/>
      <c r="AT77"/>
      <c r="AU77"/>
      <c r="AV77" s="1" t="s">
        <v>38</v>
      </c>
      <c r="BG77" s="7" t="s">
        <v>1242</v>
      </c>
    </row>
    <row r="78" spans="1:59" s="1" customFormat="1" ht="144" x14ac:dyDescent="0.45">
      <c r="A78" s="5">
        <v>77</v>
      </c>
      <c r="B78" s="2" t="s">
        <v>10775</v>
      </c>
      <c r="C78" s="2"/>
      <c r="J78" s="1" t="s">
        <v>7557</v>
      </c>
      <c r="K78" s="11" t="s">
        <v>11746</v>
      </c>
      <c r="P78" s="7" t="s">
        <v>1241</v>
      </c>
      <c r="Q78"/>
      <c r="R78"/>
      <c r="S78"/>
      <c r="T78"/>
      <c r="U78"/>
      <c r="V78"/>
      <c r="W78"/>
      <c r="X78"/>
      <c r="Y78"/>
      <c r="Z78"/>
      <c r="AA78"/>
      <c r="AB78"/>
      <c r="AC78"/>
      <c r="AD78"/>
      <c r="AE78"/>
      <c r="AF78"/>
      <c r="AG78"/>
      <c r="AH78"/>
      <c r="AI78"/>
      <c r="AJ78"/>
      <c r="AK78"/>
      <c r="AL78"/>
      <c r="AM78"/>
      <c r="AN78"/>
      <c r="AO78"/>
      <c r="AP78"/>
      <c r="AQ78"/>
      <c r="AR78"/>
      <c r="AS78"/>
      <c r="AT78"/>
      <c r="AU78"/>
      <c r="AV78" s="1" t="s">
        <v>38</v>
      </c>
      <c r="BG78" s="7" t="s">
        <v>1242</v>
      </c>
    </row>
    <row r="79" spans="1:59" s="1" customFormat="1" ht="54" x14ac:dyDescent="0.45">
      <c r="A79" s="5">
        <v>78</v>
      </c>
      <c r="B79" s="2" t="s">
        <v>10776</v>
      </c>
      <c r="C79" s="2"/>
      <c r="J79" s="1" t="s">
        <v>7557</v>
      </c>
      <c r="K79" s="2" t="s">
        <v>10087</v>
      </c>
      <c r="P79" s="7" t="s">
        <v>1241</v>
      </c>
      <c r="Q79"/>
      <c r="R79"/>
      <c r="S79"/>
      <c r="T79"/>
      <c r="U79"/>
      <c r="V79"/>
      <c r="W79"/>
      <c r="X79"/>
      <c r="Y79"/>
      <c r="Z79"/>
      <c r="AA79"/>
      <c r="AB79"/>
      <c r="AC79"/>
      <c r="AD79"/>
      <c r="AE79"/>
      <c r="AF79"/>
      <c r="AG79"/>
      <c r="AH79"/>
      <c r="AI79"/>
      <c r="AJ79"/>
      <c r="AK79"/>
      <c r="AL79"/>
      <c r="AM79"/>
      <c r="AN79"/>
      <c r="AO79"/>
      <c r="AP79"/>
      <c r="AQ79"/>
      <c r="AR79"/>
      <c r="AS79"/>
      <c r="AT79"/>
      <c r="AU79"/>
      <c r="AV79" s="1" t="s">
        <v>38</v>
      </c>
      <c r="BG79" s="7" t="s">
        <v>1242</v>
      </c>
    </row>
    <row r="80" spans="1:59" s="1" customFormat="1" ht="54" x14ac:dyDescent="0.45">
      <c r="A80" s="5">
        <v>79</v>
      </c>
      <c r="B80" s="2" t="s">
        <v>10777</v>
      </c>
      <c r="C80" s="2"/>
      <c r="J80" s="1" t="s">
        <v>7557</v>
      </c>
      <c r="K80" s="2" t="s">
        <v>10088</v>
      </c>
      <c r="P80" s="7" t="s">
        <v>1241</v>
      </c>
      <c r="Q80"/>
      <c r="R80"/>
      <c r="S80"/>
      <c r="T80"/>
      <c r="U80"/>
      <c r="V80"/>
      <c r="W80"/>
      <c r="X80"/>
      <c r="Y80"/>
      <c r="Z80"/>
      <c r="AA80"/>
      <c r="AB80"/>
      <c r="AC80"/>
      <c r="AD80"/>
      <c r="AE80"/>
      <c r="AF80"/>
      <c r="AG80"/>
      <c r="AH80"/>
      <c r="AI80"/>
      <c r="AJ80"/>
      <c r="AK80"/>
      <c r="AL80"/>
      <c r="AM80"/>
      <c r="AN80"/>
      <c r="AO80"/>
      <c r="AP80"/>
      <c r="AQ80"/>
      <c r="AR80"/>
      <c r="AS80"/>
      <c r="AT80"/>
      <c r="AU80"/>
      <c r="AV80" s="1" t="s">
        <v>38</v>
      </c>
      <c r="BG80" s="7" t="s">
        <v>1242</v>
      </c>
    </row>
    <row r="81" spans="1:59" s="1" customFormat="1" ht="54" x14ac:dyDescent="0.45">
      <c r="A81" s="5">
        <v>80</v>
      </c>
      <c r="B81" s="6" t="s">
        <v>10778</v>
      </c>
      <c r="C81" s="6"/>
      <c r="J81" s="1" t="s">
        <v>7557</v>
      </c>
      <c r="K81" s="2" t="s">
        <v>10089</v>
      </c>
      <c r="P81" s="7" t="s">
        <v>1241</v>
      </c>
      <c r="Q81"/>
      <c r="R81"/>
      <c r="S81"/>
      <c r="T81"/>
      <c r="U81"/>
      <c r="V81"/>
      <c r="W81"/>
      <c r="X81"/>
      <c r="Y81"/>
      <c r="Z81"/>
      <c r="AA81"/>
      <c r="AB81"/>
      <c r="AC81"/>
      <c r="AD81"/>
      <c r="AE81"/>
      <c r="AF81"/>
      <c r="AG81"/>
      <c r="AH81"/>
      <c r="AI81"/>
      <c r="AJ81"/>
      <c r="AK81"/>
      <c r="AL81"/>
      <c r="AM81"/>
      <c r="AN81"/>
      <c r="AO81"/>
      <c r="AP81"/>
      <c r="AQ81"/>
      <c r="AR81"/>
      <c r="AS81"/>
      <c r="AT81"/>
      <c r="AU81"/>
      <c r="AV81" s="1" t="s">
        <v>38</v>
      </c>
      <c r="BG81" s="7" t="s">
        <v>1242</v>
      </c>
    </row>
    <row r="82" spans="1:59" s="1" customFormat="1" ht="126" x14ac:dyDescent="0.45">
      <c r="A82" s="5">
        <v>81</v>
      </c>
      <c r="B82" s="2" t="s">
        <v>10779</v>
      </c>
      <c r="C82" s="2"/>
      <c r="J82" s="1" t="s">
        <v>7557</v>
      </c>
      <c r="K82" s="2" t="s">
        <v>10090</v>
      </c>
      <c r="P82" s="7" t="s">
        <v>1241</v>
      </c>
      <c r="Q82"/>
      <c r="R82"/>
      <c r="S82"/>
      <c r="T82"/>
      <c r="U82"/>
      <c r="V82"/>
      <c r="W82"/>
      <c r="X82"/>
      <c r="Y82"/>
      <c r="Z82"/>
      <c r="AA82"/>
      <c r="AB82"/>
      <c r="AC82"/>
      <c r="AD82"/>
      <c r="AE82"/>
      <c r="AF82"/>
      <c r="AG82"/>
      <c r="AH82"/>
      <c r="AI82"/>
      <c r="AJ82"/>
      <c r="AK82"/>
      <c r="AL82"/>
      <c r="AM82"/>
      <c r="AN82"/>
      <c r="AO82"/>
      <c r="AP82"/>
      <c r="AQ82"/>
      <c r="AR82"/>
      <c r="AS82"/>
      <c r="AT82"/>
      <c r="AU82"/>
      <c r="AV82" s="1" t="s">
        <v>38</v>
      </c>
      <c r="BG82" s="7" t="s">
        <v>1242</v>
      </c>
    </row>
    <row r="83" spans="1:59" s="1" customFormat="1" ht="72" x14ac:dyDescent="0.45">
      <c r="A83" s="5">
        <v>82</v>
      </c>
      <c r="B83" s="6" t="s">
        <v>10780</v>
      </c>
      <c r="C83" s="6"/>
      <c r="J83" s="1" t="s">
        <v>7557</v>
      </c>
      <c r="K83" s="2" t="s">
        <v>10091</v>
      </c>
      <c r="P83" s="7" t="s">
        <v>1241</v>
      </c>
      <c r="Q83"/>
      <c r="R83"/>
      <c r="S83"/>
      <c r="T83"/>
      <c r="U83"/>
      <c r="V83"/>
      <c r="W83"/>
      <c r="X83"/>
      <c r="Y83"/>
      <c r="Z83"/>
      <c r="AA83"/>
      <c r="AB83"/>
      <c r="AC83"/>
      <c r="AD83"/>
      <c r="AE83"/>
      <c r="AF83"/>
      <c r="AG83"/>
      <c r="AH83"/>
      <c r="AI83"/>
      <c r="AJ83"/>
      <c r="AK83"/>
      <c r="AL83"/>
      <c r="AM83"/>
      <c r="AN83"/>
      <c r="AO83"/>
      <c r="AP83"/>
      <c r="AQ83"/>
      <c r="AR83"/>
      <c r="AS83"/>
      <c r="AT83"/>
      <c r="AU83"/>
      <c r="AV83" s="1" t="s">
        <v>38</v>
      </c>
      <c r="BG83" s="7" t="s">
        <v>1242</v>
      </c>
    </row>
    <row r="84" spans="1:59" s="1" customFormat="1" ht="54" x14ac:dyDescent="0.45">
      <c r="A84" s="5">
        <v>83</v>
      </c>
      <c r="B84" s="6" t="s">
        <v>10781</v>
      </c>
      <c r="C84" s="6"/>
      <c r="J84" s="1" t="s">
        <v>7557</v>
      </c>
      <c r="K84" s="2" t="s">
        <v>10092</v>
      </c>
      <c r="P84" s="7" t="s">
        <v>1241</v>
      </c>
      <c r="Q84"/>
      <c r="R84"/>
      <c r="S84"/>
      <c r="T84"/>
      <c r="U84"/>
      <c r="V84"/>
      <c r="W84"/>
      <c r="X84"/>
      <c r="Y84"/>
      <c r="Z84"/>
      <c r="AA84"/>
      <c r="AB84"/>
      <c r="AC84"/>
      <c r="AD84"/>
      <c r="AE84"/>
      <c r="AF84"/>
      <c r="AG84"/>
      <c r="AH84"/>
      <c r="AI84"/>
      <c r="AJ84"/>
      <c r="AK84"/>
      <c r="AL84"/>
      <c r="AM84"/>
      <c r="AN84"/>
      <c r="AO84"/>
      <c r="AP84"/>
      <c r="AQ84"/>
      <c r="AR84"/>
      <c r="AS84"/>
      <c r="AT84"/>
      <c r="AU84"/>
      <c r="AV84" s="1" t="s">
        <v>38</v>
      </c>
      <c r="BG84" s="7" t="s">
        <v>1242</v>
      </c>
    </row>
    <row r="85" spans="1:59" s="1" customFormat="1" ht="90" x14ac:dyDescent="0.45">
      <c r="A85" s="5">
        <v>84</v>
      </c>
      <c r="B85" s="1" t="s">
        <v>10782</v>
      </c>
      <c r="C85" s="6"/>
      <c r="J85" s="1" t="s">
        <v>7557</v>
      </c>
      <c r="K85" s="2" t="s">
        <v>10093</v>
      </c>
      <c r="P85" s="7" t="s">
        <v>1241</v>
      </c>
      <c r="Q85"/>
      <c r="R85"/>
      <c r="S85"/>
      <c r="T85"/>
      <c r="U85"/>
      <c r="V85"/>
      <c r="W85"/>
      <c r="X85"/>
      <c r="Y85"/>
      <c r="Z85"/>
      <c r="AA85"/>
      <c r="AB85"/>
      <c r="AC85"/>
      <c r="AD85"/>
      <c r="AE85"/>
      <c r="AF85"/>
      <c r="AG85"/>
      <c r="AH85"/>
      <c r="AI85"/>
      <c r="AJ85"/>
      <c r="AK85"/>
      <c r="AL85"/>
      <c r="AM85"/>
      <c r="AN85"/>
      <c r="AO85"/>
      <c r="AP85"/>
      <c r="AQ85"/>
      <c r="AR85"/>
      <c r="AS85"/>
      <c r="AT85"/>
      <c r="AU85"/>
      <c r="AV85" s="1" t="s">
        <v>38</v>
      </c>
      <c r="BG85" s="7" t="s">
        <v>1242</v>
      </c>
    </row>
    <row r="86" spans="1:59" s="1" customFormat="1" ht="54" x14ac:dyDescent="0.45">
      <c r="A86" s="5">
        <v>85</v>
      </c>
      <c r="B86" s="1" t="s">
        <v>10783</v>
      </c>
      <c r="C86" s="6"/>
      <c r="J86" s="1" t="s">
        <v>7557</v>
      </c>
      <c r="K86" s="2" t="s">
        <v>10281</v>
      </c>
      <c r="P86" s="7" t="s">
        <v>1241</v>
      </c>
      <c r="Q86"/>
      <c r="R86"/>
      <c r="S86"/>
      <c r="T86"/>
      <c r="U86"/>
      <c r="V86"/>
      <c r="W86"/>
      <c r="X86"/>
      <c r="Y86"/>
      <c r="Z86"/>
      <c r="AA86"/>
      <c r="AB86"/>
      <c r="AC86"/>
      <c r="AD86"/>
      <c r="AE86"/>
      <c r="AF86"/>
      <c r="AG86"/>
      <c r="AH86"/>
      <c r="AI86"/>
      <c r="AJ86"/>
      <c r="AK86"/>
      <c r="AL86"/>
      <c r="AM86"/>
      <c r="AN86"/>
      <c r="AO86"/>
      <c r="AP86"/>
      <c r="AQ86"/>
      <c r="AR86"/>
      <c r="AS86"/>
      <c r="AT86"/>
      <c r="AU86"/>
      <c r="AV86" s="1" t="s">
        <v>38</v>
      </c>
      <c r="BG86" s="7" t="s">
        <v>1242</v>
      </c>
    </row>
    <row r="87" spans="1:59" s="1" customFormat="1" ht="54" x14ac:dyDescent="0.45">
      <c r="A87" s="5">
        <v>86</v>
      </c>
      <c r="B87" s="1" t="s">
        <v>10784</v>
      </c>
      <c r="C87" s="6"/>
      <c r="J87" s="1" t="s">
        <v>7557</v>
      </c>
      <c r="K87" s="2" t="s">
        <v>10095</v>
      </c>
      <c r="P87" s="7" t="s">
        <v>1241</v>
      </c>
      <c r="Q87"/>
      <c r="R87"/>
      <c r="S87"/>
      <c r="T87"/>
      <c r="U87"/>
      <c r="V87"/>
      <c r="W87"/>
      <c r="X87"/>
      <c r="Y87"/>
      <c r="Z87"/>
      <c r="AA87"/>
      <c r="AB87"/>
      <c r="AC87"/>
      <c r="AD87"/>
      <c r="AE87"/>
      <c r="AF87"/>
      <c r="AG87"/>
      <c r="AH87"/>
      <c r="AI87"/>
      <c r="AJ87"/>
      <c r="AK87"/>
      <c r="AL87"/>
      <c r="AM87"/>
      <c r="AN87"/>
      <c r="AO87"/>
      <c r="AP87"/>
      <c r="AQ87"/>
      <c r="AR87"/>
      <c r="AS87"/>
      <c r="AT87"/>
      <c r="AU87"/>
      <c r="AV87" s="1" t="s">
        <v>38</v>
      </c>
      <c r="BG87" s="7" t="s">
        <v>1242</v>
      </c>
    </row>
    <row r="88" spans="1:59" s="1" customFormat="1" ht="54" x14ac:dyDescent="0.45">
      <c r="A88" s="5">
        <v>87</v>
      </c>
      <c r="B88" s="1" t="s">
        <v>10785</v>
      </c>
      <c r="C88" s="6"/>
      <c r="J88" s="1" t="s">
        <v>7557</v>
      </c>
      <c r="K88" s="2" t="s">
        <v>10094</v>
      </c>
      <c r="P88" s="7" t="s">
        <v>1241</v>
      </c>
      <c r="Q88"/>
      <c r="R88"/>
      <c r="S88"/>
      <c r="T88"/>
      <c r="U88"/>
      <c r="V88"/>
      <c r="W88"/>
      <c r="X88"/>
      <c r="Y88"/>
      <c r="Z88"/>
      <c r="AA88"/>
      <c r="AB88"/>
      <c r="AC88"/>
      <c r="AD88"/>
      <c r="AE88"/>
      <c r="AF88"/>
      <c r="AG88"/>
      <c r="AH88"/>
      <c r="AI88"/>
      <c r="AJ88"/>
      <c r="AK88"/>
      <c r="AL88"/>
      <c r="AM88"/>
      <c r="AN88"/>
      <c r="AO88"/>
      <c r="AP88"/>
      <c r="AQ88"/>
      <c r="AR88"/>
      <c r="AS88"/>
      <c r="AT88"/>
      <c r="AU88"/>
      <c r="AV88" s="1" t="s">
        <v>38</v>
      </c>
      <c r="BG88" s="7" t="s">
        <v>1242</v>
      </c>
    </row>
    <row r="89" spans="1:59" s="1" customFormat="1" ht="90" x14ac:dyDescent="0.45">
      <c r="A89" s="5">
        <v>88</v>
      </c>
      <c r="B89" s="1" t="s">
        <v>10786</v>
      </c>
      <c r="C89" s="6"/>
      <c r="J89" s="1" t="s">
        <v>7557</v>
      </c>
      <c r="K89" s="2" t="s">
        <v>10096</v>
      </c>
      <c r="P89" s="7" t="s">
        <v>1241</v>
      </c>
      <c r="Q89"/>
      <c r="R89"/>
      <c r="S89"/>
      <c r="T89"/>
      <c r="U89"/>
      <c r="V89"/>
      <c r="W89"/>
      <c r="X89"/>
      <c r="Y89"/>
      <c r="Z89"/>
      <c r="AA89"/>
      <c r="AB89"/>
      <c r="AC89"/>
      <c r="AD89"/>
      <c r="AE89"/>
      <c r="AF89"/>
      <c r="AG89"/>
      <c r="AH89"/>
      <c r="AI89"/>
      <c r="AJ89"/>
      <c r="AK89"/>
      <c r="AL89"/>
      <c r="AM89"/>
      <c r="AN89"/>
      <c r="AO89"/>
      <c r="AP89"/>
      <c r="AQ89"/>
      <c r="AR89"/>
      <c r="AS89"/>
      <c r="AT89"/>
      <c r="AU89"/>
      <c r="AV89" s="1" t="s">
        <v>38</v>
      </c>
      <c r="BG89" s="7" t="s">
        <v>1242</v>
      </c>
    </row>
    <row r="90" spans="1:59" s="1" customFormat="1" ht="198" x14ac:dyDescent="0.45">
      <c r="A90" s="5">
        <v>89</v>
      </c>
      <c r="B90" s="1" t="s">
        <v>10787</v>
      </c>
      <c r="C90" s="6"/>
      <c r="J90" s="1" t="s">
        <v>7557</v>
      </c>
      <c r="K90" s="2" t="s">
        <v>10097</v>
      </c>
      <c r="P90" s="7" t="s">
        <v>1241</v>
      </c>
      <c r="Q90"/>
      <c r="R90"/>
      <c r="S90"/>
      <c r="T90"/>
      <c r="U90"/>
      <c r="V90"/>
      <c r="W90"/>
      <c r="X90"/>
      <c r="Y90"/>
      <c r="Z90"/>
      <c r="AA90"/>
      <c r="AB90"/>
      <c r="AC90"/>
      <c r="AD90"/>
      <c r="AE90"/>
      <c r="AF90"/>
      <c r="AG90"/>
      <c r="AH90"/>
      <c r="AI90"/>
      <c r="AJ90"/>
      <c r="AK90"/>
      <c r="AL90"/>
      <c r="AM90"/>
      <c r="AN90"/>
      <c r="AO90"/>
      <c r="AP90"/>
      <c r="AQ90"/>
      <c r="AR90"/>
      <c r="AS90"/>
      <c r="AT90"/>
      <c r="AU90"/>
      <c r="AV90" s="1" t="s">
        <v>38</v>
      </c>
      <c r="BG90" s="7" t="s">
        <v>1242</v>
      </c>
    </row>
    <row r="91" spans="1:59" s="1" customFormat="1" ht="144" x14ac:dyDescent="0.45">
      <c r="A91" s="5">
        <v>90</v>
      </c>
      <c r="B91" s="1" t="s">
        <v>10788</v>
      </c>
      <c r="C91" s="6"/>
      <c r="J91" s="1" t="s">
        <v>7557</v>
      </c>
      <c r="K91" s="2" t="s">
        <v>10308</v>
      </c>
      <c r="P91" s="7" t="s">
        <v>1241</v>
      </c>
      <c r="Q91"/>
      <c r="R91"/>
      <c r="S91"/>
      <c r="T91"/>
      <c r="U91"/>
      <c r="V91"/>
      <c r="W91"/>
      <c r="X91"/>
      <c r="Y91"/>
      <c r="Z91"/>
      <c r="AA91"/>
      <c r="AB91"/>
      <c r="AC91"/>
      <c r="AD91"/>
      <c r="AE91"/>
      <c r="AF91"/>
      <c r="AG91"/>
      <c r="AH91"/>
      <c r="AI91"/>
      <c r="AJ91"/>
      <c r="AK91"/>
      <c r="AL91"/>
      <c r="AM91"/>
      <c r="AN91"/>
      <c r="AO91"/>
      <c r="AP91"/>
      <c r="AQ91"/>
      <c r="AR91"/>
      <c r="AS91"/>
      <c r="AT91"/>
      <c r="AU91"/>
      <c r="AV91" s="1" t="s">
        <v>38</v>
      </c>
      <c r="BG91" s="7" t="s">
        <v>1242</v>
      </c>
    </row>
    <row r="92" spans="1:59" s="1" customFormat="1" ht="72" x14ac:dyDescent="0.45">
      <c r="A92" s="5">
        <v>91</v>
      </c>
      <c r="B92" s="1" t="s">
        <v>10789</v>
      </c>
      <c r="C92" s="6"/>
      <c r="J92" s="1" t="s">
        <v>7557</v>
      </c>
      <c r="K92" s="2" t="s">
        <v>10101</v>
      </c>
      <c r="P92" s="7" t="s">
        <v>1241</v>
      </c>
      <c r="Q92"/>
      <c r="R92"/>
      <c r="S92"/>
      <c r="T92"/>
      <c r="U92"/>
      <c r="V92"/>
      <c r="W92"/>
      <c r="X92"/>
      <c r="Y92"/>
      <c r="Z92"/>
      <c r="AA92"/>
      <c r="AB92"/>
      <c r="AC92"/>
      <c r="AD92"/>
      <c r="AE92"/>
      <c r="AF92"/>
      <c r="AG92"/>
      <c r="AH92"/>
      <c r="AI92"/>
      <c r="AJ92"/>
      <c r="AK92"/>
      <c r="AL92"/>
      <c r="AM92"/>
      <c r="AN92"/>
      <c r="AO92"/>
      <c r="AP92"/>
      <c r="AQ92"/>
      <c r="AR92"/>
      <c r="AS92"/>
      <c r="AT92"/>
      <c r="AU92"/>
      <c r="AV92" s="1" t="s">
        <v>38</v>
      </c>
      <c r="BG92" s="7" t="s">
        <v>1242</v>
      </c>
    </row>
    <row r="93" spans="1:59" s="1" customFormat="1" ht="54" x14ac:dyDescent="0.45">
      <c r="A93" s="5">
        <v>92</v>
      </c>
      <c r="B93" s="1" t="s">
        <v>10790</v>
      </c>
      <c r="C93" s="6"/>
      <c r="J93" s="1" t="s">
        <v>7557</v>
      </c>
      <c r="K93" s="2" t="s">
        <v>10102</v>
      </c>
      <c r="P93" s="7" t="s">
        <v>1241</v>
      </c>
      <c r="Q93"/>
      <c r="R93"/>
      <c r="S93"/>
      <c r="T93"/>
      <c r="U93"/>
      <c r="V93"/>
      <c r="W93"/>
      <c r="X93"/>
      <c r="Y93"/>
      <c r="Z93"/>
      <c r="AA93"/>
      <c r="AB93"/>
      <c r="AC93"/>
      <c r="AD93"/>
      <c r="AE93"/>
      <c r="AF93"/>
      <c r="AG93"/>
      <c r="AH93"/>
      <c r="AI93"/>
      <c r="AJ93"/>
      <c r="AK93"/>
      <c r="AL93"/>
      <c r="AM93"/>
      <c r="AN93"/>
      <c r="AO93"/>
      <c r="AP93"/>
      <c r="AQ93"/>
      <c r="AR93"/>
      <c r="AS93"/>
      <c r="AT93"/>
      <c r="AU93"/>
      <c r="AV93" s="1" t="s">
        <v>38</v>
      </c>
      <c r="BG93" s="7" t="s">
        <v>1242</v>
      </c>
    </row>
    <row r="94" spans="1:59" s="1" customFormat="1" ht="180" x14ac:dyDescent="0.45">
      <c r="A94" s="5">
        <v>93</v>
      </c>
      <c r="B94" s="1" t="s">
        <v>10791</v>
      </c>
      <c r="C94" s="6"/>
      <c r="J94" s="1" t="s">
        <v>7557</v>
      </c>
      <c r="K94" s="2" t="s">
        <v>10261</v>
      </c>
      <c r="P94" s="7" t="s">
        <v>1241</v>
      </c>
      <c r="Q94"/>
      <c r="R94"/>
      <c r="S94"/>
      <c r="T94"/>
      <c r="U94"/>
      <c r="V94"/>
      <c r="W94"/>
      <c r="X94"/>
      <c r="Y94"/>
      <c r="Z94"/>
      <c r="AA94"/>
      <c r="AB94"/>
      <c r="AC94"/>
      <c r="AD94"/>
      <c r="AE94"/>
      <c r="AF94"/>
      <c r="AG94"/>
      <c r="AH94"/>
      <c r="AI94"/>
      <c r="AJ94"/>
      <c r="AK94"/>
      <c r="AL94"/>
      <c r="AM94"/>
      <c r="AN94"/>
      <c r="AO94"/>
      <c r="AP94"/>
      <c r="AQ94"/>
      <c r="AR94"/>
      <c r="AS94"/>
      <c r="AT94"/>
      <c r="AU94"/>
      <c r="AV94" s="1" t="s">
        <v>38</v>
      </c>
      <c r="BG94" s="7" t="s">
        <v>1242</v>
      </c>
    </row>
    <row r="95" spans="1:59" s="1" customFormat="1" ht="54" x14ac:dyDescent="0.45">
      <c r="A95" s="5">
        <v>94</v>
      </c>
      <c r="B95" s="1" t="s">
        <v>10792</v>
      </c>
      <c r="C95" s="6"/>
      <c r="J95" s="1" t="s">
        <v>7557</v>
      </c>
      <c r="K95" s="2" t="s">
        <v>10103</v>
      </c>
      <c r="P95" s="7" t="s">
        <v>1241</v>
      </c>
      <c r="Q95"/>
      <c r="R95"/>
      <c r="S95"/>
      <c r="T95"/>
      <c r="U95"/>
      <c r="V95"/>
      <c r="W95"/>
      <c r="X95"/>
      <c r="Y95"/>
      <c r="Z95"/>
      <c r="AA95"/>
      <c r="AB95"/>
      <c r="AC95"/>
      <c r="AD95"/>
      <c r="AE95"/>
      <c r="AF95"/>
      <c r="AG95"/>
      <c r="AH95"/>
      <c r="AI95"/>
      <c r="AJ95"/>
      <c r="AK95"/>
      <c r="AL95"/>
      <c r="AM95"/>
      <c r="AN95"/>
      <c r="AO95"/>
      <c r="AP95"/>
      <c r="AQ95"/>
      <c r="AR95"/>
      <c r="AS95"/>
      <c r="AT95"/>
      <c r="AU95"/>
      <c r="AV95" s="1" t="s">
        <v>38</v>
      </c>
      <c r="BG95" s="7" t="s">
        <v>1242</v>
      </c>
    </row>
    <row r="96" spans="1:59" s="1" customFormat="1" ht="54" x14ac:dyDescent="0.45">
      <c r="A96" s="5">
        <v>95</v>
      </c>
      <c r="B96" s="1" t="s">
        <v>10793</v>
      </c>
      <c r="C96" s="6"/>
      <c r="J96" s="1" t="s">
        <v>7557</v>
      </c>
      <c r="K96" s="2" t="s">
        <v>10104</v>
      </c>
      <c r="P96" s="7" t="s">
        <v>1241</v>
      </c>
      <c r="Q96"/>
      <c r="R96"/>
      <c r="S96"/>
      <c r="T96"/>
      <c r="U96"/>
      <c r="V96"/>
      <c r="W96"/>
      <c r="X96"/>
      <c r="Y96"/>
      <c r="Z96"/>
      <c r="AA96"/>
      <c r="AB96"/>
      <c r="AC96"/>
      <c r="AD96"/>
      <c r="AE96"/>
      <c r="AF96"/>
      <c r="AG96"/>
      <c r="AH96"/>
      <c r="AI96"/>
      <c r="AJ96"/>
      <c r="AK96"/>
      <c r="AL96"/>
      <c r="AM96"/>
      <c r="AN96"/>
      <c r="AO96"/>
      <c r="AP96"/>
      <c r="AQ96"/>
      <c r="AR96"/>
      <c r="AS96"/>
      <c r="AT96"/>
      <c r="AU96"/>
      <c r="AV96" s="1" t="s">
        <v>38</v>
      </c>
      <c r="BG96" s="7" t="s">
        <v>1242</v>
      </c>
    </row>
    <row r="97" spans="1:59" s="1" customFormat="1" ht="54" x14ac:dyDescent="0.45">
      <c r="A97" s="5">
        <v>96</v>
      </c>
      <c r="B97" s="1" t="s">
        <v>10794</v>
      </c>
      <c r="C97" s="6"/>
      <c r="J97" s="1" t="s">
        <v>7557</v>
      </c>
      <c r="K97" s="2" t="s">
        <v>10105</v>
      </c>
      <c r="P97" s="7" t="s">
        <v>1241</v>
      </c>
      <c r="Q97"/>
      <c r="R97"/>
      <c r="S97"/>
      <c r="T97"/>
      <c r="U97"/>
      <c r="V97"/>
      <c r="W97"/>
      <c r="X97"/>
      <c r="Y97"/>
      <c r="Z97"/>
      <c r="AA97"/>
      <c r="AB97"/>
      <c r="AC97"/>
      <c r="AD97"/>
      <c r="AE97"/>
      <c r="AF97"/>
      <c r="AG97"/>
      <c r="AH97"/>
      <c r="AI97"/>
      <c r="AJ97"/>
      <c r="AK97"/>
      <c r="AL97"/>
      <c r="AM97"/>
      <c r="AN97"/>
      <c r="AO97"/>
      <c r="AP97"/>
      <c r="AQ97"/>
      <c r="AR97"/>
      <c r="AS97"/>
      <c r="AT97"/>
      <c r="AU97"/>
      <c r="AV97" s="1" t="s">
        <v>38</v>
      </c>
      <c r="BG97" s="7" t="s">
        <v>1242</v>
      </c>
    </row>
    <row r="98" spans="1:59" s="1" customFormat="1" ht="54" x14ac:dyDescent="0.45">
      <c r="A98" s="5">
        <v>97</v>
      </c>
      <c r="B98" s="1" t="s">
        <v>10795</v>
      </c>
      <c r="C98" s="6"/>
      <c r="J98" s="1" t="s">
        <v>7557</v>
      </c>
      <c r="K98" s="2" t="s">
        <v>10106</v>
      </c>
      <c r="P98" s="7" t="s">
        <v>1241</v>
      </c>
      <c r="Q98"/>
      <c r="R98"/>
      <c r="S98"/>
      <c r="T98"/>
      <c r="U98"/>
      <c r="V98"/>
      <c r="W98"/>
      <c r="X98"/>
      <c r="Y98"/>
      <c r="Z98"/>
      <c r="AA98"/>
      <c r="AB98"/>
      <c r="AC98"/>
      <c r="AD98"/>
      <c r="AE98"/>
      <c r="AF98"/>
      <c r="AG98"/>
      <c r="AH98"/>
      <c r="AI98"/>
      <c r="AJ98"/>
      <c r="AK98"/>
      <c r="AL98"/>
      <c r="AM98"/>
      <c r="AN98"/>
      <c r="AO98"/>
      <c r="AP98"/>
      <c r="AQ98"/>
      <c r="AR98"/>
      <c r="AS98"/>
      <c r="AT98"/>
      <c r="AU98"/>
      <c r="AV98" s="1" t="s">
        <v>38</v>
      </c>
      <c r="BG98" s="7" t="s">
        <v>1242</v>
      </c>
    </row>
    <row r="99" spans="1:59" s="1" customFormat="1" ht="54" x14ac:dyDescent="0.45">
      <c r="A99" s="5">
        <v>98</v>
      </c>
      <c r="B99" s="1" t="s">
        <v>10796</v>
      </c>
      <c r="C99" s="6"/>
      <c r="J99" s="1" t="s">
        <v>7557</v>
      </c>
      <c r="K99" s="2" t="s">
        <v>10107</v>
      </c>
      <c r="P99" s="7" t="s">
        <v>1241</v>
      </c>
      <c r="Q99"/>
      <c r="R99"/>
      <c r="S99"/>
      <c r="T99"/>
      <c r="U99"/>
      <c r="V99"/>
      <c r="W99"/>
      <c r="X99"/>
      <c r="Y99"/>
      <c r="Z99"/>
      <c r="AA99"/>
      <c r="AB99"/>
      <c r="AC99"/>
      <c r="AD99"/>
      <c r="AE99"/>
      <c r="AF99"/>
      <c r="AG99"/>
      <c r="AH99"/>
      <c r="AI99"/>
      <c r="AJ99"/>
      <c r="AK99"/>
      <c r="AL99"/>
      <c r="AM99"/>
      <c r="AN99"/>
      <c r="AO99"/>
      <c r="AP99"/>
      <c r="AQ99"/>
      <c r="AR99"/>
      <c r="AS99"/>
      <c r="AT99"/>
      <c r="AU99"/>
      <c r="AV99" s="1" t="s">
        <v>38</v>
      </c>
      <c r="BG99" s="7" t="s">
        <v>1242</v>
      </c>
    </row>
    <row r="100" spans="1:59" s="1" customFormat="1" ht="54" x14ac:dyDescent="0.45">
      <c r="A100" s="5">
        <v>99</v>
      </c>
      <c r="B100" s="1" t="s">
        <v>10797</v>
      </c>
      <c r="C100" s="6"/>
      <c r="J100" s="1" t="s">
        <v>7557</v>
      </c>
      <c r="K100" s="2" t="s">
        <v>10108</v>
      </c>
      <c r="P100" s="7" t="s">
        <v>1241</v>
      </c>
      <c r="Q100"/>
      <c r="R100"/>
      <c r="S100"/>
      <c r="T100"/>
      <c r="U100"/>
      <c r="V100"/>
      <c r="W100"/>
      <c r="X100"/>
      <c r="Y100"/>
      <c r="Z100"/>
      <c r="AA100"/>
      <c r="AB100"/>
      <c r="AC100"/>
      <c r="AD100"/>
      <c r="AE100"/>
      <c r="AF100"/>
      <c r="AG100"/>
      <c r="AH100"/>
      <c r="AI100"/>
      <c r="AJ100"/>
      <c r="AK100"/>
      <c r="AL100"/>
      <c r="AM100"/>
      <c r="AN100"/>
      <c r="AO100"/>
      <c r="AP100"/>
      <c r="AQ100"/>
      <c r="AR100"/>
      <c r="AS100"/>
      <c r="AT100"/>
      <c r="AU100"/>
      <c r="AV100" s="1" t="s">
        <v>38</v>
      </c>
      <c r="BG100" s="7" t="s">
        <v>1242</v>
      </c>
    </row>
    <row r="101" spans="1:59" s="1" customFormat="1" ht="126" x14ac:dyDescent="0.45">
      <c r="A101" s="5">
        <v>100</v>
      </c>
      <c r="B101" s="1" t="s">
        <v>10798</v>
      </c>
      <c r="C101" s="6"/>
      <c r="J101" s="1" t="s">
        <v>7557</v>
      </c>
      <c r="K101" s="2" t="s">
        <v>10282</v>
      </c>
      <c r="P101" s="7" t="s">
        <v>1241</v>
      </c>
      <c r="Q101"/>
      <c r="R101"/>
      <c r="S101"/>
      <c r="T101"/>
      <c r="U101"/>
      <c r="V101"/>
      <c r="W101"/>
      <c r="X101"/>
      <c r="Y101"/>
      <c r="Z101"/>
      <c r="AA101"/>
      <c r="AB101"/>
      <c r="AC101"/>
      <c r="AD101"/>
      <c r="AE101"/>
      <c r="AF101"/>
      <c r="AG101"/>
      <c r="AH101"/>
      <c r="AI101"/>
      <c r="AJ101"/>
      <c r="AK101"/>
      <c r="AL101"/>
      <c r="AM101"/>
      <c r="AN101"/>
      <c r="AO101"/>
      <c r="AP101"/>
      <c r="AQ101"/>
      <c r="AR101"/>
      <c r="AS101"/>
      <c r="AT101"/>
      <c r="AU101"/>
      <c r="AV101" s="1" t="s">
        <v>38</v>
      </c>
      <c r="BG101" s="7" t="s">
        <v>1242</v>
      </c>
    </row>
    <row r="102" spans="1:59" s="1" customFormat="1" ht="54" x14ac:dyDescent="0.45">
      <c r="A102" s="5">
        <v>101</v>
      </c>
      <c r="B102" s="1" t="s">
        <v>10799</v>
      </c>
      <c r="C102" s="6"/>
      <c r="J102" s="1" t="s">
        <v>7557</v>
      </c>
      <c r="K102" s="2" t="s">
        <v>10283</v>
      </c>
      <c r="P102" s="7" t="s">
        <v>1241</v>
      </c>
      <c r="Q102"/>
      <c r="R102"/>
      <c r="S102"/>
      <c r="T102"/>
      <c r="U102"/>
      <c r="V102"/>
      <c r="W102"/>
      <c r="X102"/>
      <c r="Y102"/>
      <c r="Z102"/>
      <c r="AA102"/>
      <c r="AB102"/>
      <c r="AC102"/>
      <c r="AD102"/>
      <c r="AE102"/>
      <c r="AF102"/>
      <c r="AG102"/>
      <c r="AH102"/>
      <c r="AI102"/>
      <c r="AJ102"/>
      <c r="AK102"/>
      <c r="AL102"/>
      <c r="AM102"/>
      <c r="AN102"/>
      <c r="AO102"/>
      <c r="AP102"/>
      <c r="AQ102"/>
      <c r="AR102"/>
      <c r="AS102"/>
      <c r="AT102"/>
      <c r="AU102"/>
      <c r="AV102" s="1" t="s">
        <v>38</v>
      </c>
      <c r="BG102" s="7" t="s">
        <v>1242</v>
      </c>
    </row>
    <row r="103" spans="1:59" s="1" customFormat="1" ht="108" x14ac:dyDescent="0.45">
      <c r="A103" s="5">
        <v>102</v>
      </c>
      <c r="B103" s="1" t="s">
        <v>10800</v>
      </c>
      <c r="C103" s="6"/>
      <c r="J103" s="1" t="s">
        <v>7557</v>
      </c>
      <c r="K103" s="2" t="s">
        <v>10109</v>
      </c>
      <c r="P103" s="7" t="s">
        <v>1241</v>
      </c>
      <c r="Q103"/>
      <c r="R103"/>
      <c r="S103"/>
      <c r="T103"/>
      <c r="U103"/>
      <c r="V103"/>
      <c r="W103"/>
      <c r="X103"/>
      <c r="Y103"/>
      <c r="Z103"/>
      <c r="AA103"/>
      <c r="AB103"/>
      <c r="AC103"/>
      <c r="AD103"/>
      <c r="AE103"/>
      <c r="AF103"/>
      <c r="AG103"/>
      <c r="AH103"/>
      <c r="AI103"/>
      <c r="AJ103"/>
      <c r="AK103"/>
      <c r="AL103"/>
      <c r="AM103"/>
      <c r="AN103"/>
      <c r="AO103"/>
      <c r="AP103"/>
      <c r="AQ103"/>
      <c r="AR103"/>
      <c r="AS103"/>
      <c r="AT103"/>
      <c r="AU103"/>
      <c r="AV103" s="1" t="s">
        <v>38</v>
      </c>
      <c r="BG103" s="7" t="s">
        <v>1242</v>
      </c>
    </row>
    <row r="104" spans="1:59" s="1" customFormat="1" ht="54" x14ac:dyDescent="0.45">
      <c r="A104" s="5">
        <v>103</v>
      </c>
      <c r="B104" s="1" t="s">
        <v>10801</v>
      </c>
      <c r="C104" s="6"/>
      <c r="J104" s="1" t="s">
        <v>7557</v>
      </c>
      <c r="K104" s="2" t="s">
        <v>10802</v>
      </c>
      <c r="P104" s="7" t="s">
        <v>1241</v>
      </c>
      <c r="Q104"/>
      <c r="R104"/>
      <c r="S104"/>
      <c r="T104"/>
      <c r="U104"/>
      <c r="V104"/>
      <c r="W104"/>
      <c r="X104"/>
      <c r="Y104"/>
      <c r="Z104"/>
      <c r="AA104"/>
      <c r="AB104"/>
      <c r="AC104"/>
      <c r="AD104"/>
      <c r="AE104"/>
      <c r="AF104"/>
      <c r="AG104"/>
      <c r="AH104"/>
      <c r="AI104"/>
      <c r="AJ104"/>
      <c r="AK104"/>
      <c r="AL104"/>
      <c r="AM104"/>
      <c r="AN104"/>
      <c r="AO104"/>
      <c r="AP104"/>
      <c r="AQ104"/>
      <c r="AR104"/>
      <c r="AS104"/>
      <c r="AT104"/>
      <c r="AU104"/>
      <c r="AV104" s="1" t="s">
        <v>38</v>
      </c>
      <c r="BG104" s="7" t="s">
        <v>1242</v>
      </c>
    </row>
    <row r="105" spans="1:59" s="1" customFormat="1" ht="90" x14ac:dyDescent="0.45">
      <c r="A105" s="5">
        <v>104</v>
      </c>
      <c r="B105" s="1" t="s">
        <v>10803</v>
      </c>
      <c r="C105" s="6"/>
      <c r="J105" s="1" t="s">
        <v>7557</v>
      </c>
      <c r="K105" s="2" t="s">
        <v>10804</v>
      </c>
      <c r="P105" s="7" t="s">
        <v>1241</v>
      </c>
      <c r="Q105"/>
      <c r="R105"/>
      <c r="S105"/>
      <c r="T105"/>
      <c r="U105"/>
      <c r="V105"/>
      <c r="W105"/>
      <c r="X105"/>
      <c r="Y105"/>
      <c r="Z105"/>
      <c r="AA105"/>
      <c r="AB105"/>
      <c r="AC105"/>
      <c r="AD105"/>
      <c r="AE105"/>
      <c r="AF105"/>
      <c r="AG105"/>
      <c r="AH105"/>
      <c r="AI105"/>
      <c r="AJ105"/>
      <c r="AK105"/>
      <c r="AL105"/>
      <c r="AM105"/>
      <c r="AN105"/>
      <c r="AO105"/>
      <c r="AP105"/>
      <c r="AQ105"/>
      <c r="AR105"/>
      <c r="AS105"/>
      <c r="AT105"/>
      <c r="AU105"/>
      <c r="AV105" s="1" t="s">
        <v>38</v>
      </c>
      <c r="BG105" s="7" t="s">
        <v>1242</v>
      </c>
    </row>
    <row r="106" spans="1:59" s="1" customFormat="1" ht="72" x14ac:dyDescent="0.45">
      <c r="A106" s="5">
        <v>105</v>
      </c>
      <c r="B106" s="1" t="s">
        <v>10805</v>
      </c>
      <c r="C106" s="6"/>
      <c r="J106" s="1" t="s">
        <v>7557</v>
      </c>
      <c r="K106" s="2" t="s">
        <v>10110</v>
      </c>
      <c r="P106" s="7" t="s">
        <v>1241</v>
      </c>
      <c r="Q106"/>
      <c r="R106"/>
      <c r="S106"/>
      <c r="T106"/>
      <c r="U106"/>
      <c r="V106"/>
      <c r="W106"/>
      <c r="X106"/>
      <c r="Y106"/>
      <c r="Z106"/>
      <c r="AA106"/>
      <c r="AB106"/>
      <c r="AC106"/>
      <c r="AD106"/>
      <c r="AE106"/>
      <c r="AF106"/>
      <c r="AG106"/>
      <c r="AH106"/>
      <c r="AI106"/>
      <c r="AJ106"/>
      <c r="AK106"/>
      <c r="AL106"/>
      <c r="AM106"/>
      <c r="AN106"/>
      <c r="AO106"/>
      <c r="AP106"/>
      <c r="AQ106"/>
      <c r="AR106"/>
      <c r="AS106"/>
      <c r="AT106"/>
      <c r="AU106"/>
      <c r="AV106" s="1" t="s">
        <v>38</v>
      </c>
      <c r="BG106" s="7" t="s">
        <v>1242</v>
      </c>
    </row>
    <row r="107" spans="1:59" s="1" customFormat="1" ht="378" x14ac:dyDescent="0.45">
      <c r="A107" s="5">
        <v>106</v>
      </c>
      <c r="B107" s="1" t="s">
        <v>10806</v>
      </c>
      <c r="C107" s="6"/>
      <c r="J107" s="1" t="s">
        <v>7557</v>
      </c>
      <c r="K107" s="2" t="s">
        <v>10514</v>
      </c>
      <c r="P107" s="7" t="s">
        <v>1241</v>
      </c>
      <c r="Q107"/>
      <c r="R107"/>
      <c r="S107"/>
      <c r="T107"/>
      <c r="U107"/>
      <c r="V107"/>
      <c r="W107"/>
      <c r="X107"/>
      <c r="Y107"/>
      <c r="Z107"/>
      <c r="AA107"/>
      <c r="AB107"/>
      <c r="AC107"/>
      <c r="AD107"/>
      <c r="AE107"/>
      <c r="AF107"/>
      <c r="AG107"/>
      <c r="AH107"/>
      <c r="AI107"/>
      <c r="AJ107"/>
      <c r="AK107"/>
      <c r="AL107"/>
      <c r="AM107"/>
      <c r="AN107"/>
      <c r="AO107"/>
      <c r="AP107"/>
      <c r="AQ107"/>
      <c r="AR107"/>
      <c r="AS107"/>
      <c r="AT107"/>
      <c r="AU107"/>
      <c r="AV107" s="1" t="s">
        <v>38</v>
      </c>
      <c r="BG107" s="7" t="s">
        <v>1242</v>
      </c>
    </row>
    <row r="108" spans="1:59" s="1" customFormat="1" ht="342" x14ac:dyDescent="0.45">
      <c r="A108" s="5">
        <v>107</v>
      </c>
      <c r="B108" s="1" t="s">
        <v>10112</v>
      </c>
      <c r="C108" s="6"/>
      <c r="J108" s="1" t="s">
        <v>7557</v>
      </c>
      <c r="K108" s="2" t="s">
        <v>10111</v>
      </c>
      <c r="P108" s="7" t="s">
        <v>1241</v>
      </c>
      <c r="Q108"/>
      <c r="R108"/>
      <c r="S108"/>
      <c r="T108"/>
      <c r="U108"/>
      <c r="V108"/>
      <c r="W108"/>
      <c r="X108"/>
      <c r="Y108"/>
      <c r="Z108"/>
      <c r="AA108"/>
      <c r="AB108"/>
      <c r="AC108"/>
      <c r="AD108"/>
      <c r="AE108"/>
      <c r="AF108"/>
      <c r="AG108"/>
      <c r="AH108"/>
      <c r="AI108"/>
      <c r="AJ108"/>
      <c r="AK108"/>
      <c r="AL108"/>
      <c r="AM108"/>
      <c r="AN108"/>
      <c r="AO108"/>
      <c r="AP108"/>
      <c r="AQ108"/>
      <c r="AR108"/>
      <c r="AS108"/>
      <c r="AT108"/>
      <c r="AU108"/>
      <c r="AV108" s="1" t="s">
        <v>38</v>
      </c>
      <c r="BG108" s="7" t="s">
        <v>1242</v>
      </c>
    </row>
    <row r="109" spans="1:59" s="1" customFormat="1" ht="72" x14ac:dyDescent="0.45">
      <c r="A109" s="5">
        <v>108</v>
      </c>
      <c r="B109" s="1" t="s">
        <v>10114</v>
      </c>
      <c r="C109" s="6"/>
      <c r="J109" s="1" t="s">
        <v>7557</v>
      </c>
      <c r="K109" s="2" t="s">
        <v>10113</v>
      </c>
      <c r="P109" s="7" t="s">
        <v>1241</v>
      </c>
      <c r="Q109"/>
      <c r="R109"/>
      <c r="S109"/>
      <c r="T109"/>
      <c r="U109"/>
      <c r="V109"/>
      <c r="W109"/>
      <c r="X109"/>
      <c r="Y109"/>
      <c r="Z109"/>
      <c r="AA109"/>
      <c r="AB109"/>
      <c r="AC109"/>
      <c r="AD109"/>
      <c r="AE109"/>
      <c r="AF109"/>
      <c r="AG109"/>
      <c r="AH109"/>
      <c r="AI109"/>
      <c r="AJ109"/>
      <c r="AK109"/>
      <c r="AL109"/>
      <c r="AM109"/>
      <c r="AN109"/>
      <c r="AO109"/>
      <c r="AP109"/>
      <c r="AQ109"/>
      <c r="AR109"/>
      <c r="AS109"/>
      <c r="AT109"/>
      <c r="AU109"/>
      <c r="AV109" s="1" t="s">
        <v>38</v>
      </c>
      <c r="BG109" s="7" t="s">
        <v>1242</v>
      </c>
    </row>
    <row r="110" spans="1:59" s="1" customFormat="1" ht="270" x14ac:dyDescent="0.45">
      <c r="A110" s="5">
        <v>109</v>
      </c>
      <c r="B110" s="1" t="s">
        <v>10115</v>
      </c>
      <c r="C110" s="6"/>
      <c r="J110" s="1" t="s">
        <v>7557</v>
      </c>
      <c r="K110" s="11" t="s">
        <v>11747</v>
      </c>
      <c r="P110" s="7" t="s">
        <v>1241</v>
      </c>
      <c r="Q110"/>
      <c r="R110"/>
      <c r="S110"/>
      <c r="T110"/>
      <c r="U110"/>
      <c r="V110"/>
      <c r="W110"/>
      <c r="X110"/>
      <c r="Y110"/>
      <c r="Z110"/>
      <c r="AA110"/>
      <c r="AB110"/>
      <c r="AC110"/>
      <c r="AD110"/>
      <c r="AE110"/>
      <c r="AF110"/>
      <c r="AG110"/>
      <c r="AH110"/>
      <c r="AI110"/>
      <c r="AJ110"/>
      <c r="AK110"/>
      <c r="AL110"/>
      <c r="AM110"/>
      <c r="AN110"/>
      <c r="AO110"/>
      <c r="AP110"/>
      <c r="AQ110"/>
      <c r="AR110"/>
      <c r="AS110"/>
      <c r="AT110"/>
      <c r="AU110"/>
      <c r="AV110" s="1" t="s">
        <v>38</v>
      </c>
      <c r="BG110" s="7" t="s">
        <v>1242</v>
      </c>
    </row>
    <row r="111" spans="1:59" s="1" customFormat="1" ht="54" x14ac:dyDescent="0.45">
      <c r="A111" s="5">
        <v>110</v>
      </c>
      <c r="B111" s="1" t="s">
        <v>10117</v>
      </c>
      <c r="C111" s="6"/>
      <c r="J111" s="1" t="s">
        <v>7557</v>
      </c>
      <c r="K111" s="2" t="s">
        <v>10116</v>
      </c>
      <c r="P111" s="7" t="s">
        <v>1241</v>
      </c>
      <c r="Q111"/>
      <c r="R111"/>
      <c r="S111"/>
      <c r="T111"/>
      <c r="U111"/>
      <c r="V111"/>
      <c r="W111"/>
      <c r="X111"/>
      <c r="Y111"/>
      <c r="Z111"/>
      <c r="AA111"/>
      <c r="AB111"/>
      <c r="AC111"/>
      <c r="AD111"/>
      <c r="AE111"/>
      <c r="AF111"/>
      <c r="AG111"/>
      <c r="AH111"/>
      <c r="AI111"/>
      <c r="AJ111"/>
      <c r="AK111"/>
      <c r="AL111"/>
      <c r="AM111"/>
      <c r="AN111"/>
      <c r="AO111"/>
      <c r="AP111"/>
      <c r="AQ111"/>
      <c r="AR111"/>
      <c r="AS111"/>
      <c r="AT111"/>
      <c r="AU111"/>
      <c r="AV111" s="1" t="s">
        <v>38</v>
      </c>
      <c r="BG111" s="7" t="s">
        <v>1242</v>
      </c>
    </row>
    <row r="112" spans="1:59" s="1" customFormat="1" ht="108" x14ac:dyDescent="0.45">
      <c r="A112" s="5">
        <v>111</v>
      </c>
      <c r="B112" s="1" t="s">
        <v>10118</v>
      </c>
      <c r="C112" s="6"/>
      <c r="J112" s="1" t="s">
        <v>7557</v>
      </c>
      <c r="K112" s="11" t="s">
        <v>11748</v>
      </c>
      <c r="P112" s="7" t="s">
        <v>1241</v>
      </c>
      <c r="Q112"/>
      <c r="R112"/>
      <c r="S112"/>
      <c r="T112"/>
      <c r="U112"/>
      <c r="V112"/>
      <c r="W112"/>
      <c r="X112"/>
      <c r="Y112"/>
      <c r="Z112"/>
      <c r="AA112"/>
      <c r="AB112"/>
      <c r="AC112"/>
      <c r="AD112"/>
      <c r="AE112"/>
      <c r="AF112"/>
      <c r="AG112"/>
      <c r="AH112"/>
      <c r="AI112"/>
      <c r="AJ112"/>
      <c r="AK112"/>
      <c r="AL112"/>
      <c r="AM112"/>
      <c r="AN112"/>
      <c r="AO112"/>
      <c r="AP112"/>
      <c r="AQ112"/>
      <c r="AR112"/>
      <c r="AS112"/>
      <c r="AT112"/>
      <c r="AU112"/>
      <c r="AV112" s="1" t="s">
        <v>38</v>
      </c>
      <c r="BG112" s="7" t="s">
        <v>1242</v>
      </c>
    </row>
    <row r="113" spans="1:59" s="1" customFormat="1" ht="108" x14ac:dyDescent="0.45">
      <c r="A113" s="5">
        <v>112</v>
      </c>
      <c r="B113" s="1" t="s">
        <v>10120</v>
      </c>
      <c r="C113" s="6"/>
      <c r="J113" s="1" t="s">
        <v>7557</v>
      </c>
      <c r="K113" s="2" t="s">
        <v>10119</v>
      </c>
      <c r="P113" s="7" t="s">
        <v>1241</v>
      </c>
      <c r="Q113"/>
      <c r="R113"/>
      <c r="S113"/>
      <c r="T113"/>
      <c r="U113"/>
      <c r="V113"/>
      <c r="W113"/>
      <c r="X113"/>
      <c r="Y113"/>
      <c r="Z113"/>
      <c r="AA113"/>
      <c r="AB113"/>
      <c r="AC113"/>
      <c r="AD113"/>
      <c r="AE113"/>
      <c r="AF113"/>
      <c r="AG113"/>
      <c r="AH113"/>
      <c r="AI113"/>
      <c r="AJ113"/>
      <c r="AK113"/>
      <c r="AL113"/>
      <c r="AM113"/>
      <c r="AN113"/>
      <c r="AO113"/>
      <c r="AP113"/>
      <c r="AQ113"/>
      <c r="AR113"/>
      <c r="AS113"/>
      <c r="AT113"/>
      <c r="AU113"/>
      <c r="AV113" s="1" t="s">
        <v>38</v>
      </c>
      <c r="BG113" s="7" t="s">
        <v>1242</v>
      </c>
    </row>
    <row r="114" spans="1:59" s="1" customFormat="1" ht="90" x14ac:dyDescent="0.45">
      <c r="A114" s="5">
        <v>113</v>
      </c>
      <c r="B114" s="1" t="s">
        <v>10122</v>
      </c>
      <c r="C114" s="6"/>
      <c r="J114" s="1" t="s">
        <v>7557</v>
      </c>
      <c r="K114" s="2" t="s">
        <v>10121</v>
      </c>
      <c r="P114" s="7" t="s">
        <v>1241</v>
      </c>
      <c r="Q114"/>
      <c r="R114"/>
      <c r="S114"/>
      <c r="T114"/>
      <c r="U114"/>
      <c r="V114"/>
      <c r="W114"/>
      <c r="X114"/>
      <c r="Y114"/>
      <c r="Z114"/>
      <c r="AA114"/>
      <c r="AB114"/>
      <c r="AC114"/>
      <c r="AD114"/>
      <c r="AE114"/>
      <c r="AF114"/>
      <c r="AG114"/>
      <c r="AH114"/>
      <c r="AI114"/>
      <c r="AJ114"/>
      <c r="AK114"/>
      <c r="AL114"/>
      <c r="AM114"/>
      <c r="AN114"/>
      <c r="AO114"/>
      <c r="AP114"/>
      <c r="AQ114"/>
      <c r="AR114"/>
      <c r="AS114"/>
      <c r="AT114"/>
      <c r="AU114"/>
      <c r="AV114" s="1" t="s">
        <v>38</v>
      </c>
      <c r="BG114" s="7" t="s">
        <v>1242</v>
      </c>
    </row>
    <row r="115" spans="1:59" s="1" customFormat="1" ht="126" x14ac:dyDescent="0.45">
      <c r="A115" s="5">
        <v>114</v>
      </c>
      <c r="B115" s="1" t="s">
        <v>10124</v>
      </c>
      <c r="C115" s="6"/>
      <c r="J115" s="1" t="s">
        <v>7557</v>
      </c>
      <c r="K115" s="2" t="s">
        <v>10123</v>
      </c>
      <c r="P115" s="7" t="s">
        <v>1241</v>
      </c>
      <c r="Q115"/>
      <c r="R115"/>
      <c r="S115"/>
      <c r="T115"/>
      <c r="U115"/>
      <c r="V115"/>
      <c r="W115"/>
      <c r="X115"/>
      <c r="Y115"/>
      <c r="Z115"/>
      <c r="AA115"/>
      <c r="AB115"/>
      <c r="AC115"/>
      <c r="AD115"/>
      <c r="AE115"/>
      <c r="AF115"/>
      <c r="AG115"/>
      <c r="AH115"/>
      <c r="AI115"/>
      <c r="AJ115"/>
      <c r="AK115"/>
      <c r="AL115"/>
      <c r="AM115"/>
      <c r="AN115"/>
      <c r="AO115"/>
      <c r="AP115"/>
      <c r="AQ115"/>
      <c r="AR115"/>
      <c r="AS115"/>
      <c r="AT115"/>
      <c r="AU115"/>
      <c r="AV115" s="1" t="s">
        <v>38</v>
      </c>
      <c r="BG115" s="7" t="s">
        <v>1242</v>
      </c>
    </row>
    <row r="116" spans="1:59" s="1" customFormat="1" ht="126" x14ac:dyDescent="0.45">
      <c r="A116" s="5">
        <v>115</v>
      </c>
      <c r="B116" s="1" t="s">
        <v>10126</v>
      </c>
      <c r="C116" s="6"/>
      <c r="J116" s="1" t="s">
        <v>7557</v>
      </c>
      <c r="K116" s="2" t="s">
        <v>10125</v>
      </c>
      <c r="P116" s="7" t="s">
        <v>1241</v>
      </c>
      <c r="Q116"/>
      <c r="R116"/>
      <c r="S116"/>
      <c r="T116"/>
      <c r="U116"/>
      <c r="V116"/>
      <c r="W116"/>
      <c r="X116"/>
      <c r="Y116"/>
      <c r="Z116"/>
      <c r="AA116"/>
      <c r="AB116"/>
      <c r="AC116"/>
      <c r="AD116"/>
      <c r="AE116"/>
      <c r="AF116"/>
      <c r="AG116"/>
      <c r="AH116"/>
      <c r="AI116"/>
      <c r="AJ116"/>
      <c r="AK116"/>
      <c r="AL116"/>
      <c r="AM116"/>
      <c r="AN116"/>
      <c r="AO116"/>
      <c r="AP116"/>
      <c r="AQ116"/>
      <c r="AR116"/>
      <c r="AS116"/>
      <c r="AT116"/>
      <c r="AU116"/>
      <c r="AV116" s="1" t="s">
        <v>38</v>
      </c>
      <c r="BG116" s="7" t="s">
        <v>1242</v>
      </c>
    </row>
    <row r="117" spans="1:59" s="1" customFormat="1" ht="54" x14ac:dyDescent="0.45">
      <c r="A117" s="5">
        <v>116</v>
      </c>
      <c r="B117" s="1" t="s">
        <v>10128</v>
      </c>
      <c r="C117" s="6"/>
      <c r="J117" s="1" t="s">
        <v>7557</v>
      </c>
      <c r="K117" s="2" t="s">
        <v>10127</v>
      </c>
      <c r="P117" s="7" t="s">
        <v>1241</v>
      </c>
      <c r="Q117"/>
      <c r="R117"/>
      <c r="S117"/>
      <c r="T117"/>
      <c r="U117"/>
      <c r="V117"/>
      <c r="W117"/>
      <c r="X117"/>
      <c r="Y117"/>
      <c r="Z117"/>
      <c r="AA117"/>
      <c r="AB117"/>
      <c r="AC117"/>
      <c r="AD117"/>
      <c r="AE117"/>
      <c r="AF117"/>
      <c r="AG117"/>
      <c r="AH117"/>
      <c r="AI117"/>
      <c r="AJ117"/>
      <c r="AK117"/>
      <c r="AL117"/>
      <c r="AM117"/>
      <c r="AN117"/>
      <c r="AO117"/>
      <c r="AP117"/>
      <c r="AQ117"/>
      <c r="AR117"/>
      <c r="AS117"/>
      <c r="AT117"/>
      <c r="AU117"/>
      <c r="AV117" s="1" t="s">
        <v>38</v>
      </c>
      <c r="BG117" s="7" t="s">
        <v>1242</v>
      </c>
    </row>
    <row r="118" spans="1:59" s="1" customFormat="1" ht="72" x14ac:dyDescent="0.45">
      <c r="A118" s="5">
        <v>117</v>
      </c>
      <c r="B118" s="1" t="s">
        <v>10130</v>
      </c>
      <c r="C118" s="6"/>
      <c r="J118" s="1" t="s">
        <v>7557</v>
      </c>
      <c r="K118" s="2" t="s">
        <v>10129</v>
      </c>
      <c r="P118" s="7" t="s">
        <v>1241</v>
      </c>
      <c r="Q118"/>
      <c r="R118"/>
      <c r="S118"/>
      <c r="T118"/>
      <c r="U118"/>
      <c r="V118"/>
      <c r="W118"/>
      <c r="X118"/>
      <c r="Y118"/>
      <c r="Z118"/>
      <c r="AA118"/>
      <c r="AB118"/>
      <c r="AC118"/>
      <c r="AD118"/>
      <c r="AE118"/>
      <c r="AF118"/>
      <c r="AG118"/>
      <c r="AH118"/>
      <c r="AI118"/>
      <c r="AJ118"/>
      <c r="AK118"/>
      <c r="AL118"/>
      <c r="AM118"/>
      <c r="AN118"/>
      <c r="AO118"/>
      <c r="AP118"/>
      <c r="AQ118"/>
      <c r="AR118"/>
      <c r="AS118"/>
      <c r="AT118"/>
      <c r="AU118"/>
      <c r="AV118" s="1" t="s">
        <v>38</v>
      </c>
      <c r="BG118" s="7" t="s">
        <v>1242</v>
      </c>
    </row>
    <row r="119" spans="1:59" s="1" customFormat="1" ht="72" x14ac:dyDescent="0.45">
      <c r="A119" s="5">
        <v>118</v>
      </c>
      <c r="B119" s="1" t="s">
        <v>10132</v>
      </c>
      <c r="C119" s="6"/>
      <c r="J119" s="1" t="s">
        <v>7557</v>
      </c>
      <c r="K119" s="2" t="s">
        <v>10131</v>
      </c>
      <c r="P119" s="7" t="s">
        <v>1241</v>
      </c>
      <c r="Q119"/>
      <c r="R119"/>
      <c r="S119"/>
      <c r="T119"/>
      <c r="U119"/>
      <c r="V119"/>
      <c r="W119"/>
      <c r="X119"/>
      <c r="Y119"/>
      <c r="Z119"/>
      <c r="AA119"/>
      <c r="AB119"/>
      <c r="AC119"/>
      <c r="AD119"/>
      <c r="AE119"/>
      <c r="AF119"/>
      <c r="AG119"/>
      <c r="AH119"/>
      <c r="AI119"/>
      <c r="AJ119"/>
      <c r="AK119"/>
      <c r="AL119"/>
      <c r="AM119"/>
      <c r="AN119"/>
      <c r="AO119"/>
      <c r="AP119"/>
      <c r="AQ119"/>
      <c r="AR119"/>
      <c r="AS119"/>
      <c r="AT119"/>
      <c r="AU119"/>
      <c r="AV119" s="1" t="s">
        <v>38</v>
      </c>
      <c r="BG119" s="7" t="s">
        <v>1242</v>
      </c>
    </row>
    <row r="120" spans="1:59" s="1" customFormat="1" ht="108" x14ac:dyDescent="0.45">
      <c r="A120" s="5">
        <v>119</v>
      </c>
      <c r="B120" s="1" t="s">
        <v>10133</v>
      </c>
      <c r="C120" s="6"/>
      <c r="J120" s="1" t="s">
        <v>7557</v>
      </c>
      <c r="K120" s="2" t="s">
        <v>10284</v>
      </c>
      <c r="P120" s="7" t="s">
        <v>1241</v>
      </c>
      <c r="Q120"/>
      <c r="R120"/>
      <c r="S120"/>
      <c r="T120"/>
      <c r="U120"/>
      <c r="V120"/>
      <c r="W120"/>
      <c r="X120"/>
      <c r="Y120"/>
      <c r="Z120"/>
      <c r="AA120"/>
      <c r="AB120"/>
      <c r="AC120"/>
      <c r="AD120"/>
      <c r="AE120"/>
      <c r="AF120"/>
      <c r="AG120"/>
      <c r="AH120"/>
      <c r="AI120"/>
      <c r="AJ120"/>
      <c r="AK120"/>
      <c r="AL120"/>
      <c r="AM120"/>
      <c r="AN120"/>
      <c r="AO120"/>
      <c r="AP120"/>
      <c r="AQ120"/>
      <c r="AR120"/>
      <c r="AS120"/>
      <c r="AT120"/>
      <c r="AU120"/>
      <c r="AV120" s="1" t="s">
        <v>38</v>
      </c>
      <c r="BG120" s="7" t="s">
        <v>1242</v>
      </c>
    </row>
    <row r="121" spans="1:59" s="1" customFormat="1" ht="216" x14ac:dyDescent="0.45">
      <c r="A121" s="5">
        <v>120</v>
      </c>
      <c r="B121" s="1" t="s">
        <v>10135</v>
      </c>
      <c r="C121" s="6"/>
      <c r="J121" s="1" t="s">
        <v>7557</v>
      </c>
      <c r="K121" s="2" t="s">
        <v>10134</v>
      </c>
      <c r="P121" s="7" t="s">
        <v>1241</v>
      </c>
      <c r="Q121"/>
      <c r="R121"/>
      <c r="S121"/>
      <c r="T121"/>
      <c r="U121"/>
      <c r="V121"/>
      <c r="W121"/>
      <c r="X121"/>
      <c r="Y121"/>
      <c r="Z121"/>
      <c r="AA121"/>
      <c r="AB121"/>
      <c r="AC121"/>
      <c r="AD121"/>
      <c r="AE121"/>
      <c r="AF121"/>
      <c r="AG121"/>
      <c r="AH121"/>
      <c r="AI121"/>
      <c r="AJ121"/>
      <c r="AK121"/>
      <c r="AL121"/>
      <c r="AM121"/>
      <c r="AN121"/>
      <c r="AO121"/>
      <c r="AP121"/>
      <c r="AQ121"/>
      <c r="AR121"/>
      <c r="AS121"/>
      <c r="AT121"/>
      <c r="AU121"/>
      <c r="AV121" s="1" t="s">
        <v>38</v>
      </c>
      <c r="BG121" s="7" t="s">
        <v>1242</v>
      </c>
    </row>
    <row r="122" spans="1:59" s="1" customFormat="1" ht="54" x14ac:dyDescent="0.45">
      <c r="A122" s="5">
        <v>121</v>
      </c>
      <c r="B122" s="1" t="s">
        <v>10137</v>
      </c>
      <c r="C122" s="6"/>
      <c r="J122" s="1" t="s">
        <v>7557</v>
      </c>
      <c r="K122" s="2" t="s">
        <v>10136</v>
      </c>
      <c r="P122" s="7" t="s">
        <v>1241</v>
      </c>
      <c r="Q122"/>
      <c r="R122"/>
      <c r="S122"/>
      <c r="T122"/>
      <c r="U122"/>
      <c r="V122"/>
      <c r="W122"/>
      <c r="X122"/>
      <c r="Y122"/>
      <c r="Z122"/>
      <c r="AA122"/>
      <c r="AB122"/>
      <c r="AC122"/>
      <c r="AD122"/>
      <c r="AE122"/>
      <c r="AF122"/>
      <c r="AG122"/>
      <c r="AH122"/>
      <c r="AI122"/>
      <c r="AJ122"/>
      <c r="AK122"/>
      <c r="AL122"/>
      <c r="AM122"/>
      <c r="AN122"/>
      <c r="AO122"/>
      <c r="AP122"/>
      <c r="AQ122"/>
      <c r="AR122"/>
      <c r="AS122"/>
      <c r="AT122"/>
      <c r="AU122"/>
      <c r="AV122" s="1" t="s">
        <v>38</v>
      </c>
      <c r="BG122" s="7" t="s">
        <v>1242</v>
      </c>
    </row>
    <row r="123" spans="1:59" s="1" customFormat="1" ht="36" x14ac:dyDescent="0.45">
      <c r="A123" s="5">
        <v>122</v>
      </c>
      <c r="B123" s="1" t="s">
        <v>10807</v>
      </c>
      <c r="C123" s="6"/>
      <c r="J123" s="1" t="s">
        <v>7557</v>
      </c>
      <c r="K123" s="2" t="s">
        <v>10138</v>
      </c>
      <c r="P123" s="7" t="s">
        <v>1241</v>
      </c>
      <c r="Q123"/>
      <c r="R123"/>
      <c r="S123"/>
      <c r="T123"/>
      <c r="U123"/>
      <c r="V123"/>
      <c r="W123"/>
      <c r="X123"/>
      <c r="Y123"/>
      <c r="Z123"/>
      <c r="AA123"/>
      <c r="AB123"/>
      <c r="AC123"/>
      <c r="AD123"/>
      <c r="AE123"/>
      <c r="AF123"/>
      <c r="AG123"/>
      <c r="AH123"/>
      <c r="AI123"/>
      <c r="AJ123"/>
      <c r="AK123"/>
      <c r="AL123"/>
      <c r="AM123"/>
      <c r="AN123"/>
      <c r="AO123"/>
      <c r="AP123"/>
      <c r="AQ123"/>
      <c r="AR123"/>
      <c r="AS123"/>
      <c r="AT123"/>
      <c r="AU123"/>
      <c r="AV123" s="1" t="s">
        <v>38</v>
      </c>
      <c r="BG123" s="7" t="s">
        <v>1242</v>
      </c>
    </row>
    <row r="124" spans="1:59" s="1" customFormat="1" ht="36" x14ac:dyDescent="0.45">
      <c r="A124" s="5">
        <v>123</v>
      </c>
      <c r="B124" s="1" t="s">
        <v>10140</v>
      </c>
      <c r="C124" s="6"/>
      <c r="J124" s="1" t="s">
        <v>7557</v>
      </c>
      <c r="K124" s="2" t="s">
        <v>10139</v>
      </c>
      <c r="P124" s="7" t="s">
        <v>1241</v>
      </c>
      <c r="Q124"/>
      <c r="R124"/>
      <c r="S124"/>
      <c r="T124"/>
      <c r="U124"/>
      <c r="V124"/>
      <c r="W124"/>
      <c r="X124"/>
      <c r="Y124"/>
      <c r="Z124"/>
      <c r="AA124"/>
      <c r="AB124"/>
      <c r="AC124"/>
      <c r="AD124"/>
      <c r="AE124"/>
      <c r="AF124"/>
      <c r="AG124"/>
      <c r="AH124"/>
      <c r="AI124"/>
      <c r="AJ124"/>
      <c r="AK124"/>
      <c r="AL124"/>
      <c r="AM124"/>
      <c r="AN124"/>
      <c r="AO124"/>
      <c r="AP124"/>
      <c r="AQ124"/>
      <c r="AR124"/>
      <c r="AS124"/>
      <c r="AT124"/>
      <c r="AU124"/>
      <c r="AV124" s="1" t="s">
        <v>38</v>
      </c>
      <c r="BG124" s="7" t="s">
        <v>1242</v>
      </c>
    </row>
    <row r="125" spans="1:59" s="1" customFormat="1" ht="54" x14ac:dyDescent="0.45">
      <c r="A125" s="5">
        <v>124</v>
      </c>
      <c r="B125" s="1" t="s">
        <v>10142</v>
      </c>
      <c r="C125" s="6"/>
      <c r="J125" s="1" t="s">
        <v>7557</v>
      </c>
      <c r="K125" s="2" t="s">
        <v>10141</v>
      </c>
      <c r="P125" s="7" t="s">
        <v>1241</v>
      </c>
      <c r="Q125"/>
      <c r="R125"/>
      <c r="S125"/>
      <c r="T125"/>
      <c r="U125"/>
      <c r="V125"/>
      <c r="W125"/>
      <c r="X125"/>
      <c r="Y125"/>
      <c r="Z125"/>
      <c r="AA125"/>
      <c r="AB125"/>
      <c r="AC125"/>
      <c r="AD125"/>
      <c r="AE125"/>
      <c r="AF125"/>
      <c r="AG125"/>
      <c r="AH125"/>
      <c r="AI125"/>
      <c r="AJ125"/>
      <c r="AK125"/>
      <c r="AL125"/>
      <c r="AM125"/>
      <c r="AN125"/>
      <c r="AO125"/>
      <c r="AP125"/>
      <c r="AQ125"/>
      <c r="AR125"/>
      <c r="AS125"/>
      <c r="AT125"/>
      <c r="AU125"/>
      <c r="AV125" s="1" t="s">
        <v>38</v>
      </c>
      <c r="BG125" s="7" t="s">
        <v>1242</v>
      </c>
    </row>
    <row r="126" spans="1:59" s="1" customFormat="1" ht="72" x14ac:dyDescent="0.45">
      <c r="A126" s="5">
        <v>125</v>
      </c>
      <c r="B126" s="1" t="s">
        <v>10144</v>
      </c>
      <c r="C126" s="6"/>
      <c r="J126" s="1" t="s">
        <v>7557</v>
      </c>
      <c r="K126" s="2" t="s">
        <v>10143</v>
      </c>
      <c r="P126" s="7" t="s">
        <v>1241</v>
      </c>
      <c r="Q126"/>
      <c r="R126"/>
      <c r="S126"/>
      <c r="T126"/>
      <c r="U126"/>
      <c r="V126"/>
      <c r="W126"/>
      <c r="X126"/>
      <c r="Y126"/>
      <c r="Z126"/>
      <c r="AA126"/>
      <c r="AB126"/>
      <c r="AC126"/>
      <c r="AD126"/>
      <c r="AE126"/>
      <c r="AF126"/>
      <c r="AG126"/>
      <c r="AH126"/>
      <c r="AI126"/>
      <c r="AJ126"/>
      <c r="AK126"/>
      <c r="AL126"/>
      <c r="AM126"/>
      <c r="AN126"/>
      <c r="AO126"/>
      <c r="AP126"/>
      <c r="AQ126"/>
      <c r="AR126"/>
      <c r="AS126"/>
      <c r="AT126"/>
      <c r="AU126"/>
      <c r="AV126" s="1" t="s">
        <v>38</v>
      </c>
      <c r="BG126" s="7" t="s">
        <v>1242</v>
      </c>
    </row>
    <row r="127" spans="1:59" s="1" customFormat="1" ht="72" x14ac:dyDescent="0.45">
      <c r="A127" s="5">
        <v>126</v>
      </c>
      <c r="B127" s="1" t="s">
        <v>10146</v>
      </c>
      <c r="C127" s="6"/>
      <c r="J127" s="1" t="s">
        <v>7557</v>
      </c>
      <c r="K127" s="2" t="s">
        <v>10145</v>
      </c>
      <c r="P127" s="7" t="s">
        <v>1241</v>
      </c>
      <c r="Q127"/>
      <c r="R127"/>
      <c r="S127"/>
      <c r="T127"/>
      <c r="U127"/>
      <c r="V127"/>
      <c r="W127"/>
      <c r="X127"/>
      <c r="Y127"/>
      <c r="Z127"/>
      <c r="AA127"/>
      <c r="AB127"/>
      <c r="AC127"/>
      <c r="AD127"/>
      <c r="AE127"/>
      <c r="AF127"/>
      <c r="AG127"/>
      <c r="AH127"/>
      <c r="AI127"/>
      <c r="AJ127"/>
      <c r="AK127"/>
      <c r="AL127"/>
      <c r="AM127"/>
      <c r="AN127"/>
      <c r="AO127"/>
      <c r="AP127"/>
      <c r="AQ127"/>
      <c r="AR127"/>
      <c r="AS127"/>
      <c r="AT127"/>
      <c r="AU127"/>
      <c r="AV127" s="1" t="s">
        <v>38</v>
      </c>
      <c r="BG127" s="7" t="s">
        <v>1242</v>
      </c>
    </row>
    <row r="128" spans="1:59" s="1" customFormat="1" ht="72" x14ac:dyDescent="0.45">
      <c r="A128" s="5">
        <v>127</v>
      </c>
      <c r="B128" s="1" t="s">
        <v>10148</v>
      </c>
      <c r="C128" s="6"/>
      <c r="J128" s="1" t="s">
        <v>7557</v>
      </c>
      <c r="K128" s="2" t="s">
        <v>10147</v>
      </c>
      <c r="P128" s="7" t="s">
        <v>1241</v>
      </c>
      <c r="Q128"/>
      <c r="R128"/>
      <c r="S128"/>
      <c r="T128"/>
      <c r="U128"/>
      <c r="V128"/>
      <c r="W128"/>
      <c r="X128"/>
      <c r="Y128"/>
      <c r="Z128"/>
      <c r="AA128"/>
      <c r="AB128"/>
      <c r="AC128"/>
      <c r="AD128"/>
      <c r="AE128"/>
      <c r="AF128"/>
      <c r="AG128"/>
      <c r="AH128"/>
      <c r="AI128"/>
      <c r="AJ128"/>
      <c r="AK128"/>
      <c r="AL128"/>
      <c r="AM128"/>
      <c r="AN128"/>
      <c r="AO128"/>
      <c r="AP128"/>
      <c r="AQ128"/>
      <c r="AR128"/>
      <c r="AS128"/>
      <c r="AT128"/>
      <c r="AU128"/>
      <c r="AV128" s="1" t="s">
        <v>38</v>
      </c>
      <c r="BG128" s="7" t="s">
        <v>1242</v>
      </c>
    </row>
    <row r="129" spans="1:59" s="1" customFormat="1" ht="54" x14ac:dyDescent="0.45">
      <c r="A129" s="5">
        <v>128</v>
      </c>
      <c r="B129" s="1" t="s">
        <v>10150</v>
      </c>
      <c r="C129" s="6"/>
      <c r="J129" s="1" t="s">
        <v>7557</v>
      </c>
      <c r="K129" s="2" t="s">
        <v>10149</v>
      </c>
      <c r="P129" s="7" t="s">
        <v>1241</v>
      </c>
      <c r="Q129"/>
      <c r="R129"/>
      <c r="S129"/>
      <c r="T129"/>
      <c r="U129"/>
      <c r="V129"/>
      <c r="W129"/>
      <c r="X129"/>
      <c r="Y129"/>
      <c r="Z129"/>
      <c r="AA129"/>
      <c r="AB129"/>
      <c r="AC129"/>
      <c r="AD129"/>
      <c r="AE129"/>
      <c r="AF129"/>
      <c r="AG129"/>
      <c r="AH129"/>
      <c r="AI129"/>
      <c r="AJ129"/>
      <c r="AK129"/>
      <c r="AL129"/>
      <c r="AM129"/>
      <c r="AN129"/>
      <c r="AO129"/>
      <c r="AP129"/>
      <c r="AQ129"/>
      <c r="AR129"/>
      <c r="AS129"/>
      <c r="AT129"/>
      <c r="AU129"/>
      <c r="AV129" s="1" t="s">
        <v>38</v>
      </c>
      <c r="BG129" s="7" t="s">
        <v>1242</v>
      </c>
    </row>
    <row r="130" spans="1:59" s="1" customFormat="1" ht="108" x14ac:dyDescent="0.45">
      <c r="A130" s="5">
        <v>129</v>
      </c>
      <c r="B130" s="1" t="s">
        <v>10152</v>
      </c>
      <c r="C130" s="6"/>
      <c r="J130" s="1" t="s">
        <v>7557</v>
      </c>
      <c r="K130" s="2" t="s">
        <v>10151</v>
      </c>
      <c r="P130" s="7" t="s">
        <v>1241</v>
      </c>
      <c r="Q130"/>
      <c r="R130"/>
      <c r="S130"/>
      <c r="T130"/>
      <c r="U130"/>
      <c r="V130"/>
      <c r="W130"/>
      <c r="X130"/>
      <c r="Y130"/>
      <c r="Z130"/>
      <c r="AA130"/>
      <c r="AB130"/>
      <c r="AC130"/>
      <c r="AD130"/>
      <c r="AE130"/>
      <c r="AF130"/>
      <c r="AG130"/>
      <c r="AH130"/>
      <c r="AI130"/>
      <c r="AJ130"/>
      <c r="AK130"/>
      <c r="AL130"/>
      <c r="AM130"/>
      <c r="AN130"/>
      <c r="AO130"/>
      <c r="AP130"/>
      <c r="AQ130"/>
      <c r="AR130"/>
      <c r="AS130"/>
      <c r="AT130"/>
      <c r="AU130"/>
      <c r="AV130" s="1" t="s">
        <v>38</v>
      </c>
      <c r="BG130" s="7" t="s">
        <v>1242</v>
      </c>
    </row>
    <row r="131" spans="1:59" s="1" customFormat="1" ht="409.6" x14ac:dyDescent="0.45">
      <c r="A131" s="5">
        <v>130</v>
      </c>
      <c r="B131" s="1" t="s">
        <v>10153</v>
      </c>
      <c r="C131" s="6"/>
      <c r="J131" s="1" t="s">
        <v>7557</v>
      </c>
      <c r="K131" s="11" t="s">
        <v>11749</v>
      </c>
      <c r="P131" s="7" t="s">
        <v>1241</v>
      </c>
      <c r="Q131"/>
      <c r="R131"/>
      <c r="S131"/>
      <c r="T131"/>
      <c r="U131"/>
      <c r="V131"/>
      <c r="W131"/>
      <c r="X131"/>
      <c r="Y131"/>
      <c r="Z131"/>
      <c r="AA131"/>
      <c r="AB131"/>
      <c r="AC131"/>
      <c r="AD131"/>
      <c r="AE131"/>
      <c r="AF131"/>
      <c r="AG131"/>
      <c r="AH131"/>
      <c r="AI131"/>
      <c r="AJ131"/>
      <c r="AK131"/>
      <c r="AL131"/>
      <c r="AM131"/>
      <c r="AN131"/>
      <c r="AO131"/>
      <c r="AP131"/>
      <c r="AQ131"/>
      <c r="AR131"/>
      <c r="AS131"/>
      <c r="AT131"/>
      <c r="AU131"/>
      <c r="AV131" s="1" t="s">
        <v>38</v>
      </c>
      <c r="BG131" s="7" t="s">
        <v>1242</v>
      </c>
    </row>
    <row r="132" spans="1:59" s="1" customFormat="1" ht="198" x14ac:dyDescent="0.45">
      <c r="A132" s="5">
        <v>131</v>
      </c>
      <c r="B132" s="1" t="s">
        <v>10154</v>
      </c>
      <c r="C132" s="6"/>
      <c r="J132" s="1" t="s">
        <v>7557</v>
      </c>
      <c r="K132" s="2" t="s">
        <v>10262</v>
      </c>
      <c r="P132" s="7" t="s">
        <v>1241</v>
      </c>
      <c r="Q132"/>
      <c r="R132"/>
      <c r="S132"/>
      <c r="T132"/>
      <c r="U132"/>
      <c r="V132"/>
      <c r="W132"/>
      <c r="X132"/>
      <c r="Y132"/>
      <c r="Z132"/>
      <c r="AA132"/>
      <c r="AB132"/>
      <c r="AC132"/>
      <c r="AD132"/>
      <c r="AE132"/>
      <c r="AF132"/>
      <c r="AG132"/>
      <c r="AH132"/>
      <c r="AI132"/>
      <c r="AJ132"/>
      <c r="AK132"/>
      <c r="AL132"/>
      <c r="AM132"/>
      <c r="AN132"/>
      <c r="AO132"/>
      <c r="AP132"/>
      <c r="AQ132"/>
      <c r="AR132"/>
      <c r="AS132"/>
      <c r="AT132"/>
      <c r="AU132"/>
      <c r="AV132" s="1" t="s">
        <v>38</v>
      </c>
      <c r="BG132" s="7" t="s">
        <v>1242</v>
      </c>
    </row>
    <row r="133" spans="1:59" s="1" customFormat="1" ht="108" x14ac:dyDescent="0.45">
      <c r="A133" s="5">
        <v>132</v>
      </c>
      <c r="B133" s="1" t="s">
        <v>10156</v>
      </c>
      <c r="C133" s="6"/>
      <c r="J133" s="1" t="s">
        <v>7557</v>
      </c>
      <c r="K133" s="2" t="s">
        <v>10155</v>
      </c>
      <c r="P133" s="7" t="s">
        <v>1241</v>
      </c>
      <c r="Q133"/>
      <c r="R133"/>
      <c r="S133"/>
      <c r="T133"/>
      <c r="U133"/>
      <c r="V133"/>
      <c r="W133"/>
      <c r="X133"/>
      <c r="Y133"/>
      <c r="Z133"/>
      <c r="AA133"/>
      <c r="AB133"/>
      <c r="AC133"/>
      <c r="AD133"/>
      <c r="AE133"/>
      <c r="AF133"/>
      <c r="AG133"/>
      <c r="AH133"/>
      <c r="AI133"/>
      <c r="AJ133"/>
      <c r="AK133"/>
      <c r="AL133"/>
      <c r="AM133"/>
      <c r="AN133"/>
      <c r="AO133"/>
      <c r="AP133"/>
      <c r="AQ133"/>
      <c r="AR133"/>
      <c r="AS133"/>
      <c r="AT133"/>
      <c r="AU133"/>
      <c r="AV133" s="1" t="s">
        <v>38</v>
      </c>
      <c r="BG133" s="7" t="s">
        <v>1242</v>
      </c>
    </row>
    <row r="134" spans="1:59" s="1" customFormat="1" ht="90" x14ac:dyDescent="0.45">
      <c r="A134" s="5">
        <v>133</v>
      </c>
      <c r="B134" s="1" t="s">
        <v>10157</v>
      </c>
      <c r="C134" s="6"/>
      <c r="J134" s="1" t="s">
        <v>7557</v>
      </c>
      <c r="K134" s="2" t="s">
        <v>10270</v>
      </c>
      <c r="P134" s="7" t="s">
        <v>1241</v>
      </c>
      <c r="Q134"/>
      <c r="R134"/>
      <c r="S134"/>
      <c r="T134"/>
      <c r="U134"/>
      <c r="V134"/>
      <c r="W134"/>
      <c r="X134"/>
      <c r="Y134"/>
      <c r="Z134"/>
      <c r="AA134"/>
      <c r="AB134"/>
      <c r="AC134"/>
      <c r="AD134"/>
      <c r="AE134"/>
      <c r="AF134"/>
      <c r="AG134"/>
      <c r="AH134"/>
      <c r="AI134"/>
      <c r="AJ134"/>
      <c r="AK134"/>
      <c r="AL134"/>
      <c r="AM134"/>
      <c r="AN134"/>
      <c r="AO134"/>
      <c r="AP134"/>
      <c r="AQ134"/>
      <c r="AR134"/>
      <c r="AS134"/>
      <c r="AT134"/>
      <c r="AU134"/>
      <c r="AV134" s="1" t="s">
        <v>38</v>
      </c>
      <c r="BG134" s="7" t="s">
        <v>1242</v>
      </c>
    </row>
    <row r="135" spans="1:59" s="1" customFormat="1" ht="54" x14ac:dyDescent="0.45">
      <c r="A135" s="5">
        <v>134</v>
      </c>
      <c r="B135" s="1" t="s">
        <v>10808</v>
      </c>
      <c r="C135" s="6"/>
      <c r="J135" s="1" t="s">
        <v>7557</v>
      </c>
      <c r="K135" s="2" t="s">
        <v>10158</v>
      </c>
      <c r="P135" s="7" t="s">
        <v>1241</v>
      </c>
      <c r="Q135"/>
      <c r="R135"/>
      <c r="S135"/>
      <c r="T135"/>
      <c r="U135"/>
      <c r="V135"/>
      <c r="W135"/>
      <c r="X135"/>
      <c r="Y135"/>
      <c r="Z135"/>
      <c r="AA135"/>
      <c r="AB135"/>
      <c r="AC135"/>
      <c r="AD135"/>
      <c r="AE135"/>
      <c r="AF135"/>
      <c r="AG135"/>
      <c r="AH135"/>
      <c r="AI135"/>
      <c r="AJ135"/>
      <c r="AK135"/>
      <c r="AL135"/>
      <c r="AM135"/>
      <c r="AN135"/>
      <c r="AO135"/>
      <c r="AP135"/>
      <c r="AQ135"/>
      <c r="AR135"/>
      <c r="AS135"/>
      <c r="AT135"/>
      <c r="AU135"/>
      <c r="AV135" s="1" t="s">
        <v>38</v>
      </c>
      <c r="BG135" s="7" t="s">
        <v>1242</v>
      </c>
    </row>
    <row r="136" spans="1:59" s="1" customFormat="1" ht="54" x14ac:dyDescent="0.45">
      <c r="A136" s="5">
        <v>135</v>
      </c>
      <c r="B136" s="1" t="s">
        <v>10159</v>
      </c>
      <c r="C136" s="6"/>
      <c r="J136" s="1" t="s">
        <v>7557</v>
      </c>
      <c r="K136" s="2" t="s">
        <v>10160</v>
      </c>
      <c r="P136" s="7" t="s">
        <v>1241</v>
      </c>
      <c r="Q136"/>
      <c r="R136"/>
      <c r="S136"/>
      <c r="T136"/>
      <c r="U136"/>
      <c r="V136"/>
      <c r="W136"/>
      <c r="X136"/>
      <c r="Y136"/>
      <c r="Z136"/>
      <c r="AA136"/>
      <c r="AB136"/>
      <c r="AC136"/>
      <c r="AD136"/>
      <c r="AE136"/>
      <c r="AF136"/>
      <c r="AG136"/>
      <c r="AH136"/>
      <c r="AI136"/>
      <c r="AJ136"/>
      <c r="AK136"/>
      <c r="AL136"/>
      <c r="AM136"/>
      <c r="AN136"/>
      <c r="AO136"/>
      <c r="AP136"/>
      <c r="AQ136"/>
      <c r="AR136"/>
      <c r="AS136"/>
      <c r="AT136"/>
      <c r="AU136"/>
      <c r="AV136" s="1" t="s">
        <v>38</v>
      </c>
      <c r="BG136" s="7" t="s">
        <v>1242</v>
      </c>
    </row>
    <row r="137" spans="1:59" s="1" customFormat="1" ht="36" x14ac:dyDescent="0.45">
      <c r="A137" s="5">
        <v>136</v>
      </c>
      <c r="B137" s="1" t="s">
        <v>10161</v>
      </c>
      <c r="C137" s="6"/>
      <c r="J137" s="1" t="s">
        <v>7557</v>
      </c>
      <c r="K137" s="2" t="s">
        <v>10162</v>
      </c>
      <c r="P137" s="7" t="s">
        <v>1241</v>
      </c>
      <c r="Q137"/>
      <c r="R137"/>
      <c r="S137"/>
      <c r="T137"/>
      <c r="U137"/>
      <c r="V137"/>
      <c r="W137"/>
      <c r="X137"/>
      <c r="Y137"/>
      <c r="Z137"/>
      <c r="AA137"/>
      <c r="AB137"/>
      <c r="AC137"/>
      <c r="AD137"/>
      <c r="AE137"/>
      <c r="AF137"/>
      <c r="AG137"/>
      <c r="AH137"/>
      <c r="AI137"/>
      <c r="AJ137"/>
      <c r="AK137"/>
      <c r="AL137"/>
      <c r="AM137"/>
      <c r="AN137"/>
      <c r="AO137"/>
      <c r="AP137"/>
      <c r="AQ137"/>
      <c r="AR137"/>
      <c r="AS137"/>
      <c r="AT137"/>
      <c r="AU137"/>
      <c r="AV137" s="1" t="s">
        <v>38</v>
      </c>
      <c r="BG137" s="7" t="s">
        <v>1242</v>
      </c>
    </row>
    <row r="138" spans="1:59" s="1" customFormat="1" ht="36" x14ac:dyDescent="0.45">
      <c r="A138" s="5">
        <v>137</v>
      </c>
      <c r="B138" s="1" t="s">
        <v>10163</v>
      </c>
      <c r="C138" s="6"/>
      <c r="J138" s="1" t="s">
        <v>7557</v>
      </c>
      <c r="K138" s="2" t="s">
        <v>10164</v>
      </c>
      <c r="P138" s="7" t="s">
        <v>1241</v>
      </c>
      <c r="Q138"/>
      <c r="R138"/>
      <c r="S138"/>
      <c r="T138"/>
      <c r="U138"/>
      <c r="V138"/>
      <c r="W138"/>
      <c r="X138"/>
      <c r="Y138"/>
      <c r="Z138"/>
      <c r="AA138"/>
      <c r="AB138"/>
      <c r="AC138"/>
      <c r="AD138"/>
      <c r="AE138"/>
      <c r="AF138"/>
      <c r="AG138"/>
      <c r="AH138"/>
      <c r="AI138"/>
      <c r="AJ138"/>
      <c r="AK138"/>
      <c r="AL138"/>
      <c r="AM138"/>
      <c r="AN138"/>
      <c r="AO138"/>
      <c r="AP138"/>
      <c r="AQ138"/>
      <c r="AR138"/>
      <c r="AS138"/>
      <c r="AT138"/>
      <c r="AU138"/>
      <c r="AV138" s="1" t="s">
        <v>38</v>
      </c>
      <c r="BG138" s="7" t="s">
        <v>1242</v>
      </c>
    </row>
    <row r="139" spans="1:59" s="1" customFormat="1" ht="162" x14ac:dyDescent="0.45">
      <c r="A139" s="5">
        <v>138</v>
      </c>
      <c r="B139" s="1" t="s">
        <v>10165</v>
      </c>
      <c r="C139" s="6"/>
      <c r="J139" s="1" t="s">
        <v>7557</v>
      </c>
      <c r="K139" s="2" t="s">
        <v>10166</v>
      </c>
      <c r="P139" s="7" t="s">
        <v>1241</v>
      </c>
      <c r="Q139"/>
      <c r="R139"/>
      <c r="S139"/>
      <c r="T139"/>
      <c r="U139"/>
      <c r="V139"/>
      <c r="W139"/>
      <c r="X139"/>
      <c r="Y139"/>
      <c r="Z139"/>
      <c r="AA139"/>
      <c r="AB139"/>
      <c r="AC139"/>
      <c r="AD139"/>
      <c r="AE139"/>
      <c r="AF139"/>
      <c r="AG139"/>
      <c r="AH139"/>
      <c r="AI139"/>
      <c r="AJ139"/>
      <c r="AK139"/>
      <c r="AL139"/>
      <c r="AM139"/>
      <c r="AN139"/>
      <c r="AO139"/>
      <c r="AP139"/>
      <c r="AQ139"/>
      <c r="AR139"/>
      <c r="AS139"/>
      <c r="AT139"/>
      <c r="AU139"/>
      <c r="AV139" s="1" t="s">
        <v>38</v>
      </c>
      <c r="BG139" s="7" t="s">
        <v>1242</v>
      </c>
    </row>
    <row r="140" spans="1:59" s="1" customFormat="1" ht="162" x14ac:dyDescent="0.45">
      <c r="A140" s="5">
        <v>139</v>
      </c>
      <c r="B140" s="1" t="s">
        <v>10167</v>
      </c>
      <c r="C140" s="6"/>
      <c r="J140" s="1" t="s">
        <v>7557</v>
      </c>
      <c r="K140" s="11" t="s">
        <v>11750</v>
      </c>
      <c r="P140" s="7" t="s">
        <v>1241</v>
      </c>
      <c r="Q140"/>
      <c r="R140"/>
      <c r="S140"/>
      <c r="T140"/>
      <c r="U140"/>
      <c r="V140"/>
      <c r="W140"/>
      <c r="X140"/>
      <c r="Y140"/>
      <c r="Z140"/>
      <c r="AA140"/>
      <c r="AB140"/>
      <c r="AC140"/>
      <c r="AD140"/>
      <c r="AE140"/>
      <c r="AF140"/>
      <c r="AG140"/>
      <c r="AH140"/>
      <c r="AI140"/>
      <c r="AJ140"/>
      <c r="AK140"/>
      <c r="AL140"/>
      <c r="AM140"/>
      <c r="AN140"/>
      <c r="AO140"/>
      <c r="AP140"/>
      <c r="AQ140"/>
      <c r="AR140"/>
      <c r="AS140"/>
      <c r="AT140"/>
      <c r="AU140"/>
      <c r="AV140" s="1" t="s">
        <v>38</v>
      </c>
      <c r="BG140" s="7" t="s">
        <v>1242</v>
      </c>
    </row>
    <row r="141" spans="1:59" s="1" customFormat="1" ht="72" x14ac:dyDescent="0.45">
      <c r="A141" s="5">
        <v>140</v>
      </c>
      <c r="B141" s="1" t="s">
        <v>10168</v>
      </c>
      <c r="C141" s="6"/>
      <c r="J141" s="1" t="s">
        <v>7557</v>
      </c>
      <c r="K141" s="11" t="s">
        <v>11751</v>
      </c>
      <c r="P141" s="7" t="s">
        <v>1241</v>
      </c>
      <c r="Q141"/>
      <c r="R141"/>
      <c r="S141"/>
      <c r="T141"/>
      <c r="U141"/>
      <c r="V141"/>
      <c r="W141"/>
      <c r="X141"/>
      <c r="Y141"/>
      <c r="Z141"/>
      <c r="AA141"/>
      <c r="AB141"/>
      <c r="AC141"/>
      <c r="AD141"/>
      <c r="AE141"/>
      <c r="AF141"/>
      <c r="AG141"/>
      <c r="AH141"/>
      <c r="AI141"/>
      <c r="AJ141"/>
      <c r="AK141"/>
      <c r="AL141"/>
      <c r="AM141"/>
      <c r="AN141"/>
      <c r="AO141"/>
      <c r="AP141"/>
      <c r="AQ141"/>
      <c r="AR141"/>
      <c r="AS141"/>
      <c r="AT141"/>
      <c r="AU141"/>
      <c r="AV141" s="1" t="s">
        <v>38</v>
      </c>
      <c r="BG141" s="7" t="s">
        <v>1242</v>
      </c>
    </row>
    <row r="142" spans="1:59" s="1" customFormat="1" ht="108" x14ac:dyDescent="0.45">
      <c r="A142" s="5">
        <v>141</v>
      </c>
      <c r="B142" s="1" t="s">
        <v>10169</v>
      </c>
      <c r="C142" s="6"/>
      <c r="J142" s="1" t="s">
        <v>7557</v>
      </c>
      <c r="K142" s="2" t="s">
        <v>10170</v>
      </c>
      <c r="P142" s="7" t="s">
        <v>1241</v>
      </c>
      <c r="Q142"/>
      <c r="R142"/>
      <c r="S142"/>
      <c r="T142"/>
      <c r="U142"/>
      <c r="V142"/>
      <c r="W142"/>
      <c r="X142"/>
      <c r="Y142"/>
      <c r="Z142"/>
      <c r="AA142"/>
      <c r="AB142"/>
      <c r="AC142"/>
      <c r="AD142"/>
      <c r="AE142"/>
      <c r="AF142"/>
      <c r="AG142"/>
      <c r="AH142"/>
      <c r="AI142"/>
      <c r="AJ142"/>
      <c r="AK142"/>
      <c r="AL142"/>
      <c r="AM142"/>
      <c r="AN142"/>
      <c r="AO142"/>
      <c r="AP142"/>
      <c r="AQ142"/>
      <c r="AR142"/>
      <c r="AS142"/>
      <c r="AT142"/>
      <c r="AU142"/>
      <c r="AV142" s="1" t="s">
        <v>38</v>
      </c>
      <c r="BG142" s="7" t="s">
        <v>1242</v>
      </c>
    </row>
    <row r="143" spans="1:59" s="1" customFormat="1" ht="270" x14ac:dyDescent="0.45">
      <c r="A143" s="5">
        <v>142</v>
      </c>
      <c r="B143" s="1" t="s">
        <v>10171</v>
      </c>
      <c r="C143" s="6"/>
      <c r="J143" s="1" t="s">
        <v>7557</v>
      </c>
      <c r="K143" s="2" t="s">
        <v>10263</v>
      </c>
      <c r="P143" s="7" t="s">
        <v>1241</v>
      </c>
      <c r="Q143"/>
      <c r="R143"/>
      <c r="S143"/>
      <c r="T143"/>
      <c r="U143"/>
      <c r="V143"/>
      <c r="W143"/>
      <c r="X143"/>
      <c r="Y143"/>
      <c r="Z143"/>
      <c r="AA143"/>
      <c r="AB143"/>
      <c r="AC143"/>
      <c r="AD143"/>
      <c r="AE143"/>
      <c r="AF143"/>
      <c r="AG143"/>
      <c r="AH143"/>
      <c r="AI143"/>
      <c r="AJ143"/>
      <c r="AK143"/>
      <c r="AL143"/>
      <c r="AM143"/>
      <c r="AN143"/>
      <c r="AO143"/>
      <c r="AP143"/>
      <c r="AQ143"/>
      <c r="AR143"/>
      <c r="AS143"/>
      <c r="AT143"/>
      <c r="AU143"/>
      <c r="AV143" s="1" t="s">
        <v>38</v>
      </c>
      <c r="BG143" s="7" t="s">
        <v>1242</v>
      </c>
    </row>
    <row r="144" spans="1:59" s="1" customFormat="1" ht="36" x14ac:dyDescent="0.45">
      <c r="A144" s="5">
        <v>143</v>
      </c>
      <c r="B144" s="1" t="s">
        <v>10172</v>
      </c>
      <c r="C144" s="6"/>
      <c r="J144" s="1" t="s">
        <v>7557</v>
      </c>
      <c r="K144" s="2" t="s">
        <v>10173</v>
      </c>
      <c r="P144" s="7" t="s">
        <v>1241</v>
      </c>
      <c r="Q144"/>
      <c r="R144"/>
      <c r="S144"/>
      <c r="T144"/>
      <c r="U144"/>
      <c r="V144"/>
      <c r="W144"/>
      <c r="X144"/>
      <c r="Y144"/>
      <c r="Z144"/>
      <c r="AA144"/>
      <c r="AB144"/>
      <c r="AC144"/>
      <c r="AD144"/>
      <c r="AE144"/>
      <c r="AF144"/>
      <c r="AG144"/>
      <c r="AH144"/>
      <c r="AI144"/>
      <c r="AJ144"/>
      <c r="AK144"/>
      <c r="AL144"/>
      <c r="AM144"/>
      <c r="AN144"/>
      <c r="AO144"/>
      <c r="AP144"/>
      <c r="AQ144"/>
      <c r="AR144"/>
      <c r="AS144"/>
      <c r="AT144"/>
      <c r="AU144"/>
      <c r="AV144" s="1" t="s">
        <v>38</v>
      </c>
      <c r="BG144" s="7" t="s">
        <v>1242</v>
      </c>
    </row>
    <row r="145" spans="1:59" s="1" customFormat="1" ht="54" x14ac:dyDescent="0.45">
      <c r="A145" s="5">
        <v>144</v>
      </c>
      <c r="B145" s="1" t="s">
        <v>10174</v>
      </c>
      <c r="C145" s="6"/>
      <c r="J145" s="1" t="s">
        <v>7557</v>
      </c>
      <c r="K145" s="2" t="s">
        <v>10175</v>
      </c>
      <c r="P145" s="7" t="s">
        <v>1241</v>
      </c>
      <c r="Q145"/>
      <c r="R145"/>
      <c r="S145"/>
      <c r="T145"/>
      <c r="U145"/>
      <c r="V145"/>
      <c r="W145"/>
      <c r="X145"/>
      <c r="Y145"/>
      <c r="Z145"/>
      <c r="AA145"/>
      <c r="AB145"/>
      <c r="AC145"/>
      <c r="AD145"/>
      <c r="AE145"/>
      <c r="AF145"/>
      <c r="AG145"/>
      <c r="AH145"/>
      <c r="AI145"/>
      <c r="AJ145"/>
      <c r="AK145"/>
      <c r="AL145"/>
      <c r="AM145"/>
      <c r="AN145"/>
      <c r="AO145"/>
      <c r="AP145"/>
      <c r="AQ145"/>
      <c r="AR145"/>
      <c r="AS145"/>
      <c r="AT145"/>
      <c r="AU145"/>
      <c r="AV145" s="1" t="s">
        <v>38</v>
      </c>
      <c r="BG145" s="7" t="s">
        <v>1242</v>
      </c>
    </row>
    <row r="146" spans="1:59" s="1" customFormat="1" ht="54" x14ac:dyDescent="0.45">
      <c r="A146" s="5">
        <v>145</v>
      </c>
      <c r="B146" s="1" t="s">
        <v>10809</v>
      </c>
      <c r="C146" s="6"/>
      <c r="J146" s="1" t="s">
        <v>7557</v>
      </c>
      <c r="K146" s="2" t="s">
        <v>10176</v>
      </c>
      <c r="P146" s="7" t="s">
        <v>1241</v>
      </c>
      <c r="Q146"/>
      <c r="R146"/>
      <c r="S146"/>
      <c r="T146"/>
      <c r="U146"/>
      <c r="V146"/>
      <c r="W146"/>
      <c r="X146"/>
      <c r="Y146"/>
      <c r="Z146"/>
      <c r="AA146"/>
      <c r="AB146"/>
      <c r="AC146"/>
      <c r="AD146"/>
      <c r="AE146"/>
      <c r="AF146"/>
      <c r="AG146"/>
      <c r="AH146"/>
      <c r="AI146"/>
      <c r="AJ146"/>
      <c r="AK146"/>
      <c r="AL146"/>
      <c r="AM146"/>
      <c r="AN146"/>
      <c r="AO146"/>
      <c r="AP146"/>
      <c r="AQ146"/>
      <c r="AR146"/>
      <c r="AS146"/>
      <c r="AT146"/>
      <c r="AU146"/>
      <c r="AV146" s="1" t="s">
        <v>38</v>
      </c>
      <c r="BG146" s="7" t="s">
        <v>1242</v>
      </c>
    </row>
    <row r="147" spans="1:59" s="1" customFormat="1" ht="144" x14ac:dyDescent="0.45">
      <c r="A147" s="5">
        <v>146</v>
      </c>
      <c r="B147" s="1" t="s">
        <v>10177</v>
      </c>
      <c r="C147" s="6"/>
      <c r="J147" s="1" t="s">
        <v>7557</v>
      </c>
      <c r="K147" s="2" t="s">
        <v>10264</v>
      </c>
      <c r="P147" s="7" t="s">
        <v>1241</v>
      </c>
      <c r="Q147"/>
      <c r="R147"/>
      <c r="S147"/>
      <c r="T147"/>
      <c r="U147"/>
      <c r="V147"/>
      <c r="W147"/>
      <c r="X147"/>
      <c r="Y147"/>
      <c r="Z147"/>
      <c r="AA147"/>
      <c r="AB147"/>
      <c r="AC147"/>
      <c r="AD147"/>
      <c r="AE147"/>
      <c r="AF147"/>
      <c r="AG147"/>
      <c r="AH147"/>
      <c r="AI147"/>
      <c r="AJ147"/>
      <c r="AK147"/>
      <c r="AL147"/>
      <c r="AM147"/>
      <c r="AN147"/>
      <c r="AO147"/>
      <c r="AP147"/>
      <c r="AQ147"/>
      <c r="AR147"/>
      <c r="AS147"/>
      <c r="AT147"/>
      <c r="AU147"/>
      <c r="AV147" s="1" t="s">
        <v>38</v>
      </c>
      <c r="BG147" s="7" t="s">
        <v>1242</v>
      </c>
    </row>
    <row r="148" spans="1:59" s="1" customFormat="1" ht="144" x14ac:dyDescent="0.45">
      <c r="A148" s="5">
        <v>147</v>
      </c>
      <c r="B148" s="1" t="s">
        <v>10178</v>
      </c>
      <c r="C148" s="6"/>
      <c r="J148" s="1" t="s">
        <v>7557</v>
      </c>
      <c r="K148" s="2" t="s">
        <v>10265</v>
      </c>
      <c r="P148" s="7" t="s">
        <v>1241</v>
      </c>
      <c r="Q148"/>
      <c r="R148"/>
      <c r="S148"/>
      <c r="T148"/>
      <c r="U148"/>
      <c r="V148"/>
      <c r="W148"/>
      <c r="X148"/>
      <c r="Y148"/>
      <c r="Z148"/>
      <c r="AA148"/>
      <c r="AB148"/>
      <c r="AC148"/>
      <c r="AD148"/>
      <c r="AE148"/>
      <c r="AF148"/>
      <c r="AG148"/>
      <c r="AH148"/>
      <c r="AI148"/>
      <c r="AJ148"/>
      <c r="AK148"/>
      <c r="AL148"/>
      <c r="AM148"/>
      <c r="AN148"/>
      <c r="AO148"/>
      <c r="AP148"/>
      <c r="AQ148"/>
      <c r="AR148"/>
      <c r="AS148"/>
      <c r="AT148"/>
      <c r="AU148"/>
      <c r="AV148" s="1" t="s">
        <v>38</v>
      </c>
      <c r="BG148" s="7" t="s">
        <v>1242</v>
      </c>
    </row>
    <row r="149" spans="1:59" s="1" customFormat="1" ht="36" x14ac:dyDescent="0.45">
      <c r="A149" s="5">
        <v>148</v>
      </c>
      <c r="B149" s="1" t="s">
        <v>10179</v>
      </c>
      <c r="C149" s="6"/>
      <c r="J149" s="1" t="s">
        <v>7557</v>
      </c>
      <c r="K149" s="2" t="s">
        <v>10180</v>
      </c>
      <c r="P149" s="7" t="s">
        <v>1241</v>
      </c>
      <c r="Q149"/>
      <c r="R149"/>
      <c r="S149"/>
      <c r="T149"/>
      <c r="U149"/>
      <c r="V149"/>
      <c r="W149"/>
      <c r="X149"/>
      <c r="Y149"/>
      <c r="Z149"/>
      <c r="AA149"/>
      <c r="AB149"/>
      <c r="AC149"/>
      <c r="AD149"/>
      <c r="AE149"/>
      <c r="AF149"/>
      <c r="AG149"/>
      <c r="AH149"/>
      <c r="AI149"/>
      <c r="AJ149"/>
      <c r="AK149"/>
      <c r="AL149"/>
      <c r="AM149"/>
      <c r="AN149"/>
      <c r="AO149"/>
      <c r="AP149"/>
      <c r="AQ149"/>
      <c r="AR149"/>
      <c r="AS149"/>
      <c r="AT149"/>
      <c r="AU149"/>
      <c r="AV149" s="1" t="s">
        <v>38</v>
      </c>
      <c r="BG149" s="7" t="s">
        <v>1242</v>
      </c>
    </row>
    <row r="150" spans="1:59" s="1" customFormat="1" ht="90" x14ac:dyDescent="0.45">
      <c r="A150" s="5">
        <v>149</v>
      </c>
      <c r="B150" s="1" t="s">
        <v>10181</v>
      </c>
      <c r="C150" s="6"/>
      <c r="J150" s="1" t="s">
        <v>7557</v>
      </c>
      <c r="K150" s="2" t="s">
        <v>10182</v>
      </c>
      <c r="P150" s="7" t="s">
        <v>1241</v>
      </c>
      <c r="Q150"/>
      <c r="R150"/>
      <c r="S150"/>
      <c r="T150"/>
      <c r="U150"/>
      <c r="V150"/>
      <c r="W150"/>
      <c r="X150"/>
      <c r="Y150"/>
      <c r="Z150"/>
      <c r="AA150"/>
      <c r="AB150"/>
      <c r="AC150"/>
      <c r="AD150"/>
      <c r="AE150"/>
      <c r="AF150"/>
      <c r="AG150"/>
      <c r="AH150"/>
      <c r="AI150"/>
      <c r="AJ150"/>
      <c r="AK150"/>
      <c r="AL150"/>
      <c r="AM150"/>
      <c r="AN150"/>
      <c r="AO150"/>
      <c r="AP150"/>
      <c r="AQ150"/>
      <c r="AR150"/>
      <c r="AS150"/>
      <c r="AT150"/>
      <c r="AU150"/>
      <c r="AV150" s="1" t="s">
        <v>38</v>
      </c>
      <c r="BG150" s="7" t="s">
        <v>1242</v>
      </c>
    </row>
    <row r="151" spans="1:59" s="1" customFormat="1" ht="36" x14ac:dyDescent="0.45">
      <c r="A151" s="5">
        <v>150</v>
      </c>
      <c r="B151" s="1" t="s">
        <v>10183</v>
      </c>
      <c r="C151" s="6"/>
      <c r="J151" s="1" t="s">
        <v>7557</v>
      </c>
      <c r="K151" s="2" t="s">
        <v>10184</v>
      </c>
      <c r="P151" s="7" t="s">
        <v>1241</v>
      </c>
      <c r="Q151"/>
      <c r="R151"/>
      <c r="S151"/>
      <c r="T151"/>
      <c r="U151"/>
      <c r="V151"/>
      <c r="W151"/>
      <c r="X151"/>
      <c r="Y151"/>
      <c r="Z151"/>
      <c r="AA151"/>
      <c r="AB151"/>
      <c r="AC151"/>
      <c r="AD151"/>
      <c r="AE151"/>
      <c r="AF151"/>
      <c r="AG151"/>
      <c r="AH151"/>
      <c r="AI151"/>
      <c r="AJ151"/>
      <c r="AK151"/>
      <c r="AL151"/>
      <c r="AM151"/>
      <c r="AN151"/>
      <c r="AO151"/>
      <c r="AP151"/>
      <c r="AQ151"/>
      <c r="AR151"/>
      <c r="AS151"/>
      <c r="AT151"/>
      <c r="AU151"/>
      <c r="AV151" s="1" t="s">
        <v>38</v>
      </c>
      <c r="BG151" s="7" t="s">
        <v>1242</v>
      </c>
    </row>
    <row r="152" spans="1:59" s="1" customFormat="1" ht="90" x14ac:dyDescent="0.45">
      <c r="A152" s="5">
        <v>151</v>
      </c>
      <c r="B152" s="1" t="s">
        <v>10185</v>
      </c>
      <c r="C152" s="6"/>
      <c r="J152" s="1" t="s">
        <v>7557</v>
      </c>
      <c r="K152" s="2" t="s">
        <v>10186</v>
      </c>
      <c r="P152" s="7" t="s">
        <v>1241</v>
      </c>
      <c r="Q152"/>
      <c r="R152"/>
      <c r="S152"/>
      <c r="T152"/>
      <c r="U152"/>
      <c r="V152"/>
      <c r="W152"/>
      <c r="X152"/>
      <c r="Y152"/>
      <c r="Z152"/>
      <c r="AA152"/>
      <c r="AB152"/>
      <c r="AC152"/>
      <c r="AD152"/>
      <c r="AE152"/>
      <c r="AF152"/>
      <c r="AG152"/>
      <c r="AH152"/>
      <c r="AI152"/>
      <c r="AJ152"/>
      <c r="AK152"/>
      <c r="AL152"/>
      <c r="AM152"/>
      <c r="AN152"/>
      <c r="AO152"/>
      <c r="AP152"/>
      <c r="AQ152"/>
      <c r="AR152"/>
      <c r="AS152"/>
      <c r="AT152"/>
      <c r="AU152"/>
      <c r="AV152" s="1" t="s">
        <v>38</v>
      </c>
      <c r="BG152" s="7" t="s">
        <v>1242</v>
      </c>
    </row>
    <row r="153" spans="1:59" s="1" customFormat="1" ht="36" x14ac:dyDescent="0.45">
      <c r="A153" s="5">
        <v>152</v>
      </c>
      <c r="B153" s="1" t="s">
        <v>10187</v>
      </c>
      <c r="C153" s="6"/>
      <c r="J153" s="1" t="s">
        <v>7557</v>
      </c>
      <c r="K153" s="2" t="s">
        <v>10188</v>
      </c>
      <c r="P153" s="7" t="s">
        <v>1241</v>
      </c>
      <c r="Q153"/>
      <c r="R153"/>
      <c r="S153"/>
      <c r="T153"/>
      <c r="U153"/>
      <c r="V153"/>
      <c r="W153"/>
      <c r="X153"/>
      <c r="Y153"/>
      <c r="Z153"/>
      <c r="AA153"/>
      <c r="AB153"/>
      <c r="AC153"/>
      <c r="AD153"/>
      <c r="AE153"/>
      <c r="AF153"/>
      <c r="AG153"/>
      <c r="AH153"/>
      <c r="AI153"/>
      <c r="AJ153"/>
      <c r="AK153"/>
      <c r="AL153"/>
      <c r="AM153"/>
      <c r="AN153"/>
      <c r="AO153"/>
      <c r="AP153"/>
      <c r="AQ153"/>
      <c r="AR153"/>
      <c r="AS153"/>
      <c r="AT153"/>
      <c r="AU153"/>
      <c r="AV153" s="1" t="s">
        <v>38</v>
      </c>
      <c r="BG153" s="7" t="s">
        <v>1242</v>
      </c>
    </row>
    <row r="154" spans="1:59" s="1" customFormat="1" ht="36" x14ac:dyDescent="0.45">
      <c r="A154" s="5">
        <v>153</v>
      </c>
      <c r="B154" s="1" t="s">
        <v>10189</v>
      </c>
      <c r="C154" s="6"/>
      <c r="J154" s="1" t="s">
        <v>7557</v>
      </c>
      <c r="K154" s="2" t="s">
        <v>10190</v>
      </c>
      <c r="P154" s="7" t="s">
        <v>1241</v>
      </c>
      <c r="Q154"/>
      <c r="R154"/>
      <c r="S154"/>
      <c r="T154"/>
      <c r="U154"/>
      <c r="V154"/>
      <c r="W154"/>
      <c r="X154"/>
      <c r="Y154"/>
      <c r="Z154"/>
      <c r="AA154"/>
      <c r="AB154"/>
      <c r="AC154"/>
      <c r="AD154"/>
      <c r="AE154"/>
      <c r="AF154"/>
      <c r="AG154"/>
      <c r="AH154"/>
      <c r="AI154"/>
      <c r="AJ154"/>
      <c r="AK154"/>
      <c r="AL154"/>
      <c r="AM154"/>
      <c r="AN154"/>
      <c r="AO154"/>
      <c r="AP154"/>
      <c r="AQ154"/>
      <c r="AR154"/>
      <c r="AS154"/>
      <c r="AT154"/>
      <c r="AU154"/>
      <c r="AV154" s="1" t="s">
        <v>38</v>
      </c>
      <c r="BG154" s="7" t="s">
        <v>1242</v>
      </c>
    </row>
    <row r="155" spans="1:59" s="1" customFormat="1" ht="108" x14ac:dyDescent="0.45">
      <c r="A155" s="5">
        <v>154</v>
      </c>
      <c r="B155" s="1" t="s">
        <v>10191</v>
      </c>
      <c r="C155" s="6"/>
      <c r="J155" s="1" t="s">
        <v>7557</v>
      </c>
      <c r="K155" s="2" t="s">
        <v>10192</v>
      </c>
      <c r="P155" s="7" t="s">
        <v>1241</v>
      </c>
      <c r="Q155"/>
      <c r="R155"/>
      <c r="S155"/>
      <c r="T155"/>
      <c r="U155"/>
      <c r="V155"/>
      <c r="W155"/>
      <c r="X155"/>
      <c r="Y155"/>
      <c r="Z155"/>
      <c r="AA155"/>
      <c r="AB155"/>
      <c r="AC155"/>
      <c r="AD155"/>
      <c r="AE155"/>
      <c r="AF155"/>
      <c r="AG155"/>
      <c r="AH155"/>
      <c r="AI155"/>
      <c r="AJ155"/>
      <c r="AK155"/>
      <c r="AL155"/>
      <c r="AM155"/>
      <c r="AN155"/>
      <c r="AO155"/>
      <c r="AP155"/>
      <c r="AQ155"/>
      <c r="AR155"/>
      <c r="AS155"/>
      <c r="AT155"/>
      <c r="AU155"/>
      <c r="AV155" s="1" t="s">
        <v>38</v>
      </c>
      <c r="BG155" s="7" t="s">
        <v>1242</v>
      </c>
    </row>
    <row r="156" spans="1:59" s="1" customFormat="1" ht="126" x14ac:dyDescent="0.45">
      <c r="A156" s="5">
        <v>155</v>
      </c>
      <c r="B156" s="1" t="s">
        <v>10193</v>
      </c>
      <c r="C156" s="6"/>
      <c r="J156" s="1" t="s">
        <v>7557</v>
      </c>
      <c r="K156" s="2" t="s">
        <v>10194</v>
      </c>
      <c r="P156" s="7" t="s">
        <v>1241</v>
      </c>
      <c r="Q156"/>
      <c r="R156"/>
      <c r="S156"/>
      <c r="T156"/>
      <c r="U156"/>
      <c r="V156"/>
      <c r="W156"/>
      <c r="X156"/>
      <c r="Y156"/>
      <c r="Z156"/>
      <c r="AA156"/>
      <c r="AB156"/>
      <c r="AC156"/>
      <c r="AD156"/>
      <c r="AE156"/>
      <c r="AF156"/>
      <c r="AG156"/>
      <c r="AH156"/>
      <c r="AI156"/>
      <c r="AJ156"/>
      <c r="AK156"/>
      <c r="AL156"/>
      <c r="AM156"/>
      <c r="AN156"/>
      <c r="AO156"/>
      <c r="AP156"/>
      <c r="AQ156"/>
      <c r="AR156"/>
      <c r="AS156"/>
      <c r="AT156"/>
      <c r="AU156"/>
      <c r="AV156" s="1" t="s">
        <v>38</v>
      </c>
      <c r="BG156" s="7" t="s">
        <v>1242</v>
      </c>
    </row>
    <row r="157" spans="1:59" s="1" customFormat="1" ht="54" x14ac:dyDescent="0.45">
      <c r="A157" s="5">
        <v>156</v>
      </c>
      <c r="B157" s="1" t="s">
        <v>10195</v>
      </c>
      <c r="C157" s="6"/>
      <c r="J157" s="1" t="s">
        <v>7557</v>
      </c>
      <c r="K157" s="2" t="s">
        <v>10196</v>
      </c>
      <c r="P157" s="7" t="s">
        <v>1241</v>
      </c>
      <c r="Q157"/>
      <c r="R157"/>
      <c r="S157"/>
      <c r="T157"/>
      <c r="U157"/>
      <c r="V157"/>
      <c r="W157"/>
      <c r="X157"/>
      <c r="Y157"/>
      <c r="Z157"/>
      <c r="AA157"/>
      <c r="AB157"/>
      <c r="AC157"/>
      <c r="AD157"/>
      <c r="AE157"/>
      <c r="AF157"/>
      <c r="AG157"/>
      <c r="AH157"/>
      <c r="AI157"/>
      <c r="AJ157"/>
      <c r="AK157"/>
      <c r="AL157"/>
      <c r="AM157"/>
      <c r="AN157"/>
      <c r="AO157"/>
      <c r="AP157"/>
      <c r="AQ157"/>
      <c r="AR157"/>
      <c r="AS157"/>
      <c r="AT157"/>
      <c r="AU157"/>
      <c r="AV157" s="1" t="s">
        <v>38</v>
      </c>
      <c r="BG157" s="7" t="s">
        <v>1242</v>
      </c>
    </row>
    <row r="158" spans="1:59" s="1" customFormat="1" ht="72" x14ac:dyDescent="0.45">
      <c r="A158" s="5">
        <v>157</v>
      </c>
      <c r="B158" s="1" t="s">
        <v>10197</v>
      </c>
      <c r="C158" s="6"/>
      <c r="J158" s="1" t="s">
        <v>7557</v>
      </c>
      <c r="K158" s="2" t="s">
        <v>10198</v>
      </c>
      <c r="P158" s="7" t="s">
        <v>1241</v>
      </c>
      <c r="Q158"/>
      <c r="R158"/>
      <c r="S158"/>
      <c r="T158"/>
      <c r="U158"/>
      <c r="V158"/>
      <c r="W158"/>
      <c r="X158"/>
      <c r="Y158"/>
      <c r="Z158"/>
      <c r="AA158"/>
      <c r="AB158"/>
      <c r="AC158"/>
      <c r="AD158"/>
      <c r="AE158"/>
      <c r="AF158"/>
      <c r="AG158"/>
      <c r="AH158"/>
      <c r="AI158"/>
      <c r="AJ158"/>
      <c r="AK158"/>
      <c r="AL158"/>
      <c r="AM158"/>
      <c r="AN158"/>
      <c r="AO158"/>
      <c r="AP158"/>
      <c r="AQ158"/>
      <c r="AR158"/>
      <c r="AS158"/>
      <c r="AT158"/>
      <c r="AU158"/>
      <c r="AV158" s="1" t="s">
        <v>38</v>
      </c>
      <c r="BG158" s="7" t="s">
        <v>1242</v>
      </c>
    </row>
    <row r="159" spans="1:59" s="1" customFormat="1" ht="162" x14ac:dyDescent="0.45">
      <c r="A159" s="5">
        <v>158</v>
      </c>
      <c r="B159" s="1" t="s">
        <v>10199</v>
      </c>
      <c r="C159" s="6"/>
      <c r="J159" s="1" t="s">
        <v>7557</v>
      </c>
      <c r="K159" s="2" t="s">
        <v>10200</v>
      </c>
      <c r="P159" s="7" t="s">
        <v>1241</v>
      </c>
      <c r="Q159"/>
      <c r="R159"/>
      <c r="S159"/>
      <c r="T159"/>
      <c r="U159"/>
      <c r="V159"/>
      <c r="W159"/>
      <c r="X159"/>
      <c r="Y159"/>
      <c r="Z159"/>
      <c r="AA159"/>
      <c r="AB159"/>
      <c r="AC159"/>
      <c r="AD159"/>
      <c r="AE159"/>
      <c r="AF159"/>
      <c r="AG159"/>
      <c r="AH159"/>
      <c r="AI159"/>
      <c r="AJ159"/>
      <c r="AK159"/>
      <c r="AL159"/>
      <c r="AM159"/>
      <c r="AN159"/>
      <c r="AO159"/>
      <c r="AP159"/>
      <c r="AQ159"/>
      <c r="AR159"/>
      <c r="AS159"/>
      <c r="AT159"/>
      <c r="AU159"/>
      <c r="AV159" s="1" t="s">
        <v>38</v>
      </c>
      <c r="BG159" s="7" t="s">
        <v>1242</v>
      </c>
    </row>
    <row r="160" spans="1:59" s="1" customFormat="1" ht="90" x14ac:dyDescent="0.45">
      <c r="A160" s="5">
        <v>159</v>
      </c>
      <c r="B160" s="1" t="s">
        <v>10201</v>
      </c>
      <c r="C160" s="6"/>
      <c r="J160" s="1" t="s">
        <v>7557</v>
      </c>
      <c r="K160" s="2" t="s">
        <v>10202</v>
      </c>
      <c r="P160" s="7" t="s">
        <v>1241</v>
      </c>
      <c r="Q160"/>
      <c r="R160"/>
      <c r="S160"/>
      <c r="T160"/>
      <c r="U160"/>
      <c r="V160"/>
      <c r="W160"/>
      <c r="X160"/>
      <c r="Y160"/>
      <c r="Z160"/>
      <c r="AA160"/>
      <c r="AB160"/>
      <c r="AC160"/>
      <c r="AD160"/>
      <c r="AE160"/>
      <c r="AF160"/>
      <c r="AG160"/>
      <c r="AH160"/>
      <c r="AI160"/>
      <c r="AJ160"/>
      <c r="AK160"/>
      <c r="AL160"/>
      <c r="AM160"/>
      <c r="AN160"/>
      <c r="AO160"/>
      <c r="AP160"/>
      <c r="AQ160"/>
      <c r="AR160"/>
      <c r="AS160"/>
      <c r="AT160"/>
      <c r="AU160"/>
      <c r="AV160" s="1" t="s">
        <v>38</v>
      </c>
      <c r="BG160" s="7" t="s">
        <v>1242</v>
      </c>
    </row>
    <row r="161" spans="1:59" s="1" customFormat="1" ht="72" x14ac:dyDescent="0.45">
      <c r="A161" s="5">
        <v>160</v>
      </c>
      <c r="B161" s="1" t="s">
        <v>10203</v>
      </c>
      <c r="C161" s="6"/>
      <c r="J161" s="1" t="s">
        <v>7557</v>
      </c>
      <c r="K161" s="2" t="s">
        <v>10204</v>
      </c>
      <c r="P161" s="7" t="s">
        <v>1241</v>
      </c>
      <c r="Q161"/>
      <c r="R161"/>
      <c r="S161"/>
      <c r="T161"/>
      <c r="U161"/>
      <c r="V161"/>
      <c r="W161"/>
      <c r="X161"/>
      <c r="Y161"/>
      <c r="Z161"/>
      <c r="AA161"/>
      <c r="AB161"/>
      <c r="AC161"/>
      <c r="AD161"/>
      <c r="AE161"/>
      <c r="AF161"/>
      <c r="AG161"/>
      <c r="AH161"/>
      <c r="AI161"/>
      <c r="AJ161"/>
      <c r="AK161"/>
      <c r="AL161"/>
      <c r="AM161"/>
      <c r="AN161"/>
      <c r="AO161"/>
      <c r="AP161"/>
      <c r="AQ161"/>
      <c r="AR161"/>
      <c r="AS161"/>
      <c r="AT161"/>
      <c r="AU161"/>
      <c r="AV161" s="1" t="s">
        <v>38</v>
      </c>
      <c r="BG161" s="7" t="s">
        <v>1242</v>
      </c>
    </row>
    <row r="162" spans="1:59" s="1" customFormat="1" ht="72" x14ac:dyDescent="0.45">
      <c r="A162" s="5">
        <v>161</v>
      </c>
      <c r="B162" s="1" t="s">
        <v>10205</v>
      </c>
      <c r="C162" s="6"/>
      <c r="J162" s="1" t="s">
        <v>7557</v>
      </c>
      <c r="K162" s="11" t="s">
        <v>11752</v>
      </c>
      <c r="P162" s="7" t="s">
        <v>1241</v>
      </c>
      <c r="Q162"/>
      <c r="R162"/>
      <c r="S162"/>
      <c r="T162"/>
      <c r="U162"/>
      <c r="V162"/>
      <c r="W162"/>
      <c r="X162"/>
      <c r="Y162"/>
      <c r="Z162"/>
      <c r="AA162"/>
      <c r="AB162"/>
      <c r="AC162"/>
      <c r="AD162"/>
      <c r="AE162"/>
      <c r="AF162"/>
      <c r="AG162"/>
      <c r="AH162"/>
      <c r="AI162"/>
      <c r="AJ162"/>
      <c r="AK162"/>
      <c r="AL162"/>
      <c r="AM162"/>
      <c r="AN162"/>
      <c r="AO162"/>
      <c r="AP162"/>
      <c r="AQ162"/>
      <c r="AR162"/>
      <c r="AS162"/>
      <c r="AT162"/>
      <c r="AU162"/>
      <c r="AV162" s="1" t="s">
        <v>38</v>
      </c>
      <c r="BG162" s="7" t="s">
        <v>1242</v>
      </c>
    </row>
    <row r="163" spans="1:59" s="1" customFormat="1" ht="36" x14ac:dyDescent="0.45">
      <c r="A163" s="5">
        <v>162</v>
      </c>
      <c r="B163" s="1" t="s">
        <v>10206</v>
      </c>
      <c r="C163" s="6"/>
      <c r="J163" s="1" t="s">
        <v>7557</v>
      </c>
      <c r="K163" s="2" t="s">
        <v>10207</v>
      </c>
      <c r="P163" s="7" t="s">
        <v>1241</v>
      </c>
      <c r="Q163"/>
      <c r="R163"/>
      <c r="S163"/>
      <c r="T163"/>
      <c r="U163"/>
      <c r="V163"/>
      <c r="W163"/>
      <c r="X163"/>
      <c r="Y163"/>
      <c r="Z163"/>
      <c r="AA163"/>
      <c r="AB163"/>
      <c r="AC163"/>
      <c r="AD163"/>
      <c r="AE163"/>
      <c r="AF163"/>
      <c r="AG163"/>
      <c r="AH163"/>
      <c r="AI163"/>
      <c r="AJ163"/>
      <c r="AK163"/>
      <c r="AL163"/>
      <c r="AM163"/>
      <c r="AN163"/>
      <c r="AO163"/>
      <c r="AP163"/>
      <c r="AQ163"/>
      <c r="AR163"/>
      <c r="AS163"/>
      <c r="AT163"/>
      <c r="AU163"/>
      <c r="AV163" s="1" t="s">
        <v>38</v>
      </c>
      <c r="BG163" s="7" t="s">
        <v>1242</v>
      </c>
    </row>
    <row r="164" spans="1:59" s="1" customFormat="1" ht="126" x14ac:dyDescent="0.45">
      <c r="A164" s="5">
        <v>163</v>
      </c>
      <c r="B164" s="1" t="s">
        <v>10208</v>
      </c>
      <c r="C164" s="6"/>
      <c r="J164" s="1" t="s">
        <v>7557</v>
      </c>
      <c r="K164" s="2" t="s">
        <v>10209</v>
      </c>
      <c r="P164" s="7" t="s">
        <v>1241</v>
      </c>
      <c r="Q164"/>
      <c r="R164"/>
      <c r="S164"/>
      <c r="T164"/>
      <c r="U164"/>
      <c r="V164"/>
      <c r="W164"/>
      <c r="X164"/>
      <c r="Y164"/>
      <c r="Z164"/>
      <c r="AA164"/>
      <c r="AB164"/>
      <c r="AC164"/>
      <c r="AD164"/>
      <c r="AE164"/>
      <c r="AF164"/>
      <c r="AG164"/>
      <c r="AH164"/>
      <c r="AI164"/>
      <c r="AJ164"/>
      <c r="AK164"/>
      <c r="AL164"/>
      <c r="AM164"/>
      <c r="AN164"/>
      <c r="AO164"/>
      <c r="AP164"/>
      <c r="AQ164"/>
      <c r="AR164"/>
      <c r="AS164"/>
      <c r="AT164"/>
      <c r="AU164"/>
      <c r="AV164" s="1" t="s">
        <v>38</v>
      </c>
      <c r="BG164" s="7" t="s">
        <v>1242</v>
      </c>
    </row>
    <row r="165" spans="1:59" s="1" customFormat="1" ht="288" x14ac:dyDescent="0.45">
      <c r="A165" s="5">
        <v>164</v>
      </c>
      <c r="B165" s="1" t="s">
        <v>10210</v>
      </c>
      <c r="C165" s="6"/>
      <c r="J165" s="1" t="s">
        <v>7557</v>
      </c>
      <c r="K165" s="11" t="s">
        <v>11753</v>
      </c>
      <c r="P165" s="7" t="s">
        <v>1241</v>
      </c>
      <c r="Q165"/>
      <c r="R165"/>
      <c r="S165"/>
      <c r="T165"/>
      <c r="U165"/>
      <c r="V165"/>
      <c r="W165"/>
      <c r="X165"/>
      <c r="Y165"/>
      <c r="Z165"/>
      <c r="AA165"/>
      <c r="AB165"/>
      <c r="AC165"/>
      <c r="AD165"/>
      <c r="AE165"/>
      <c r="AF165"/>
      <c r="AG165"/>
      <c r="AH165"/>
      <c r="AI165"/>
      <c r="AJ165"/>
      <c r="AK165"/>
      <c r="AL165"/>
      <c r="AM165"/>
      <c r="AN165"/>
      <c r="AO165"/>
      <c r="AP165"/>
      <c r="AQ165"/>
      <c r="AR165"/>
      <c r="AS165"/>
      <c r="AT165"/>
      <c r="AU165"/>
      <c r="AV165" s="1" t="s">
        <v>38</v>
      </c>
      <c r="BG165" s="7" t="s">
        <v>1242</v>
      </c>
    </row>
    <row r="166" spans="1:59" s="1" customFormat="1" ht="216" x14ac:dyDescent="0.45">
      <c r="A166" s="5">
        <v>165</v>
      </c>
      <c r="B166" s="1" t="s">
        <v>10211</v>
      </c>
      <c r="C166" s="6"/>
      <c r="J166" s="1" t="s">
        <v>7557</v>
      </c>
      <c r="K166" s="2" t="s">
        <v>10285</v>
      </c>
      <c r="P166" s="7" t="s">
        <v>1241</v>
      </c>
      <c r="Q166"/>
      <c r="R166"/>
      <c r="S166"/>
      <c r="T166"/>
      <c r="U166"/>
      <c r="V166"/>
      <c r="W166"/>
      <c r="X166"/>
      <c r="Y166"/>
      <c r="Z166"/>
      <c r="AA166"/>
      <c r="AB166"/>
      <c r="AC166"/>
      <c r="AD166"/>
      <c r="AE166"/>
      <c r="AF166"/>
      <c r="AG166"/>
      <c r="AH166"/>
      <c r="AI166"/>
      <c r="AJ166"/>
      <c r="AK166"/>
      <c r="AL166"/>
      <c r="AM166"/>
      <c r="AN166"/>
      <c r="AO166"/>
      <c r="AP166"/>
      <c r="AQ166"/>
      <c r="AR166"/>
      <c r="AS166"/>
      <c r="AT166"/>
      <c r="AU166"/>
      <c r="AV166" s="1" t="s">
        <v>38</v>
      </c>
      <c r="BG166" s="7" t="s">
        <v>1242</v>
      </c>
    </row>
    <row r="167" spans="1:59" s="1" customFormat="1" ht="108" x14ac:dyDescent="0.45">
      <c r="A167" s="5">
        <v>166</v>
      </c>
      <c r="B167" s="1" t="s">
        <v>10212</v>
      </c>
      <c r="C167" s="6"/>
      <c r="J167" s="1" t="s">
        <v>7557</v>
      </c>
      <c r="K167" s="2" t="s">
        <v>10213</v>
      </c>
      <c r="P167" s="7" t="s">
        <v>1241</v>
      </c>
      <c r="Q167"/>
      <c r="R167"/>
      <c r="S167"/>
      <c r="T167"/>
      <c r="U167"/>
      <c r="V167"/>
      <c r="W167"/>
      <c r="X167"/>
      <c r="Y167"/>
      <c r="Z167"/>
      <c r="AA167"/>
      <c r="AB167"/>
      <c r="AC167"/>
      <c r="AD167"/>
      <c r="AE167"/>
      <c r="AF167"/>
      <c r="AG167"/>
      <c r="AH167"/>
      <c r="AI167"/>
      <c r="AJ167"/>
      <c r="AK167"/>
      <c r="AL167"/>
      <c r="AM167"/>
      <c r="AN167"/>
      <c r="AO167"/>
      <c r="AP167"/>
      <c r="AQ167"/>
      <c r="AR167"/>
      <c r="AS167"/>
      <c r="AT167"/>
      <c r="AU167"/>
      <c r="AV167" s="1" t="s">
        <v>38</v>
      </c>
      <c r="BG167" s="7" t="s">
        <v>1242</v>
      </c>
    </row>
    <row r="168" spans="1:59" s="1" customFormat="1" ht="270" x14ac:dyDescent="0.45">
      <c r="A168" s="5">
        <v>167</v>
      </c>
      <c r="B168" s="1" t="s">
        <v>10214</v>
      </c>
      <c r="C168" s="6"/>
      <c r="J168" s="1" t="s">
        <v>7557</v>
      </c>
      <c r="K168" s="2" t="s">
        <v>10286</v>
      </c>
      <c r="P168" s="7" t="s">
        <v>1241</v>
      </c>
      <c r="Q168"/>
      <c r="R168"/>
      <c r="S168"/>
      <c r="T168"/>
      <c r="U168"/>
      <c r="V168"/>
      <c r="W168"/>
      <c r="X168"/>
      <c r="Y168"/>
      <c r="Z168"/>
      <c r="AA168"/>
      <c r="AB168"/>
      <c r="AC168"/>
      <c r="AD168"/>
      <c r="AE168"/>
      <c r="AF168"/>
      <c r="AG168"/>
      <c r="AH168"/>
      <c r="AI168"/>
      <c r="AJ168"/>
      <c r="AK168"/>
      <c r="AL168"/>
      <c r="AM168"/>
      <c r="AN168"/>
      <c r="AO168"/>
      <c r="AP168"/>
      <c r="AQ168"/>
      <c r="AR168"/>
      <c r="AS168"/>
      <c r="AT168"/>
      <c r="AU168"/>
      <c r="AV168" s="1" t="s">
        <v>38</v>
      </c>
      <c r="BG168" s="7" t="s">
        <v>1242</v>
      </c>
    </row>
    <row r="169" spans="1:59" s="1" customFormat="1" ht="90" x14ac:dyDescent="0.45">
      <c r="A169" s="5">
        <v>168</v>
      </c>
      <c r="B169" s="1" t="s">
        <v>10215</v>
      </c>
      <c r="C169" s="6"/>
      <c r="J169" s="1" t="s">
        <v>7557</v>
      </c>
      <c r="K169" s="2" t="s">
        <v>10238</v>
      </c>
      <c r="P169" s="7" t="s">
        <v>1241</v>
      </c>
      <c r="Q169"/>
      <c r="R169"/>
      <c r="S169"/>
      <c r="T169"/>
      <c r="U169"/>
      <c r="V169"/>
      <c r="W169"/>
      <c r="X169"/>
      <c r="Y169"/>
      <c r="Z169"/>
      <c r="AA169"/>
      <c r="AB169"/>
      <c r="AC169"/>
      <c r="AD169"/>
      <c r="AE169"/>
      <c r="AF169"/>
      <c r="AG169"/>
      <c r="AH169"/>
      <c r="AI169"/>
      <c r="AJ169"/>
      <c r="AK169"/>
      <c r="AL169"/>
      <c r="AM169"/>
      <c r="AN169"/>
      <c r="AO169"/>
      <c r="AP169"/>
      <c r="AQ169"/>
      <c r="AR169"/>
      <c r="AS169"/>
      <c r="AT169"/>
      <c r="AU169"/>
      <c r="AV169" s="1" t="s">
        <v>38</v>
      </c>
      <c r="BG169" s="7" t="s">
        <v>1242</v>
      </c>
    </row>
    <row r="170" spans="1:59" s="1" customFormat="1" ht="324" x14ac:dyDescent="0.45">
      <c r="A170" s="5">
        <v>169</v>
      </c>
      <c r="B170" s="1" t="s">
        <v>10216</v>
      </c>
      <c r="C170" s="6"/>
      <c r="J170" s="1" t="s">
        <v>7557</v>
      </c>
      <c r="K170" s="2" t="s">
        <v>10266</v>
      </c>
      <c r="P170" s="7" t="s">
        <v>1241</v>
      </c>
      <c r="Q170"/>
      <c r="R170"/>
      <c r="S170"/>
      <c r="T170"/>
      <c r="U170"/>
      <c r="V170"/>
      <c r="W170"/>
      <c r="X170"/>
      <c r="Y170"/>
      <c r="Z170"/>
      <c r="AA170"/>
      <c r="AB170"/>
      <c r="AC170"/>
      <c r="AD170"/>
      <c r="AE170"/>
      <c r="AF170"/>
      <c r="AG170"/>
      <c r="AH170"/>
      <c r="AI170"/>
      <c r="AJ170"/>
      <c r="AK170"/>
      <c r="AL170"/>
      <c r="AM170"/>
      <c r="AN170"/>
      <c r="AO170"/>
      <c r="AP170"/>
      <c r="AQ170"/>
      <c r="AR170"/>
      <c r="AS170"/>
      <c r="AT170"/>
      <c r="AU170"/>
      <c r="AV170" s="1" t="s">
        <v>38</v>
      </c>
      <c r="BG170" s="7" t="s">
        <v>1242</v>
      </c>
    </row>
    <row r="171" spans="1:59" s="1" customFormat="1" ht="288" x14ac:dyDescent="0.45">
      <c r="A171" s="5">
        <v>170</v>
      </c>
      <c r="B171" s="1" t="s">
        <v>10217</v>
      </c>
      <c r="C171" s="6"/>
      <c r="J171" s="1" t="s">
        <v>7557</v>
      </c>
      <c r="K171" s="2" t="s">
        <v>10267</v>
      </c>
      <c r="P171" s="7" t="s">
        <v>1241</v>
      </c>
      <c r="Q171"/>
      <c r="R171"/>
      <c r="S171"/>
      <c r="T171"/>
      <c r="U171"/>
      <c r="V171"/>
      <c r="W171"/>
      <c r="X171"/>
      <c r="Y171"/>
      <c r="Z171"/>
      <c r="AA171"/>
      <c r="AB171"/>
      <c r="AC171"/>
      <c r="AD171"/>
      <c r="AE171"/>
      <c r="AF171"/>
      <c r="AG171"/>
      <c r="AH171"/>
      <c r="AI171"/>
      <c r="AJ171"/>
      <c r="AK171"/>
      <c r="AL171"/>
      <c r="AM171"/>
      <c r="AN171"/>
      <c r="AO171"/>
      <c r="AP171"/>
      <c r="AQ171"/>
      <c r="AR171"/>
      <c r="AS171"/>
      <c r="AT171"/>
      <c r="AU171"/>
      <c r="AV171" s="1" t="s">
        <v>38</v>
      </c>
      <c r="BG171" s="7" t="s">
        <v>1242</v>
      </c>
    </row>
    <row r="172" spans="1:59" s="1" customFormat="1" ht="108" x14ac:dyDescent="0.45">
      <c r="A172" s="5">
        <v>171</v>
      </c>
      <c r="B172" s="1" t="s">
        <v>10218</v>
      </c>
      <c r="C172" s="6"/>
      <c r="J172" s="1" t="s">
        <v>7557</v>
      </c>
      <c r="K172" s="2" t="s">
        <v>10239</v>
      </c>
      <c r="P172" s="7" t="s">
        <v>1241</v>
      </c>
      <c r="Q172"/>
      <c r="R172"/>
      <c r="S172"/>
      <c r="T172"/>
      <c r="U172"/>
      <c r="V172"/>
      <c r="W172"/>
      <c r="X172"/>
      <c r="Y172"/>
      <c r="Z172"/>
      <c r="AA172"/>
      <c r="AB172"/>
      <c r="AC172"/>
      <c r="AD172"/>
      <c r="AE172"/>
      <c r="AF172"/>
      <c r="AG172"/>
      <c r="AH172"/>
      <c r="AI172"/>
      <c r="AJ172"/>
      <c r="AK172"/>
      <c r="AL172"/>
      <c r="AM172"/>
      <c r="AN172"/>
      <c r="AO172"/>
      <c r="AP172"/>
      <c r="AQ172"/>
      <c r="AR172"/>
      <c r="AS172"/>
      <c r="AT172"/>
      <c r="AU172"/>
      <c r="AV172" s="1" t="s">
        <v>38</v>
      </c>
      <c r="BG172" s="7" t="s">
        <v>1242</v>
      </c>
    </row>
    <row r="173" spans="1:59" s="1" customFormat="1" ht="54" x14ac:dyDescent="0.45">
      <c r="A173" s="5">
        <v>172</v>
      </c>
      <c r="B173" s="1" t="s">
        <v>10810</v>
      </c>
      <c r="C173" s="6"/>
      <c r="J173" s="1" t="s">
        <v>7557</v>
      </c>
      <c r="K173" s="2" t="s">
        <v>10240</v>
      </c>
      <c r="P173" s="7" t="s">
        <v>1241</v>
      </c>
      <c r="Q173"/>
      <c r="R173"/>
      <c r="S173"/>
      <c r="T173"/>
      <c r="U173"/>
      <c r="V173"/>
      <c r="W173"/>
      <c r="X173"/>
      <c r="Y173"/>
      <c r="Z173"/>
      <c r="AA173"/>
      <c r="AB173"/>
      <c r="AC173"/>
      <c r="AD173"/>
      <c r="AE173"/>
      <c r="AF173"/>
      <c r="AG173"/>
      <c r="AH173"/>
      <c r="AI173"/>
      <c r="AJ173"/>
      <c r="AK173"/>
      <c r="AL173"/>
      <c r="AM173"/>
      <c r="AN173"/>
      <c r="AO173"/>
      <c r="AP173"/>
      <c r="AQ173"/>
      <c r="AR173"/>
      <c r="AS173"/>
      <c r="AT173"/>
      <c r="AU173"/>
      <c r="AV173" s="1" t="s">
        <v>38</v>
      </c>
      <c r="BG173" s="7" t="s">
        <v>1242</v>
      </c>
    </row>
    <row r="174" spans="1:59" s="1" customFormat="1" ht="54" x14ac:dyDescent="0.45">
      <c r="A174" s="5">
        <v>173</v>
      </c>
      <c r="B174" s="1" t="s">
        <v>10219</v>
      </c>
      <c r="C174" s="6"/>
      <c r="J174" s="1" t="s">
        <v>7557</v>
      </c>
      <c r="K174" s="2" t="s">
        <v>10241</v>
      </c>
      <c r="P174" s="7" t="s">
        <v>1241</v>
      </c>
      <c r="Q174"/>
      <c r="R174"/>
      <c r="S174"/>
      <c r="T174"/>
      <c r="U174"/>
      <c r="V174"/>
      <c r="W174"/>
      <c r="X174"/>
      <c r="Y174"/>
      <c r="Z174"/>
      <c r="AA174"/>
      <c r="AB174"/>
      <c r="AC174"/>
      <c r="AD174"/>
      <c r="AE174"/>
      <c r="AF174"/>
      <c r="AG174"/>
      <c r="AH174"/>
      <c r="AI174"/>
      <c r="AJ174"/>
      <c r="AK174"/>
      <c r="AL174"/>
      <c r="AM174"/>
      <c r="AN174"/>
      <c r="AO174"/>
      <c r="AP174"/>
      <c r="AQ174"/>
      <c r="AR174"/>
      <c r="AS174"/>
      <c r="AT174"/>
      <c r="AU174"/>
      <c r="AV174" s="1" t="s">
        <v>38</v>
      </c>
      <c r="BG174" s="7" t="s">
        <v>1242</v>
      </c>
    </row>
    <row r="175" spans="1:59" s="1" customFormat="1" ht="72" x14ac:dyDescent="0.45">
      <c r="A175" s="5">
        <v>174</v>
      </c>
      <c r="B175" s="1" t="s">
        <v>10220</v>
      </c>
      <c r="C175" s="6"/>
      <c r="J175" s="1" t="s">
        <v>7557</v>
      </c>
      <c r="K175" s="2" t="s">
        <v>10242</v>
      </c>
      <c r="P175" s="7" t="s">
        <v>1241</v>
      </c>
      <c r="Q175"/>
      <c r="R175"/>
      <c r="S175"/>
      <c r="T175"/>
      <c r="U175"/>
      <c r="V175"/>
      <c r="W175"/>
      <c r="X175"/>
      <c r="Y175"/>
      <c r="Z175"/>
      <c r="AA175"/>
      <c r="AB175"/>
      <c r="AC175"/>
      <c r="AD175"/>
      <c r="AE175"/>
      <c r="AF175"/>
      <c r="AG175"/>
      <c r="AH175"/>
      <c r="AI175"/>
      <c r="AJ175"/>
      <c r="AK175"/>
      <c r="AL175"/>
      <c r="AM175"/>
      <c r="AN175"/>
      <c r="AO175"/>
      <c r="AP175"/>
      <c r="AQ175"/>
      <c r="AR175"/>
      <c r="AS175"/>
      <c r="AT175"/>
      <c r="AU175"/>
      <c r="AV175" s="1" t="s">
        <v>38</v>
      </c>
      <c r="BG175" s="7" t="s">
        <v>1242</v>
      </c>
    </row>
    <row r="176" spans="1:59" s="1" customFormat="1" ht="198" x14ac:dyDescent="0.45">
      <c r="A176" s="5">
        <v>175</v>
      </c>
      <c r="B176" s="1" t="s">
        <v>10811</v>
      </c>
      <c r="C176" s="6"/>
      <c r="J176" s="1" t="s">
        <v>7557</v>
      </c>
      <c r="K176" s="2" t="s">
        <v>10243</v>
      </c>
      <c r="P176" s="7" t="s">
        <v>1241</v>
      </c>
      <c r="Q176"/>
      <c r="R176"/>
      <c r="S176"/>
      <c r="T176"/>
      <c r="U176"/>
      <c r="V176"/>
      <c r="W176"/>
      <c r="X176"/>
      <c r="Y176"/>
      <c r="Z176"/>
      <c r="AA176"/>
      <c r="AB176"/>
      <c r="AC176"/>
      <c r="AD176"/>
      <c r="AE176"/>
      <c r="AF176"/>
      <c r="AG176"/>
      <c r="AH176"/>
      <c r="AI176"/>
      <c r="AJ176"/>
      <c r="AK176"/>
      <c r="AL176"/>
      <c r="AM176"/>
      <c r="AN176"/>
      <c r="AO176"/>
      <c r="AP176"/>
      <c r="AQ176"/>
      <c r="AR176"/>
      <c r="AS176"/>
      <c r="AT176"/>
      <c r="AU176"/>
      <c r="AV176" s="1" t="s">
        <v>38</v>
      </c>
      <c r="BG176" s="7" t="s">
        <v>1242</v>
      </c>
    </row>
    <row r="177" spans="1:59" s="1" customFormat="1" ht="162" x14ac:dyDescent="0.45">
      <c r="A177" s="5">
        <v>176</v>
      </c>
      <c r="B177" s="1" t="s">
        <v>10221</v>
      </c>
      <c r="C177" s="6"/>
      <c r="J177" s="1" t="s">
        <v>7557</v>
      </c>
      <c r="K177" s="2" t="s">
        <v>10244</v>
      </c>
      <c r="P177" s="7" t="s">
        <v>1241</v>
      </c>
      <c r="Q177"/>
      <c r="R177"/>
      <c r="S177"/>
      <c r="T177"/>
      <c r="U177"/>
      <c r="V177"/>
      <c r="W177"/>
      <c r="X177"/>
      <c r="Y177"/>
      <c r="Z177"/>
      <c r="AA177"/>
      <c r="AB177"/>
      <c r="AC177"/>
      <c r="AD177"/>
      <c r="AE177"/>
      <c r="AF177"/>
      <c r="AG177"/>
      <c r="AH177"/>
      <c r="AI177"/>
      <c r="AJ177"/>
      <c r="AK177"/>
      <c r="AL177"/>
      <c r="AM177"/>
      <c r="AN177"/>
      <c r="AO177"/>
      <c r="AP177"/>
      <c r="AQ177"/>
      <c r="AR177"/>
      <c r="AS177"/>
      <c r="AT177"/>
      <c r="AU177"/>
      <c r="AV177" s="1" t="s">
        <v>38</v>
      </c>
      <c r="BG177" s="7" t="s">
        <v>1242</v>
      </c>
    </row>
    <row r="178" spans="1:59" s="1" customFormat="1" ht="108" x14ac:dyDescent="0.45">
      <c r="A178" s="5">
        <v>177</v>
      </c>
      <c r="B178" s="1" t="s">
        <v>10812</v>
      </c>
      <c r="C178" s="6"/>
      <c r="J178" s="1" t="s">
        <v>7557</v>
      </c>
      <c r="K178" s="2" t="s">
        <v>10245</v>
      </c>
      <c r="P178" s="7" t="s">
        <v>1241</v>
      </c>
      <c r="Q178"/>
      <c r="R178"/>
      <c r="S178"/>
      <c r="T178"/>
      <c r="U178"/>
      <c r="V178"/>
      <c r="W178"/>
      <c r="X178"/>
      <c r="Y178"/>
      <c r="Z178"/>
      <c r="AA178"/>
      <c r="AB178"/>
      <c r="AC178"/>
      <c r="AD178"/>
      <c r="AE178"/>
      <c r="AF178"/>
      <c r="AG178"/>
      <c r="AH178"/>
      <c r="AI178"/>
      <c r="AJ178"/>
      <c r="AK178"/>
      <c r="AL178"/>
      <c r="AM178"/>
      <c r="AN178"/>
      <c r="AO178"/>
      <c r="AP178"/>
      <c r="AQ178"/>
      <c r="AR178"/>
      <c r="AS178"/>
      <c r="AT178"/>
      <c r="AU178"/>
      <c r="AV178" s="1" t="s">
        <v>38</v>
      </c>
      <c r="BG178" s="7" t="s">
        <v>1242</v>
      </c>
    </row>
    <row r="179" spans="1:59" s="1" customFormat="1" ht="198" x14ac:dyDescent="0.45">
      <c r="A179" s="5">
        <v>178</v>
      </c>
      <c r="B179" s="1" t="s">
        <v>10813</v>
      </c>
      <c r="C179" s="6"/>
      <c r="J179" s="1" t="s">
        <v>7557</v>
      </c>
      <c r="K179" s="2" t="s">
        <v>10246</v>
      </c>
      <c r="P179" s="7" t="s">
        <v>1241</v>
      </c>
      <c r="Q179"/>
      <c r="R179"/>
      <c r="S179"/>
      <c r="T179"/>
      <c r="U179"/>
      <c r="V179"/>
      <c r="W179"/>
      <c r="X179"/>
      <c r="Y179"/>
      <c r="Z179"/>
      <c r="AA179"/>
      <c r="AB179"/>
      <c r="AC179"/>
      <c r="AD179"/>
      <c r="AE179"/>
      <c r="AF179"/>
      <c r="AG179"/>
      <c r="AH179"/>
      <c r="AI179"/>
      <c r="AJ179"/>
      <c r="AK179"/>
      <c r="AL179"/>
      <c r="AM179"/>
      <c r="AN179"/>
      <c r="AO179"/>
      <c r="AP179"/>
      <c r="AQ179"/>
      <c r="AR179"/>
      <c r="AS179"/>
      <c r="AT179"/>
      <c r="AU179"/>
      <c r="AV179" s="1" t="s">
        <v>38</v>
      </c>
      <c r="BG179" s="7" t="s">
        <v>1242</v>
      </c>
    </row>
    <row r="180" spans="1:59" s="1" customFormat="1" ht="54" x14ac:dyDescent="0.45">
      <c r="A180" s="5">
        <v>179</v>
      </c>
      <c r="B180" s="1" t="s">
        <v>10814</v>
      </c>
      <c r="C180" s="6"/>
      <c r="J180" s="1" t="s">
        <v>7557</v>
      </c>
      <c r="K180" s="2" t="s">
        <v>10247</v>
      </c>
      <c r="P180" s="7" t="s">
        <v>1241</v>
      </c>
      <c r="Q180"/>
      <c r="R180"/>
      <c r="S180"/>
      <c r="T180"/>
      <c r="U180"/>
      <c r="V180"/>
      <c r="W180"/>
      <c r="X180"/>
      <c r="Y180"/>
      <c r="Z180"/>
      <c r="AA180"/>
      <c r="AB180"/>
      <c r="AC180"/>
      <c r="AD180"/>
      <c r="AE180"/>
      <c r="AF180"/>
      <c r="AG180"/>
      <c r="AH180"/>
      <c r="AI180"/>
      <c r="AJ180"/>
      <c r="AK180"/>
      <c r="AL180"/>
      <c r="AM180"/>
      <c r="AN180"/>
      <c r="AO180"/>
      <c r="AP180"/>
      <c r="AQ180"/>
      <c r="AR180"/>
      <c r="AS180"/>
      <c r="AT180"/>
      <c r="AU180"/>
      <c r="AV180" s="1" t="s">
        <v>38</v>
      </c>
      <c r="BG180" s="7" t="s">
        <v>1242</v>
      </c>
    </row>
    <row r="181" spans="1:59" s="1" customFormat="1" ht="54" x14ac:dyDescent="0.45">
      <c r="A181" s="5">
        <v>180</v>
      </c>
      <c r="B181" s="1" t="s">
        <v>10222</v>
      </c>
      <c r="C181" s="6"/>
      <c r="J181" s="1" t="s">
        <v>7557</v>
      </c>
      <c r="K181" s="2" t="s">
        <v>10330</v>
      </c>
      <c r="P181" s="7" t="s">
        <v>1241</v>
      </c>
      <c r="Q181"/>
      <c r="R181"/>
      <c r="S181"/>
      <c r="T181"/>
      <c r="U181"/>
      <c r="V181"/>
      <c r="W181"/>
      <c r="X181"/>
      <c r="Y181"/>
      <c r="Z181"/>
      <c r="AA181"/>
      <c r="AB181"/>
      <c r="AC181"/>
      <c r="AD181"/>
      <c r="AE181"/>
      <c r="AF181"/>
      <c r="AG181"/>
      <c r="AH181"/>
      <c r="AI181"/>
      <c r="AJ181"/>
      <c r="AK181"/>
      <c r="AL181"/>
      <c r="AM181"/>
      <c r="AN181"/>
      <c r="AO181"/>
      <c r="AP181"/>
      <c r="AQ181"/>
      <c r="AR181"/>
      <c r="AS181"/>
      <c r="AT181"/>
      <c r="AU181"/>
      <c r="AV181" s="1" t="s">
        <v>38</v>
      </c>
      <c r="BG181" s="7" t="s">
        <v>1242</v>
      </c>
    </row>
    <row r="182" spans="1:59" s="1" customFormat="1" ht="144" x14ac:dyDescent="0.45">
      <c r="A182" s="5">
        <v>181</v>
      </c>
      <c r="B182" s="1" t="s">
        <v>10815</v>
      </c>
      <c r="C182" s="6"/>
      <c r="J182" s="1" t="s">
        <v>7557</v>
      </c>
      <c r="K182" s="11" t="s">
        <v>11754</v>
      </c>
      <c r="P182" s="7" t="s">
        <v>1241</v>
      </c>
      <c r="Q182"/>
      <c r="R182"/>
      <c r="S182"/>
      <c r="T182"/>
      <c r="U182"/>
      <c r="V182"/>
      <c r="W182"/>
      <c r="X182"/>
      <c r="Y182"/>
      <c r="Z182"/>
      <c r="AA182"/>
      <c r="AB182"/>
      <c r="AC182"/>
      <c r="AD182"/>
      <c r="AE182"/>
      <c r="AF182"/>
      <c r="AG182"/>
      <c r="AH182"/>
      <c r="AI182"/>
      <c r="AJ182"/>
      <c r="AK182"/>
      <c r="AL182"/>
      <c r="AM182"/>
      <c r="AN182"/>
      <c r="AO182"/>
      <c r="AP182"/>
      <c r="AQ182"/>
      <c r="AR182"/>
      <c r="AS182"/>
      <c r="AT182"/>
      <c r="AU182"/>
      <c r="AV182" s="1" t="s">
        <v>38</v>
      </c>
      <c r="BG182" s="7" t="s">
        <v>1242</v>
      </c>
    </row>
    <row r="183" spans="1:59" s="1" customFormat="1" ht="162" x14ac:dyDescent="0.45">
      <c r="A183" s="5">
        <v>182</v>
      </c>
      <c r="B183" s="1" t="s">
        <v>10816</v>
      </c>
      <c r="C183" s="6"/>
      <c r="J183" s="1" t="s">
        <v>7557</v>
      </c>
      <c r="K183" s="11" t="s">
        <v>11755</v>
      </c>
      <c r="P183" s="7" t="s">
        <v>1241</v>
      </c>
      <c r="Q183"/>
      <c r="R183"/>
      <c r="S183"/>
      <c r="T183"/>
      <c r="U183"/>
      <c r="V183"/>
      <c r="W183"/>
      <c r="X183"/>
      <c r="Y183"/>
      <c r="Z183"/>
      <c r="AA183"/>
      <c r="AB183"/>
      <c r="AC183"/>
      <c r="AD183"/>
      <c r="AE183"/>
      <c r="AF183"/>
      <c r="AG183"/>
      <c r="AH183"/>
      <c r="AI183"/>
      <c r="AJ183"/>
      <c r="AK183"/>
      <c r="AL183"/>
      <c r="AM183"/>
      <c r="AN183"/>
      <c r="AO183"/>
      <c r="AP183"/>
      <c r="AQ183"/>
      <c r="AR183"/>
      <c r="AS183"/>
      <c r="AT183"/>
      <c r="AU183"/>
      <c r="AV183" s="1" t="s">
        <v>38</v>
      </c>
      <c r="BG183" s="7" t="s">
        <v>1242</v>
      </c>
    </row>
    <row r="184" spans="1:59" s="1" customFormat="1" ht="126" x14ac:dyDescent="0.45">
      <c r="A184" s="5">
        <v>183</v>
      </c>
      <c r="B184" s="1" t="s">
        <v>10817</v>
      </c>
      <c r="C184" s="6"/>
      <c r="J184" s="1" t="s">
        <v>7557</v>
      </c>
      <c r="K184" s="2" t="s">
        <v>10248</v>
      </c>
      <c r="P184" s="7" t="s">
        <v>1241</v>
      </c>
      <c r="Q184"/>
      <c r="R184"/>
      <c r="S184"/>
      <c r="T184"/>
      <c r="U184"/>
      <c r="V184"/>
      <c r="W184"/>
      <c r="X184"/>
      <c r="Y184"/>
      <c r="Z184"/>
      <c r="AA184"/>
      <c r="AB184"/>
      <c r="AC184"/>
      <c r="AD184"/>
      <c r="AE184"/>
      <c r="AF184"/>
      <c r="AG184"/>
      <c r="AH184"/>
      <c r="AI184"/>
      <c r="AJ184"/>
      <c r="AK184"/>
      <c r="AL184"/>
      <c r="AM184"/>
      <c r="AN184"/>
      <c r="AO184"/>
      <c r="AP184"/>
      <c r="AQ184"/>
      <c r="AR184"/>
      <c r="AS184"/>
      <c r="AT184"/>
      <c r="AU184"/>
      <c r="AV184" s="1" t="s">
        <v>38</v>
      </c>
      <c r="BG184" s="7" t="s">
        <v>1242</v>
      </c>
    </row>
    <row r="185" spans="1:59" s="1" customFormat="1" ht="216" x14ac:dyDescent="0.45">
      <c r="A185" s="5">
        <v>184</v>
      </c>
      <c r="B185" s="1" t="s">
        <v>10223</v>
      </c>
      <c r="C185" s="6"/>
      <c r="J185" s="1" t="s">
        <v>7557</v>
      </c>
      <c r="K185" s="11" t="s">
        <v>11756</v>
      </c>
      <c r="P185" s="7" t="s">
        <v>1241</v>
      </c>
      <c r="Q185"/>
      <c r="R185"/>
      <c r="S185"/>
      <c r="T185"/>
      <c r="U185"/>
      <c r="V185"/>
      <c r="W185"/>
      <c r="X185"/>
      <c r="Y185"/>
      <c r="Z185"/>
      <c r="AA185"/>
      <c r="AB185"/>
      <c r="AC185"/>
      <c r="AD185"/>
      <c r="AE185"/>
      <c r="AF185"/>
      <c r="AG185"/>
      <c r="AH185"/>
      <c r="AI185"/>
      <c r="AJ185"/>
      <c r="AK185"/>
      <c r="AL185"/>
      <c r="AM185"/>
      <c r="AN185"/>
      <c r="AO185"/>
      <c r="AP185"/>
      <c r="AQ185"/>
      <c r="AR185"/>
      <c r="AS185"/>
      <c r="AT185"/>
      <c r="AU185"/>
      <c r="AV185" s="1" t="s">
        <v>38</v>
      </c>
      <c r="BG185" s="7" t="s">
        <v>1242</v>
      </c>
    </row>
    <row r="186" spans="1:59" s="1" customFormat="1" ht="126" x14ac:dyDescent="0.45">
      <c r="A186" s="5">
        <v>185</v>
      </c>
      <c r="B186" s="1" t="s">
        <v>10224</v>
      </c>
      <c r="C186" s="6"/>
      <c r="J186" s="1" t="s">
        <v>7557</v>
      </c>
      <c r="K186" s="11" t="s">
        <v>11757</v>
      </c>
      <c r="P186" s="7" t="s">
        <v>1241</v>
      </c>
      <c r="Q186"/>
      <c r="R186"/>
      <c r="S186"/>
      <c r="T186"/>
      <c r="U186"/>
      <c r="V186"/>
      <c r="W186"/>
      <c r="X186"/>
      <c r="Y186"/>
      <c r="Z186"/>
      <c r="AA186"/>
      <c r="AB186"/>
      <c r="AC186"/>
      <c r="AD186"/>
      <c r="AE186"/>
      <c r="AF186"/>
      <c r="AG186"/>
      <c r="AH186"/>
      <c r="AI186"/>
      <c r="AJ186"/>
      <c r="AK186"/>
      <c r="AL186"/>
      <c r="AM186"/>
      <c r="AN186"/>
      <c r="AO186"/>
      <c r="AP186"/>
      <c r="AQ186"/>
      <c r="AR186"/>
      <c r="AS186"/>
      <c r="AT186"/>
      <c r="AU186"/>
      <c r="AV186" s="1" t="s">
        <v>38</v>
      </c>
      <c r="BG186" s="7" t="s">
        <v>1242</v>
      </c>
    </row>
    <row r="187" spans="1:59" s="1" customFormat="1" ht="144" x14ac:dyDescent="0.45">
      <c r="A187" s="5">
        <v>186</v>
      </c>
      <c r="B187" s="1" t="s">
        <v>10818</v>
      </c>
      <c r="C187" s="6"/>
      <c r="J187" s="1" t="s">
        <v>7557</v>
      </c>
      <c r="K187" s="11" t="s">
        <v>11758</v>
      </c>
      <c r="P187" s="7" t="s">
        <v>1241</v>
      </c>
      <c r="Q187"/>
      <c r="R187"/>
      <c r="S187"/>
      <c r="T187"/>
      <c r="U187"/>
      <c r="V187"/>
      <c r="W187"/>
      <c r="X187"/>
      <c r="Y187"/>
      <c r="Z187"/>
      <c r="AA187"/>
      <c r="AB187"/>
      <c r="AC187"/>
      <c r="AD187"/>
      <c r="AE187"/>
      <c r="AF187"/>
      <c r="AG187"/>
      <c r="AH187"/>
      <c r="AI187"/>
      <c r="AJ187"/>
      <c r="AK187"/>
      <c r="AL187"/>
      <c r="AM187"/>
      <c r="AN187"/>
      <c r="AO187"/>
      <c r="AP187"/>
      <c r="AQ187"/>
      <c r="AR187"/>
      <c r="AS187"/>
      <c r="AT187"/>
      <c r="AU187"/>
      <c r="AV187" s="1" t="s">
        <v>38</v>
      </c>
      <c r="BG187" s="7" t="s">
        <v>1242</v>
      </c>
    </row>
    <row r="188" spans="1:59" s="1" customFormat="1" ht="180" x14ac:dyDescent="0.45">
      <c r="A188" s="5">
        <v>187</v>
      </c>
      <c r="B188" s="1" t="s">
        <v>10819</v>
      </c>
      <c r="C188" s="6"/>
      <c r="J188" s="1" t="s">
        <v>7557</v>
      </c>
      <c r="K188" s="11" t="s">
        <v>11759</v>
      </c>
      <c r="P188" s="7" t="s">
        <v>1241</v>
      </c>
      <c r="Q188"/>
      <c r="R188"/>
      <c r="S188"/>
      <c r="T188"/>
      <c r="U188"/>
      <c r="V188"/>
      <c r="W188"/>
      <c r="X188"/>
      <c r="Y188"/>
      <c r="Z188"/>
      <c r="AA188"/>
      <c r="AB188"/>
      <c r="AC188"/>
      <c r="AD188"/>
      <c r="AE188"/>
      <c r="AF188"/>
      <c r="AG188"/>
      <c r="AH188"/>
      <c r="AI188"/>
      <c r="AJ188"/>
      <c r="AK188"/>
      <c r="AL188"/>
      <c r="AM188"/>
      <c r="AN188"/>
      <c r="AO188"/>
      <c r="AP188"/>
      <c r="AQ188"/>
      <c r="AR188"/>
      <c r="AS188"/>
      <c r="AT188"/>
      <c r="AU188"/>
      <c r="AV188" s="1" t="s">
        <v>38</v>
      </c>
      <c r="BG188" s="7" t="s">
        <v>1242</v>
      </c>
    </row>
    <row r="189" spans="1:59" s="1" customFormat="1" ht="90" x14ac:dyDescent="0.45">
      <c r="A189" s="5">
        <v>188</v>
      </c>
      <c r="B189" s="1" t="s">
        <v>10225</v>
      </c>
      <c r="C189" s="6"/>
      <c r="J189" s="1" t="s">
        <v>7557</v>
      </c>
      <c r="K189" s="2" t="s">
        <v>10287</v>
      </c>
      <c r="P189" s="7" t="s">
        <v>1241</v>
      </c>
      <c r="Q189"/>
      <c r="R189"/>
      <c r="S189"/>
      <c r="T189"/>
      <c r="U189"/>
      <c r="V189"/>
      <c r="W189"/>
      <c r="X189"/>
      <c r="Y189"/>
      <c r="Z189"/>
      <c r="AA189"/>
      <c r="AB189"/>
      <c r="AC189"/>
      <c r="AD189"/>
      <c r="AE189"/>
      <c r="AF189"/>
      <c r="AG189"/>
      <c r="AH189"/>
      <c r="AI189"/>
      <c r="AJ189"/>
      <c r="AK189"/>
      <c r="AL189"/>
      <c r="AM189"/>
      <c r="AN189"/>
      <c r="AO189"/>
      <c r="AP189"/>
      <c r="AQ189"/>
      <c r="AR189"/>
      <c r="AS189"/>
      <c r="AT189"/>
      <c r="AU189"/>
      <c r="AV189" s="1" t="s">
        <v>38</v>
      </c>
      <c r="BG189" s="7" t="s">
        <v>1242</v>
      </c>
    </row>
    <row r="190" spans="1:59" s="1" customFormat="1" ht="108" x14ac:dyDescent="0.45">
      <c r="A190" s="5">
        <v>189</v>
      </c>
      <c r="B190" s="1" t="s">
        <v>10226</v>
      </c>
      <c r="C190" s="6"/>
      <c r="J190" s="1" t="s">
        <v>7557</v>
      </c>
      <c r="K190" s="2" t="s">
        <v>10288</v>
      </c>
      <c r="P190" s="7" t="s">
        <v>1241</v>
      </c>
      <c r="Q190"/>
      <c r="R190"/>
      <c r="S190"/>
      <c r="T190"/>
      <c r="U190"/>
      <c r="V190"/>
      <c r="W190"/>
      <c r="X190"/>
      <c r="Y190"/>
      <c r="Z190"/>
      <c r="AA190"/>
      <c r="AB190"/>
      <c r="AC190"/>
      <c r="AD190"/>
      <c r="AE190"/>
      <c r="AF190"/>
      <c r="AG190"/>
      <c r="AH190"/>
      <c r="AI190"/>
      <c r="AJ190"/>
      <c r="AK190"/>
      <c r="AL190"/>
      <c r="AM190"/>
      <c r="AN190"/>
      <c r="AO190"/>
      <c r="AP190"/>
      <c r="AQ190"/>
      <c r="AR190"/>
      <c r="AS190"/>
      <c r="AT190"/>
      <c r="AU190"/>
      <c r="AV190" s="1" t="s">
        <v>38</v>
      </c>
      <c r="BG190" s="7" t="s">
        <v>1242</v>
      </c>
    </row>
    <row r="191" spans="1:59" s="1" customFormat="1" ht="126" x14ac:dyDescent="0.45">
      <c r="A191" s="5">
        <v>190</v>
      </c>
      <c r="B191" s="1" t="s">
        <v>10227</v>
      </c>
      <c r="C191" s="6"/>
      <c r="J191" s="1" t="s">
        <v>7557</v>
      </c>
      <c r="K191" s="2" t="s">
        <v>10289</v>
      </c>
      <c r="P191" s="7" t="s">
        <v>1241</v>
      </c>
      <c r="Q191"/>
      <c r="R191"/>
      <c r="S191"/>
      <c r="T191"/>
      <c r="U191"/>
      <c r="V191"/>
      <c r="W191"/>
      <c r="X191"/>
      <c r="Y191"/>
      <c r="Z191"/>
      <c r="AA191"/>
      <c r="AB191"/>
      <c r="AC191"/>
      <c r="AD191"/>
      <c r="AE191"/>
      <c r="AF191"/>
      <c r="AG191"/>
      <c r="AH191"/>
      <c r="AI191"/>
      <c r="AJ191"/>
      <c r="AK191"/>
      <c r="AL191"/>
      <c r="AM191"/>
      <c r="AN191"/>
      <c r="AO191"/>
      <c r="AP191"/>
      <c r="AQ191"/>
      <c r="AR191"/>
      <c r="AS191"/>
      <c r="AT191"/>
      <c r="AU191"/>
      <c r="AV191" s="1" t="s">
        <v>38</v>
      </c>
      <c r="BG191" s="7" t="s">
        <v>1242</v>
      </c>
    </row>
    <row r="192" spans="1:59" s="1" customFormat="1" ht="108" x14ac:dyDescent="0.45">
      <c r="A192" s="5">
        <v>191</v>
      </c>
      <c r="B192" s="1" t="s">
        <v>10228</v>
      </c>
      <c r="C192" s="6"/>
      <c r="J192" s="1" t="s">
        <v>7557</v>
      </c>
      <c r="K192" s="2" t="s">
        <v>10290</v>
      </c>
      <c r="P192" s="7" t="s">
        <v>1241</v>
      </c>
      <c r="Q192"/>
      <c r="R192"/>
      <c r="S192"/>
      <c r="T192"/>
      <c r="U192"/>
      <c r="V192"/>
      <c r="W192"/>
      <c r="X192"/>
      <c r="Y192"/>
      <c r="Z192"/>
      <c r="AA192"/>
      <c r="AB192"/>
      <c r="AC192"/>
      <c r="AD192"/>
      <c r="AE192"/>
      <c r="AF192"/>
      <c r="AG192"/>
      <c r="AH192"/>
      <c r="AI192"/>
      <c r="AJ192"/>
      <c r="AK192"/>
      <c r="AL192"/>
      <c r="AM192"/>
      <c r="AN192"/>
      <c r="AO192"/>
      <c r="AP192"/>
      <c r="AQ192"/>
      <c r="AR192"/>
      <c r="AS192"/>
      <c r="AT192"/>
      <c r="AU192"/>
      <c r="AV192" s="1" t="s">
        <v>38</v>
      </c>
      <c r="BG192" s="7" t="s">
        <v>1242</v>
      </c>
    </row>
    <row r="193" spans="1:59" s="1" customFormat="1" ht="90" x14ac:dyDescent="0.45">
      <c r="A193" s="5">
        <v>192</v>
      </c>
      <c r="B193" s="1" t="s">
        <v>10229</v>
      </c>
      <c r="C193" s="6"/>
      <c r="J193" s="1" t="s">
        <v>7557</v>
      </c>
      <c r="K193" s="11" t="s">
        <v>11760</v>
      </c>
      <c r="P193" s="7" t="s">
        <v>1241</v>
      </c>
      <c r="Q193"/>
      <c r="R193"/>
      <c r="S193"/>
      <c r="T193"/>
      <c r="U193"/>
      <c r="V193"/>
      <c r="W193"/>
      <c r="X193"/>
      <c r="Y193"/>
      <c r="Z193"/>
      <c r="AA193"/>
      <c r="AB193"/>
      <c r="AC193"/>
      <c r="AD193"/>
      <c r="AE193"/>
      <c r="AF193"/>
      <c r="AG193"/>
      <c r="AH193"/>
      <c r="AI193"/>
      <c r="AJ193"/>
      <c r="AK193"/>
      <c r="AL193"/>
      <c r="AM193"/>
      <c r="AN193"/>
      <c r="AO193"/>
      <c r="AP193"/>
      <c r="AQ193"/>
      <c r="AR193"/>
      <c r="AS193"/>
      <c r="AT193"/>
      <c r="AU193"/>
      <c r="AV193" s="1" t="s">
        <v>38</v>
      </c>
      <c r="BG193" s="7" t="s">
        <v>1242</v>
      </c>
    </row>
    <row r="194" spans="1:59" s="1" customFormat="1" ht="126" x14ac:dyDescent="0.45">
      <c r="A194" s="5">
        <v>193</v>
      </c>
      <c r="B194" s="1" t="s">
        <v>10230</v>
      </c>
      <c r="C194" s="6"/>
      <c r="J194" s="1" t="s">
        <v>7557</v>
      </c>
      <c r="K194" s="11" t="s">
        <v>11761</v>
      </c>
      <c r="P194" s="7" t="s">
        <v>1241</v>
      </c>
      <c r="Q194"/>
      <c r="R194"/>
      <c r="S194"/>
      <c r="T194"/>
      <c r="U194"/>
      <c r="V194"/>
      <c r="W194"/>
      <c r="X194"/>
      <c r="Y194"/>
      <c r="Z194"/>
      <c r="AA194"/>
      <c r="AB194"/>
      <c r="AC194"/>
      <c r="AD194"/>
      <c r="AE194"/>
      <c r="AF194"/>
      <c r="AG194"/>
      <c r="AH194"/>
      <c r="AI194"/>
      <c r="AJ194"/>
      <c r="AK194"/>
      <c r="AL194"/>
      <c r="AM194"/>
      <c r="AN194"/>
      <c r="AO194"/>
      <c r="AP194"/>
      <c r="AQ194"/>
      <c r="AR194"/>
      <c r="AS194"/>
      <c r="AT194"/>
      <c r="AU194"/>
      <c r="AV194" s="1" t="s">
        <v>38</v>
      </c>
      <c r="BG194" s="7" t="s">
        <v>1242</v>
      </c>
    </row>
    <row r="195" spans="1:59" s="1" customFormat="1" ht="54" x14ac:dyDescent="0.45">
      <c r="A195" s="5">
        <v>194</v>
      </c>
      <c r="B195" s="1" t="s">
        <v>10820</v>
      </c>
      <c r="C195" s="6"/>
      <c r="J195" s="1" t="s">
        <v>7557</v>
      </c>
      <c r="K195" s="2" t="s">
        <v>10249</v>
      </c>
      <c r="P195" s="7" t="s">
        <v>1241</v>
      </c>
      <c r="Q195"/>
      <c r="R195"/>
      <c r="S195"/>
      <c r="T195"/>
      <c r="U195"/>
      <c r="V195"/>
      <c r="W195"/>
      <c r="X195"/>
      <c r="Y195"/>
      <c r="Z195"/>
      <c r="AA195"/>
      <c r="AB195"/>
      <c r="AC195"/>
      <c r="AD195"/>
      <c r="AE195"/>
      <c r="AF195"/>
      <c r="AG195"/>
      <c r="AH195"/>
      <c r="AI195"/>
      <c r="AJ195"/>
      <c r="AK195"/>
      <c r="AL195"/>
      <c r="AM195"/>
      <c r="AN195"/>
      <c r="AO195"/>
      <c r="AP195"/>
      <c r="AQ195"/>
      <c r="AR195"/>
      <c r="AS195"/>
      <c r="AT195"/>
      <c r="AU195"/>
      <c r="AV195" s="1" t="s">
        <v>38</v>
      </c>
      <c r="BG195" s="7" t="s">
        <v>1242</v>
      </c>
    </row>
    <row r="196" spans="1:59" s="1" customFormat="1" ht="162" x14ac:dyDescent="0.45">
      <c r="A196" s="5">
        <v>195</v>
      </c>
      <c r="B196" s="1" t="s">
        <v>10821</v>
      </c>
      <c r="C196" s="6"/>
      <c r="J196" s="1" t="s">
        <v>7557</v>
      </c>
      <c r="K196" s="11" t="s">
        <v>11762</v>
      </c>
      <c r="P196" s="7" t="s">
        <v>1241</v>
      </c>
      <c r="Q196"/>
      <c r="R196"/>
      <c r="S196"/>
      <c r="T196"/>
      <c r="U196"/>
      <c r="V196"/>
      <c r="W196"/>
      <c r="X196"/>
      <c r="Y196"/>
      <c r="Z196"/>
      <c r="AA196"/>
      <c r="AB196"/>
      <c r="AC196"/>
      <c r="AD196"/>
      <c r="AE196"/>
      <c r="AF196"/>
      <c r="AG196"/>
      <c r="AH196"/>
      <c r="AI196"/>
      <c r="AJ196"/>
      <c r="AK196"/>
      <c r="AL196"/>
      <c r="AM196"/>
      <c r="AN196"/>
      <c r="AO196"/>
      <c r="AP196"/>
      <c r="AQ196"/>
      <c r="AR196"/>
      <c r="AS196"/>
      <c r="AT196"/>
      <c r="AU196"/>
      <c r="AV196" s="1" t="s">
        <v>38</v>
      </c>
      <c r="BG196" s="7" t="s">
        <v>1242</v>
      </c>
    </row>
    <row r="197" spans="1:59" s="1" customFormat="1" ht="90" x14ac:dyDescent="0.45">
      <c r="A197" s="5">
        <v>196</v>
      </c>
      <c r="B197" s="1" t="s">
        <v>10231</v>
      </c>
      <c r="C197" s="6"/>
      <c r="J197" s="1" t="s">
        <v>7557</v>
      </c>
      <c r="K197" s="2" t="s">
        <v>10250</v>
      </c>
      <c r="P197" s="7" t="s">
        <v>1241</v>
      </c>
      <c r="Q197"/>
      <c r="R197"/>
      <c r="S197"/>
      <c r="T197"/>
      <c r="U197"/>
      <c r="V197"/>
      <c r="W197"/>
      <c r="X197"/>
      <c r="Y197"/>
      <c r="Z197"/>
      <c r="AA197"/>
      <c r="AB197"/>
      <c r="AC197"/>
      <c r="AD197"/>
      <c r="AE197"/>
      <c r="AF197"/>
      <c r="AG197"/>
      <c r="AH197"/>
      <c r="AI197"/>
      <c r="AJ197"/>
      <c r="AK197"/>
      <c r="AL197"/>
      <c r="AM197"/>
      <c r="AN197"/>
      <c r="AO197"/>
      <c r="AP197"/>
      <c r="AQ197"/>
      <c r="AR197"/>
      <c r="AS197"/>
      <c r="AT197"/>
      <c r="AU197"/>
      <c r="AV197" s="1" t="s">
        <v>38</v>
      </c>
      <c r="BG197" s="7" t="s">
        <v>1242</v>
      </c>
    </row>
    <row r="198" spans="1:59" s="1" customFormat="1" ht="162" x14ac:dyDescent="0.45">
      <c r="A198" s="5">
        <v>197</v>
      </c>
      <c r="B198" s="1" t="s">
        <v>10232</v>
      </c>
      <c r="C198" s="6"/>
      <c r="J198" s="1" t="s">
        <v>7557</v>
      </c>
      <c r="K198" s="11" t="s">
        <v>11763</v>
      </c>
      <c r="P198" s="7" t="s">
        <v>1241</v>
      </c>
      <c r="Q198"/>
      <c r="R198"/>
      <c r="S198"/>
      <c r="T198"/>
      <c r="U198"/>
      <c r="V198"/>
      <c r="W198"/>
      <c r="X198"/>
      <c r="Y198"/>
      <c r="Z198"/>
      <c r="AA198"/>
      <c r="AB198"/>
      <c r="AC198"/>
      <c r="AD198"/>
      <c r="AE198"/>
      <c r="AF198"/>
      <c r="AG198"/>
      <c r="AH198"/>
      <c r="AI198"/>
      <c r="AJ198"/>
      <c r="AK198"/>
      <c r="AL198"/>
      <c r="AM198"/>
      <c r="AN198"/>
      <c r="AO198"/>
      <c r="AP198"/>
      <c r="AQ198"/>
      <c r="AR198"/>
      <c r="AS198"/>
      <c r="AT198"/>
      <c r="AU198"/>
      <c r="AV198" s="1" t="s">
        <v>38</v>
      </c>
      <c r="BG198" s="7" t="s">
        <v>1242</v>
      </c>
    </row>
    <row r="199" spans="1:59" s="1" customFormat="1" ht="90" x14ac:dyDescent="0.45">
      <c r="A199" s="5">
        <v>198</v>
      </c>
      <c r="B199" s="1" t="s">
        <v>10233</v>
      </c>
      <c r="C199" s="6"/>
      <c r="J199" s="1" t="s">
        <v>7557</v>
      </c>
      <c r="K199" s="11" t="s">
        <v>11764</v>
      </c>
      <c r="P199" s="7" t="s">
        <v>1241</v>
      </c>
      <c r="Q199"/>
      <c r="R199"/>
      <c r="S199"/>
      <c r="T199"/>
      <c r="U199"/>
      <c r="V199"/>
      <c r="W199"/>
      <c r="X199"/>
      <c r="Y199"/>
      <c r="Z199"/>
      <c r="AA199"/>
      <c r="AB199"/>
      <c r="AC199"/>
      <c r="AD199"/>
      <c r="AE199"/>
      <c r="AF199"/>
      <c r="AG199"/>
      <c r="AH199"/>
      <c r="AI199"/>
      <c r="AJ199"/>
      <c r="AK199"/>
      <c r="AL199"/>
      <c r="AM199"/>
      <c r="AN199"/>
      <c r="AO199"/>
      <c r="AP199"/>
      <c r="AQ199"/>
      <c r="AR199"/>
      <c r="AS199"/>
      <c r="AT199"/>
      <c r="AU199"/>
      <c r="AV199" s="1" t="s">
        <v>38</v>
      </c>
      <c r="BG199" s="7" t="s">
        <v>1242</v>
      </c>
    </row>
    <row r="200" spans="1:59" s="1" customFormat="1" ht="162" x14ac:dyDescent="0.45">
      <c r="A200" s="5">
        <v>199</v>
      </c>
      <c r="B200" s="1" t="s">
        <v>10234</v>
      </c>
      <c r="C200" s="6"/>
      <c r="J200" s="1" t="s">
        <v>7557</v>
      </c>
      <c r="K200" s="11" t="s">
        <v>11765</v>
      </c>
      <c r="P200" s="7" t="s">
        <v>1241</v>
      </c>
      <c r="Q200"/>
      <c r="R200"/>
      <c r="S200"/>
      <c r="T200"/>
      <c r="U200"/>
      <c r="V200"/>
      <c r="W200"/>
      <c r="X200"/>
      <c r="Y200"/>
      <c r="Z200"/>
      <c r="AA200"/>
      <c r="AB200"/>
      <c r="AC200"/>
      <c r="AD200"/>
      <c r="AE200"/>
      <c r="AF200"/>
      <c r="AG200"/>
      <c r="AH200"/>
      <c r="AI200"/>
      <c r="AJ200"/>
      <c r="AK200"/>
      <c r="AL200"/>
      <c r="AM200"/>
      <c r="AN200"/>
      <c r="AO200"/>
      <c r="AP200"/>
      <c r="AQ200"/>
      <c r="AR200"/>
      <c r="AS200"/>
      <c r="AT200"/>
      <c r="AU200"/>
      <c r="AV200" s="1" t="s">
        <v>38</v>
      </c>
      <c r="BG200" s="7" t="s">
        <v>1242</v>
      </c>
    </row>
    <row r="201" spans="1:59" s="1" customFormat="1" ht="126" x14ac:dyDescent="0.45">
      <c r="A201" s="5">
        <v>200</v>
      </c>
      <c r="B201" s="1" t="s">
        <v>10235</v>
      </c>
      <c r="C201" s="6"/>
      <c r="J201" s="1" t="s">
        <v>7557</v>
      </c>
      <c r="K201" s="11" t="s">
        <v>11766</v>
      </c>
      <c r="P201" s="7" t="s">
        <v>1241</v>
      </c>
      <c r="Q201"/>
      <c r="R201"/>
      <c r="S201"/>
      <c r="T201"/>
      <c r="U201"/>
      <c r="V201"/>
      <c r="W201"/>
      <c r="X201"/>
      <c r="Y201"/>
      <c r="Z201"/>
      <c r="AA201"/>
      <c r="AB201"/>
      <c r="AC201"/>
      <c r="AD201"/>
      <c r="AE201"/>
      <c r="AF201"/>
      <c r="AG201"/>
      <c r="AH201"/>
      <c r="AI201"/>
      <c r="AJ201"/>
      <c r="AK201"/>
      <c r="AL201"/>
      <c r="AM201"/>
      <c r="AN201"/>
      <c r="AO201"/>
      <c r="AP201"/>
      <c r="AQ201"/>
      <c r="AR201"/>
      <c r="AS201"/>
      <c r="AT201"/>
      <c r="AU201"/>
      <c r="AV201" s="1" t="s">
        <v>38</v>
      </c>
      <c r="BG201" s="7" t="s">
        <v>1242</v>
      </c>
    </row>
    <row r="202" spans="1:59" s="1" customFormat="1" ht="144" x14ac:dyDescent="0.45">
      <c r="A202" s="5">
        <v>201</v>
      </c>
      <c r="B202" s="1" t="s">
        <v>10822</v>
      </c>
      <c r="C202" s="6"/>
      <c r="I202" s="1" t="s">
        <v>11733</v>
      </c>
      <c r="J202" s="1" t="s">
        <v>7557</v>
      </c>
      <c r="K202" s="11" t="s">
        <v>11767</v>
      </c>
      <c r="P202" s="7" t="s">
        <v>1241</v>
      </c>
      <c r="Q202"/>
      <c r="R202"/>
      <c r="S202"/>
      <c r="T202"/>
      <c r="U202"/>
      <c r="V202"/>
      <c r="W202"/>
      <c r="X202"/>
      <c r="Y202"/>
      <c r="Z202"/>
      <c r="AA202"/>
      <c r="AB202"/>
      <c r="AC202"/>
      <c r="AD202"/>
      <c r="AE202"/>
      <c r="AF202"/>
      <c r="AG202"/>
      <c r="AH202"/>
      <c r="AI202"/>
      <c r="AJ202"/>
      <c r="AK202"/>
      <c r="AL202"/>
      <c r="AM202"/>
      <c r="AN202"/>
      <c r="AO202"/>
      <c r="AP202"/>
      <c r="AQ202"/>
      <c r="AR202"/>
      <c r="AS202"/>
      <c r="AT202"/>
      <c r="AU202"/>
      <c r="AV202" s="1" t="s">
        <v>38</v>
      </c>
      <c r="BG202" s="7" t="s">
        <v>1242</v>
      </c>
    </row>
    <row r="203" spans="1:59" s="1" customFormat="1" ht="144" x14ac:dyDescent="0.45">
      <c r="A203" s="5">
        <v>202</v>
      </c>
      <c r="B203" s="1" t="s">
        <v>10236</v>
      </c>
      <c r="C203" s="6"/>
      <c r="J203" s="1" t="s">
        <v>7557</v>
      </c>
      <c r="K203" s="2" t="s">
        <v>10251</v>
      </c>
      <c r="P203" s="7" t="s">
        <v>1241</v>
      </c>
      <c r="Q203"/>
      <c r="R203"/>
      <c r="S203"/>
      <c r="T203"/>
      <c r="U203"/>
      <c r="V203"/>
      <c r="W203"/>
      <c r="X203"/>
      <c r="Y203"/>
      <c r="Z203"/>
      <c r="AA203"/>
      <c r="AB203"/>
      <c r="AC203"/>
      <c r="AD203"/>
      <c r="AE203"/>
      <c r="AF203"/>
      <c r="AG203"/>
      <c r="AH203"/>
      <c r="AI203"/>
      <c r="AJ203"/>
      <c r="AK203"/>
      <c r="AL203"/>
      <c r="AM203"/>
      <c r="AN203"/>
      <c r="AO203"/>
      <c r="AP203"/>
      <c r="AQ203"/>
      <c r="AR203"/>
      <c r="AS203"/>
      <c r="AT203"/>
      <c r="AU203"/>
      <c r="AV203" s="1" t="s">
        <v>38</v>
      </c>
      <c r="BG203" s="7" t="s">
        <v>1242</v>
      </c>
    </row>
    <row r="204" spans="1:59" s="1" customFormat="1" ht="72" x14ac:dyDescent="0.45">
      <c r="A204" s="5">
        <v>203</v>
      </c>
      <c r="B204" s="1" t="s">
        <v>10823</v>
      </c>
      <c r="C204" s="6"/>
      <c r="J204" s="1" t="s">
        <v>7557</v>
      </c>
      <c r="K204" s="11" t="s">
        <v>11768</v>
      </c>
      <c r="P204" s="7" t="s">
        <v>1241</v>
      </c>
      <c r="Q204"/>
      <c r="R204"/>
      <c r="S204"/>
      <c r="T204"/>
      <c r="U204"/>
      <c r="V204"/>
      <c r="W204"/>
      <c r="X204"/>
      <c r="Y204"/>
      <c r="Z204"/>
      <c r="AA204"/>
      <c r="AB204"/>
      <c r="AC204"/>
      <c r="AD204"/>
      <c r="AE204"/>
      <c r="AF204"/>
      <c r="AG204"/>
      <c r="AH204"/>
      <c r="AI204"/>
      <c r="AJ204"/>
      <c r="AK204"/>
      <c r="AL204"/>
      <c r="AM204"/>
      <c r="AN204"/>
      <c r="AO204"/>
      <c r="AP204"/>
      <c r="AQ204"/>
      <c r="AR204"/>
      <c r="AS204"/>
      <c r="AT204"/>
      <c r="AU204"/>
      <c r="AV204" s="1" t="s">
        <v>38</v>
      </c>
      <c r="BG204" s="7" t="s">
        <v>1242</v>
      </c>
    </row>
    <row r="205" spans="1:59" s="1" customFormat="1" ht="72" x14ac:dyDescent="0.45">
      <c r="A205" s="5">
        <v>204</v>
      </c>
      <c r="B205" s="1" t="s">
        <v>10824</v>
      </c>
      <c r="C205" s="6"/>
      <c r="J205" s="1" t="s">
        <v>7557</v>
      </c>
      <c r="K205" s="2" t="s">
        <v>10291</v>
      </c>
      <c r="P205" s="7" t="s">
        <v>1241</v>
      </c>
      <c r="Q205"/>
      <c r="R205"/>
      <c r="S205"/>
      <c r="T205"/>
      <c r="U205"/>
      <c r="V205"/>
      <c r="W205"/>
      <c r="X205"/>
      <c r="Y205"/>
      <c r="Z205"/>
      <c r="AA205"/>
      <c r="AB205"/>
      <c r="AC205"/>
      <c r="AD205"/>
      <c r="AE205"/>
      <c r="AF205"/>
      <c r="AG205"/>
      <c r="AH205"/>
      <c r="AI205"/>
      <c r="AJ205"/>
      <c r="AK205"/>
      <c r="AL205"/>
      <c r="AM205"/>
      <c r="AN205"/>
      <c r="AO205"/>
      <c r="AP205"/>
      <c r="AQ205"/>
      <c r="AR205"/>
      <c r="AS205"/>
      <c r="AT205"/>
      <c r="AU205"/>
      <c r="AV205" s="1" t="s">
        <v>38</v>
      </c>
      <c r="BG205" s="7" t="s">
        <v>1242</v>
      </c>
    </row>
    <row r="206" spans="1:59" s="1" customFormat="1" ht="126" x14ac:dyDescent="0.45">
      <c r="A206" s="5">
        <v>205</v>
      </c>
      <c r="B206" s="1" t="s">
        <v>10825</v>
      </c>
      <c r="C206" s="6"/>
      <c r="J206" s="1" t="s">
        <v>7557</v>
      </c>
      <c r="K206" s="11" t="s">
        <v>11769</v>
      </c>
      <c r="P206" s="7" t="s">
        <v>1241</v>
      </c>
      <c r="Q206"/>
      <c r="R206"/>
      <c r="S206"/>
      <c r="T206"/>
      <c r="U206"/>
      <c r="V206"/>
      <c r="W206"/>
      <c r="X206"/>
      <c r="Y206"/>
      <c r="Z206"/>
      <c r="AA206"/>
      <c r="AB206"/>
      <c r="AC206"/>
      <c r="AD206"/>
      <c r="AE206"/>
      <c r="AF206"/>
      <c r="AG206"/>
      <c r="AH206"/>
      <c r="AI206"/>
      <c r="AJ206"/>
      <c r="AK206"/>
      <c r="AL206"/>
      <c r="AM206"/>
      <c r="AN206"/>
      <c r="AO206"/>
      <c r="AP206"/>
      <c r="AQ206"/>
      <c r="AR206"/>
      <c r="AS206"/>
      <c r="AT206"/>
      <c r="AU206"/>
      <c r="AV206" s="1" t="s">
        <v>38</v>
      </c>
      <c r="BG206" s="7" t="s">
        <v>1242</v>
      </c>
    </row>
    <row r="207" spans="1:59" s="1" customFormat="1" ht="162" x14ac:dyDescent="0.45">
      <c r="A207" s="5">
        <v>206</v>
      </c>
      <c r="B207" s="1" t="s">
        <v>10826</v>
      </c>
      <c r="C207" s="6"/>
      <c r="J207" s="1" t="s">
        <v>7557</v>
      </c>
      <c r="K207" s="11" t="s">
        <v>11770</v>
      </c>
      <c r="P207" s="7" t="s">
        <v>1241</v>
      </c>
      <c r="Q207"/>
      <c r="R207"/>
      <c r="S207"/>
      <c r="T207"/>
      <c r="U207"/>
      <c r="V207"/>
      <c r="W207"/>
      <c r="X207"/>
      <c r="Y207"/>
      <c r="Z207"/>
      <c r="AA207"/>
      <c r="AB207"/>
      <c r="AC207"/>
      <c r="AD207"/>
      <c r="AE207"/>
      <c r="AF207"/>
      <c r="AG207"/>
      <c r="AH207"/>
      <c r="AI207"/>
      <c r="AJ207"/>
      <c r="AK207"/>
      <c r="AL207"/>
      <c r="AM207"/>
      <c r="AN207"/>
      <c r="AO207"/>
      <c r="AP207"/>
      <c r="AQ207"/>
      <c r="AR207"/>
      <c r="AS207"/>
      <c r="AT207"/>
      <c r="AU207"/>
      <c r="AV207" s="1" t="s">
        <v>38</v>
      </c>
      <c r="BG207" s="7" t="s">
        <v>1242</v>
      </c>
    </row>
    <row r="208" spans="1:59" s="1" customFormat="1" ht="108" x14ac:dyDescent="0.45">
      <c r="A208" s="5">
        <v>207</v>
      </c>
      <c r="B208" s="1" t="s">
        <v>10827</v>
      </c>
      <c r="C208" s="6"/>
      <c r="J208" s="1" t="s">
        <v>7557</v>
      </c>
      <c r="K208" s="11" t="s">
        <v>11771</v>
      </c>
      <c r="P208" s="7" t="s">
        <v>1241</v>
      </c>
      <c r="Q208"/>
      <c r="R208"/>
      <c r="S208"/>
      <c r="T208"/>
      <c r="U208"/>
      <c r="V208"/>
      <c r="W208"/>
      <c r="X208"/>
      <c r="Y208"/>
      <c r="Z208"/>
      <c r="AA208"/>
      <c r="AB208"/>
      <c r="AC208"/>
      <c r="AD208"/>
      <c r="AE208"/>
      <c r="AF208"/>
      <c r="AG208"/>
      <c r="AH208"/>
      <c r="AI208"/>
      <c r="AJ208"/>
      <c r="AK208"/>
      <c r="AL208"/>
      <c r="AM208"/>
      <c r="AN208"/>
      <c r="AO208"/>
      <c r="AP208"/>
      <c r="AQ208"/>
      <c r="AR208"/>
      <c r="AS208"/>
      <c r="AT208"/>
      <c r="AU208"/>
      <c r="AV208" s="1" t="s">
        <v>38</v>
      </c>
      <c r="BG208" s="7" t="s">
        <v>1242</v>
      </c>
    </row>
    <row r="209" spans="1:59" s="1" customFormat="1" ht="108" x14ac:dyDescent="0.45">
      <c r="A209" s="5">
        <v>208</v>
      </c>
      <c r="B209" s="1" t="s">
        <v>10828</v>
      </c>
      <c r="C209" s="6"/>
      <c r="J209" s="1" t="s">
        <v>7557</v>
      </c>
      <c r="K209" s="11" t="s">
        <v>11772</v>
      </c>
      <c r="P209" s="7" t="s">
        <v>1241</v>
      </c>
      <c r="Q209"/>
      <c r="R209"/>
      <c r="S209"/>
      <c r="T209"/>
      <c r="U209"/>
      <c r="V209"/>
      <c r="W209"/>
      <c r="X209"/>
      <c r="Y209"/>
      <c r="Z209"/>
      <c r="AA209"/>
      <c r="AB209"/>
      <c r="AC209"/>
      <c r="AD209"/>
      <c r="AE209"/>
      <c r="AF209"/>
      <c r="AG209"/>
      <c r="AH209"/>
      <c r="AI209"/>
      <c r="AJ209"/>
      <c r="AK209"/>
      <c r="AL209"/>
      <c r="AM209"/>
      <c r="AN209"/>
      <c r="AO209"/>
      <c r="AP209"/>
      <c r="AQ209"/>
      <c r="AR209"/>
      <c r="AS209"/>
      <c r="AT209"/>
      <c r="AU209"/>
      <c r="AV209" s="1" t="s">
        <v>38</v>
      </c>
      <c r="BG209" s="7" t="s">
        <v>1242</v>
      </c>
    </row>
    <row r="210" spans="1:59" s="1" customFormat="1" ht="144" x14ac:dyDescent="0.45">
      <c r="A210" s="5">
        <v>209</v>
      </c>
      <c r="B210" s="1" t="s">
        <v>10829</v>
      </c>
      <c r="C210" s="6"/>
      <c r="J210" s="1" t="s">
        <v>7557</v>
      </c>
      <c r="K210" s="2" t="s">
        <v>10252</v>
      </c>
      <c r="P210" s="7" t="s">
        <v>1241</v>
      </c>
      <c r="Q210"/>
      <c r="R210"/>
      <c r="S210"/>
      <c r="T210"/>
      <c r="U210"/>
      <c r="V210"/>
      <c r="W210"/>
      <c r="X210"/>
      <c r="Y210"/>
      <c r="Z210"/>
      <c r="AA210"/>
      <c r="AB210"/>
      <c r="AC210"/>
      <c r="AD210"/>
      <c r="AE210"/>
      <c r="AF210"/>
      <c r="AG210"/>
      <c r="AH210"/>
      <c r="AI210"/>
      <c r="AJ210"/>
      <c r="AK210"/>
      <c r="AL210"/>
      <c r="AM210"/>
      <c r="AN210"/>
      <c r="AO210"/>
      <c r="AP210"/>
      <c r="AQ210"/>
      <c r="AR210"/>
      <c r="AS210"/>
      <c r="AT210"/>
      <c r="AU210"/>
      <c r="AV210" s="1" t="s">
        <v>38</v>
      </c>
      <c r="BG210" s="7" t="s">
        <v>1242</v>
      </c>
    </row>
    <row r="211" spans="1:59" s="1" customFormat="1" ht="180" x14ac:dyDescent="0.45">
      <c r="A211" s="5">
        <v>210</v>
      </c>
      <c r="B211" s="1" t="s">
        <v>10830</v>
      </c>
      <c r="C211" s="6"/>
      <c r="J211" s="1" t="s">
        <v>7557</v>
      </c>
      <c r="K211" s="11" t="s">
        <v>11773</v>
      </c>
      <c r="P211" s="7" t="s">
        <v>1241</v>
      </c>
      <c r="Q211"/>
      <c r="R211"/>
      <c r="S211"/>
      <c r="T211"/>
      <c r="U211"/>
      <c r="V211"/>
      <c r="W211"/>
      <c r="X211"/>
      <c r="Y211"/>
      <c r="Z211"/>
      <c r="AA211"/>
      <c r="AB211"/>
      <c r="AC211"/>
      <c r="AD211"/>
      <c r="AE211"/>
      <c r="AF211"/>
      <c r="AG211"/>
      <c r="AH211"/>
      <c r="AI211"/>
      <c r="AJ211"/>
      <c r="AK211"/>
      <c r="AL211"/>
      <c r="AM211"/>
      <c r="AN211"/>
      <c r="AO211"/>
      <c r="AP211"/>
      <c r="AQ211"/>
      <c r="AR211"/>
      <c r="AS211"/>
      <c r="AT211"/>
      <c r="AU211"/>
      <c r="AV211" s="1" t="s">
        <v>38</v>
      </c>
      <c r="BG211" s="7" t="s">
        <v>1242</v>
      </c>
    </row>
    <row r="212" spans="1:59" s="1" customFormat="1" ht="54" x14ac:dyDescent="0.45">
      <c r="A212" s="5">
        <v>211</v>
      </c>
      <c r="B212" s="1" t="s">
        <v>10831</v>
      </c>
      <c r="C212" s="6"/>
      <c r="J212" s="1" t="s">
        <v>7557</v>
      </c>
      <c r="K212" s="2" t="s">
        <v>10309</v>
      </c>
      <c r="P212" s="7" t="s">
        <v>1241</v>
      </c>
      <c r="Q212"/>
      <c r="R212"/>
      <c r="S212"/>
      <c r="T212"/>
      <c r="U212"/>
      <c r="V212"/>
      <c r="W212"/>
      <c r="X212"/>
      <c r="Y212"/>
      <c r="Z212"/>
      <c r="AA212"/>
      <c r="AB212"/>
      <c r="AC212"/>
      <c r="AD212"/>
      <c r="AE212"/>
      <c r="AF212"/>
      <c r="AG212"/>
      <c r="AH212"/>
      <c r="AI212"/>
      <c r="AJ212"/>
      <c r="AK212"/>
      <c r="AL212"/>
      <c r="AM212"/>
      <c r="AN212"/>
      <c r="AO212"/>
      <c r="AP212"/>
      <c r="AQ212"/>
      <c r="AR212"/>
      <c r="AS212"/>
      <c r="AT212"/>
      <c r="AU212"/>
      <c r="AV212" s="1" t="s">
        <v>38</v>
      </c>
      <c r="BG212" s="7" t="s">
        <v>1242</v>
      </c>
    </row>
    <row r="213" spans="1:59" s="1" customFormat="1" ht="54" x14ac:dyDescent="0.45">
      <c r="A213" s="5">
        <v>212</v>
      </c>
      <c r="B213" s="1" t="s">
        <v>10832</v>
      </c>
      <c r="C213" s="6"/>
      <c r="J213" s="1" t="s">
        <v>7557</v>
      </c>
      <c r="K213" s="2" t="s">
        <v>11728</v>
      </c>
      <c r="P213" s="7" t="s">
        <v>1241</v>
      </c>
      <c r="Q213"/>
      <c r="R213"/>
      <c r="S213"/>
      <c r="T213"/>
      <c r="U213"/>
      <c r="V213"/>
      <c r="W213"/>
      <c r="X213"/>
      <c r="Y213"/>
      <c r="Z213"/>
      <c r="AA213"/>
      <c r="AB213"/>
      <c r="AC213"/>
      <c r="AD213"/>
      <c r="AE213"/>
      <c r="AF213"/>
      <c r="AG213"/>
      <c r="AH213"/>
      <c r="AI213"/>
      <c r="AJ213"/>
      <c r="AK213"/>
      <c r="AL213"/>
      <c r="AM213"/>
      <c r="AN213"/>
      <c r="AO213"/>
      <c r="AP213"/>
      <c r="AQ213"/>
      <c r="AR213"/>
      <c r="AS213"/>
      <c r="AT213"/>
      <c r="AU213"/>
      <c r="AV213" s="1" t="s">
        <v>38</v>
      </c>
      <c r="BG213" s="7" t="s">
        <v>1242</v>
      </c>
    </row>
    <row r="214" spans="1:59" s="1" customFormat="1" ht="72" x14ac:dyDescent="0.45">
      <c r="A214" s="5">
        <v>213</v>
      </c>
      <c r="B214" s="1" t="s">
        <v>10833</v>
      </c>
      <c r="C214" s="6"/>
      <c r="J214" s="1" t="s">
        <v>7557</v>
      </c>
      <c r="K214" s="11" t="s">
        <v>11774</v>
      </c>
      <c r="P214" s="7" t="s">
        <v>1241</v>
      </c>
      <c r="Q214"/>
      <c r="R214"/>
      <c r="S214"/>
      <c r="T214"/>
      <c r="U214"/>
      <c r="V214"/>
      <c r="W214"/>
      <c r="X214"/>
      <c r="Y214"/>
      <c r="Z214"/>
      <c r="AA214"/>
      <c r="AB214"/>
      <c r="AC214"/>
      <c r="AD214"/>
      <c r="AE214"/>
      <c r="AF214"/>
      <c r="AG214"/>
      <c r="AH214"/>
      <c r="AI214"/>
      <c r="AJ214"/>
      <c r="AK214"/>
      <c r="AL214"/>
      <c r="AM214"/>
      <c r="AN214"/>
      <c r="AO214"/>
      <c r="AP214"/>
      <c r="AQ214"/>
      <c r="AR214"/>
      <c r="AS214"/>
      <c r="AT214"/>
      <c r="AU214"/>
      <c r="AV214" s="1" t="s">
        <v>38</v>
      </c>
      <c r="BG214" s="7" t="s">
        <v>1242</v>
      </c>
    </row>
    <row r="215" spans="1:59" s="1" customFormat="1" ht="126" x14ac:dyDescent="0.45">
      <c r="A215" s="5">
        <v>214</v>
      </c>
      <c r="B215" s="1" t="s">
        <v>10834</v>
      </c>
      <c r="C215" s="6"/>
      <c r="J215" s="1" t="s">
        <v>7557</v>
      </c>
      <c r="K215" s="11" t="s">
        <v>11775</v>
      </c>
      <c r="P215" s="7" t="s">
        <v>1241</v>
      </c>
      <c r="Q215"/>
      <c r="R215"/>
      <c r="S215"/>
      <c r="T215"/>
      <c r="U215"/>
      <c r="V215"/>
      <c r="W215"/>
      <c r="X215"/>
      <c r="Y215"/>
      <c r="Z215"/>
      <c r="AA215"/>
      <c r="AB215"/>
      <c r="AC215"/>
      <c r="AD215"/>
      <c r="AE215"/>
      <c r="AF215"/>
      <c r="AG215"/>
      <c r="AH215"/>
      <c r="AI215"/>
      <c r="AJ215"/>
      <c r="AK215"/>
      <c r="AL215"/>
      <c r="AM215"/>
      <c r="AN215"/>
      <c r="AO215"/>
      <c r="AP215"/>
      <c r="AQ215"/>
      <c r="AR215"/>
      <c r="AS215"/>
      <c r="AT215"/>
      <c r="AU215"/>
      <c r="AV215" s="1" t="s">
        <v>38</v>
      </c>
      <c r="BG215" s="7" t="s">
        <v>1242</v>
      </c>
    </row>
    <row r="216" spans="1:59" s="1" customFormat="1" ht="144" x14ac:dyDescent="0.45">
      <c r="A216" s="5">
        <v>215</v>
      </c>
      <c r="B216" s="1" t="s">
        <v>10835</v>
      </c>
      <c r="C216" s="6"/>
      <c r="J216" s="1" t="s">
        <v>7557</v>
      </c>
      <c r="K216" s="11" t="s">
        <v>11776</v>
      </c>
      <c r="P216" s="7" t="s">
        <v>1241</v>
      </c>
      <c r="Q216"/>
      <c r="R216"/>
      <c r="S216"/>
      <c r="T216"/>
      <c r="U216"/>
      <c r="V216"/>
      <c r="W216"/>
      <c r="X216"/>
      <c r="Y216"/>
      <c r="Z216"/>
      <c r="AA216"/>
      <c r="AB216"/>
      <c r="AC216"/>
      <c r="AD216"/>
      <c r="AE216"/>
      <c r="AF216"/>
      <c r="AG216"/>
      <c r="AH216"/>
      <c r="AI216"/>
      <c r="AJ216"/>
      <c r="AK216"/>
      <c r="AL216"/>
      <c r="AM216"/>
      <c r="AN216"/>
      <c r="AO216"/>
      <c r="AP216"/>
      <c r="AQ216"/>
      <c r="AR216"/>
      <c r="AS216"/>
      <c r="AT216"/>
      <c r="AU216"/>
      <c r="AV216" s="1" t="s">
        <v>38</v>
      </c>
      <c r="BG216" s="7" t="s">
        <v>1242</v>
      </c>
    </row>
    <row r="217" spans="1:59" s="1" customFormat="1" ht="36" x14ac:dyDescent="0.45">
      <c r="A217" s="5">
        <v>216</v>
      </c>
      <c r="B217" s="1" t="s">
        <v>10836</v>
      </c>
      <c r="C217" s="6"/>
      <c r="J217" s="1" t="s">
        <v>7557</v>
      </c>
      <c r="K217" s="2" t="s">
        <v>10253</v>
      </c>
      <c r="P217" s="7" t="s">
        <v>1241</v>
      </c>
      <c r="Q217"/>
      <c r="R217"/>
      <c r="S217"/>
      <c r="T217"/>
      <c r="U217"/>
      <c r="V217"/>
      <c r="W217"/>
      <c r="X217"/>
      <c r="Y217"/>
      <c r="Z217"/>
      <c r="AA217"/>
      <c r="AB217"/>
      <c r="AC217"/>
      <c r="AD217"/>
      <c r="AE217"/>
      <c r="AF217"/>
      <c r="AG217"/>
      <c r="AH217"/>
      <c r="AI217"/>
      <c r="AJ217"/>
      <c r="AK217"/>
      <c r="AL217"/>
      <c r="AM217"/>
      <c r="AN217"/>
      <c r="AO217"/>
      <c r="AP217"/>
      <c r="AQ217"/>
      <c r="AR217"/>
      <c r="AS217"/>
      <c r="AT217"/>
      <c r="AU217"/>
      <c r="AV217" s="1" t="s">
        <v>38</v>
      </c>
      <c r="BG217" s="7" t="s">
        <v>1242</v>
      </c>
    </row>
    <row r="218" spans="1:59" s="1" customFormat="1" ht="72" x14ac:dyDescent="0.45">
      <c r="A218" s="5">
        <v>217</v>
      </c>
      <c r="B218" s="1" t="s">
        <v>10837</v>
      </c>
      <c r="C218" s="6"/>
      <c r="J218" s="1" t="s">
        <v>7557</v>
      </c>
      <c r="K218" s="2" t="s">
        <v>10254</v>
      </c>
      <c r="P218" s="7" t="s">
        <v>1241</v>
      </c>
      <c r="Q218"/>
      <c r="R218"/>
      <c r="S218"/>
      <c r="T218"/>
      <c r="U218"/>
      <c r="V218"/>
      <c r="W218"/>
      <c r="X218"/>
      <c r="Y218"/>
      <c r="Z218"/>
      <c r="AA218"/>
      <c r="AB218"/>
      <c r="AC218"/>
      <c r="AD218"/>
      <c r="AE218"/>
      <c r="AF218"/>
      <c r="AG218"/>
      <c r="AH218"/>
      <c r="AI218"/>
      <c r="AJ218"/>
      <c r="AK218"/>
      <c r="AL218"/>
      <c r="AM218"/>
      <c r="AN218"/>
      <c r="AO218"/>
      <c r="AP218"/>
      <c r="AQ218"/>
      <c r="AR218"/>
      <c r="AS218"/>
      <c r="AT218"/>
      <c r="AU218"/>
      <c r="AV218" s="1" t="s">
        <v>38</v>
      </c>
      <c r="BG218" s="7" t="s">
        <v>1242</v>
      </c>
    </row>
    <row r="219" spans="1:59" s="1" customFormat="1" ht="108" x14ac:dyDescent="0.45">
      <c r="A219" s="5">
        <v>218</v>
      </c>
      <c r="B219" s="1" t="s">
        <v>10838</v>
      </c>
      <c r="C219" s="6"/>
      <c r="J219" s="1" t="s">
        <v>7557</v>
      </c>
      <c r="K219" s="11" t="s">
        <v>11777</v>
      </c>
      <c r="P219" s="7" t="s">
        <v>1241</v>
      </c>
      <c r="Q219"/>
      <c r="R219"/>
      <c r="S219"/>
      <c r="T219"/>
      <c r="U219"/>
      <c r="V219"/>
      <c r="W219"/>
      <c r="X219"/>
      <c r="Y219"/>
      <c r="Z219"/>
      <c r="AA219"/>
      <c r="AB219"/>
      <c r="AC219"/>
      <c r="AD219"/>
      <c r="AE219"/>
      <c r="AF219"/>
      <c r="AG219"/>
      <c r="AH219"/>
      <c r="AI219"/>
      <c r="AJ219"/>
      <c r="AK219"/>
      <c r="AL219"/>
      <c r="AM219"/>
      <c r="AN219"/>
      <c r="AO219"/>
      <c r="AP219"/>
      <c r="AQ219"/>
      <c r="AR219"/>
      <c r="AS219"/>
      <c r="AT219"/>
      <c r="AU219"/>
      <c r="AV219" s="1" t="s">
        <v>38</v>
      </c>
      <c r="BG219" s="7" t="s">
        <v>1242</v>
      </c>
    </row>
    <row r="220" spans="1:59" s="1" customFormat="1" ht="36" x14ac:dyDescent="0.45">
      <c r="A220" s="5">
        <v>219</v>
      </c>
      <c r="B220" s="1" t="s">
        <v>10839</v>
      </c>
      <c r="C220" s="6"/>
      <c r="J220" s="1" t="s">
        <v>7557</v>
      </c>
      <c r="K220" s="2" t="s">
        <v>10255</v>
      </c>
      <c r="P220" s="7" t="s">
        <v>1241</v>
      </c>
      <c r="Q220"/>
      <c r="R220"/>
      <c r="S220"/>
      <c r="T220"/>
      <c r="U220"/>
      <c r="V220"/>
      <c r="W220"/>
      <c r="X220"/>
      <c r="Y220"/>
      <c r="Z220"/>
      <c r="AA220"/>
      <c r="AB220"/>
      <c r="AC220"/>
      <c r="AD220"/>
      <c r="AE220"/>
      <c r="AF220"/>
      <c r="AG220"/>
      <c r="AH220"/>
      <c r="AI220"/>
      <c r="AJ220"/>
      <c r="AK220"/>
      <c r="AL220"/>
      <c r="AM220"/>
      <c r="AN220"/>
      <c r="AO220"/>
      <c r="AP220"/>
      <c r="AQ220"/>
      <c r="AR220"/>
      <c r="AS220"/>
      <c r="AT220"/>
      <c r="AU220"/>
      <c r="AV220" s="1" t="s">
        <v>38</v>
      </c>
      <c r="BG220" s="7" t="s">
        <v>1242</v>
      </c>
    </row>
    <row r="221" spans="1:59" s="1" customFormat="1" ht="108" x14ac:dyDescent="0.45">
      <c r="A221" s="5">
        <v>220</v>
      </c>
      <c r="B221" s="1" t="s">
        <v>10840</v>
      </c>
      <c r="C221" s="6"/>
      <c r="J221" s="1" t="s">
        <v>7557</v>
      </c>
      <c r="K221" s="11" t="s">
        <v>11778</v>
      </c>
      <c r="P221" s="7" t="s">
        <v>1241</v>
      </c>
      <c r="Q221"/>
      <c r="R221"/>
      <c r="S221"/>
      <c r="T221"/>
      <c r="U221"/>
      <c r="V221"/>
      <c r="W221"/>
      <c r="X221"/>
      <c r="Y221"/>
      <c r="Z221"/>
      <c r="AA221"/>
      <c r="AB221"/>
      <c r="AC221"/>
      <c r="AD221"/>
      <c r="AE221"/>
      <c r="AF221"/>
      <c r="AG221"/>
      <c r="AH221"/>
      <c r="AI221"/>
      <c r="AJ221"/>
      <c r="AK221"/>
      <c r="AL221"/>
      <c r="AM221"/>
      <c r="AN221"/>
      <c r="AO221"/>
      <c r="AP221"/>
      <c r="AQ221"/>
      <c r="AR221"/>
      <c r="AS221"/>
      <c r="AT221"/>
      <c r="AU221"/>
      <c r="AV221" s="1" t="s">
        <v>38</v>
      </c>
      <c r="BG221" s="7" t="s">
        <v>1242</v>
      </c>
    </row>
    <row r="222" spans="1:59" s="1" customFormat="1" ht="108" x14ac:dyDescent="0.45">
      <c r="A222" s="5">
        <v>221</v>
      </c>
      <c r="B222" s="1" t="s">
        <v>10841</v>
      </c>
      <c r="C222" s="6"/>
      <c r="J222" s="1" t="s">
        <v>7557</v>
      </c>
      <c r="K222" s="11" t="s">
        <v>11779</v>
      </c>
      <c r="P222" s="7" t="s">
        <v>1241</v>
      </c>
      <c r="Q222"/>
      <c r="R222"/>
      <c r="S222"/>
      <c r="T222"/>
      <c r="U222"/>
      <c r="V222"/>
      <c r="W222"/>
      <c r="X222"/>
      <c r="Y222"/>
      <c r="Z222"/>
      <c r="AA222"/>
      <c r="AB222"/>
      <c r="AC222"/>
      <c r="AD222"/>
      <c r="AE222"/>
      <c r="AF222"/>
      <c r="AG222"/>
      <c r="AH222"/>
      <c r="AI222"/>
      <c r="AJ222"/>
      <c r="AK222"/>
      <c r="AL222"/>
      <c r="AM222"/>
      <c r="AN222"/>
      <c r="AO222"/>
      <c r="AP222"/>
      <c r="AQ222"/>
      <c r="AR222"/>
      <c r="AS222"/>
      <c r="AT222"/>
      <c r="AU222"/>
      <c r="AV222" s="1" t="s">
        <v>38</v>
      </c>
      <c r="BG222" s="7" t="s">
        <v>1242</v>
      </c>
    </row>
    <row r="223" spans="1:59" s="1" customFormat="1" ht="126" x14ac:dyDescent="0.45">
      <c r="A223" s="5">
        <v>222</v>
      </c>
      <c r="B223" s="1" t="s">
        <v>10842</v>
      </c>
      <c r="C223" s="6"/>
      <c r="J223" s="1" t="s">
        <v>7557</v>
      </c>
      <c r="K223" s="11" t="s">
        <v>11780</v>
      </c>
      <c r="P223" s="7" t="s">
        <v>1241</v>
      </c>
      <c r="Q223"/>
      <c r="R223"/>
      <c r="S223"/>
      <c r="T223"/>
      <c r="U223"/>
      <c r="V223"/>
      <c r="W223"/>
      <c r="X223"/>
      <c r="Y223"/>
      <c r="Z223"/>
      <c r="AA223"/>
      <c r="AB223"/>
      <c r="AC223"/>
      <c r="AD223"/>
      <c r="AE223"/>
      <c r="AF223"/>
      <c r="AG223"/>
      <c r="AH223"/>
      <c r="AI223"/>
      <c r="AJ223"/>
      <c r="AK223"/>
      <c r="AL223"/>
      <c r="AM223"/>
      <c r="AN223"/>
      <c r="AO223"/>
      <c r="AP223"/>
      <c r="AQ223"/>
      <c r="AR223"/>
      <c r="AS223"/>
      <c r="AT223"/>
      <c r="AU223"/>
      <c r="AV223" s="1" t="s">
        <v>38</v>
      </c>
      <c r="BG223" s="7" t="s">
        <v>1242</v>
      </c>
    </row>
    <row r="224" spans="1:59" s="1" customFormat="1" ht="54" x14ac:dyDescent="0.45">
      <c r="A224" s="5">
        <v>223</v>
      </c>
      <c r="B224" s="1" t="s">
        <v>10843</v>
      </c>
      <c r="C224" s="6"/>
      <c r="J224" s="1" t="s">
        <v>7557</v>
      </c>
      <c r="K224" s="2" t="s">
        <v>10256</v>
      </c>
      <c r="P224" s="7" t="s">
        <v>1241</v>
      </c>
      <c r="Q224"/>
      <c r="R224"/>
      <c r="S224"/>
      <c r="T224"/>
      <c r="U224"/>
      <c r="V224"/>
      <c r="W224"/>
      <c r="X224"/>
      <c r="Y224"/>
      <c r="Z224"/>
      <c r="AA224"/>
      <c r="AB224"/>
      <c r="AC224"/>
      <c r="AD224"/>
      <c r="AE224"/>
      <c r="AF224"/>
      <c r="AG224"/>
      <c r="AH224"/>
      <c r="AI224"/>
      <c r="AJ224"/>
      <c r="AK224"/>
      <c r="AL224"/>
      <c r="AM224"/>
      <c r="AN224"/>
      <c r="AO224"/>
      <c r="AP224"/>
      <c r="AQ224"/>
      <c r="AR224"/>
      <c r="AS224"/>
      <c r="AT224"/>
      <c r="AU224"/>
      <c r="AV224" s="1" t="s">
        <v>38</v>
      </c>
      <c r="BG224" s="7" t="s">
        <v>1242</v>
      </c>
    </row>
    <row r="225" spans="1:59" s="1" customFormat="1" ht="72" x14ac:dyDescent="0.45">
      <c r="A225" s="5">
        <v>224</v>
      </c>
      <c r="B225" s="1" t="s">
        <v>10844</v>
      </c>
      <c r="C225" s="6"/>
      <c r="J225" s="1" t="s">
        <v>7557</v>
      </c>
      <c r="K225" s="2" t="s">
        <v>10257</v>
      </c>
      <c r="P225" s="7" t="s">
        <v>1241</v>
      </c>
      <c r="Q225"/>
      <c r="R225"/>
      <c r="S225"/>
      <c r="T225"/>
      <c r="U225"/>
      <c r="V225"/>
      <c r="W225"/>
      <c r="X225"/>
      <c r="Y225"/>
      <c r="Z225"/>
      <c r="AA225"/>
      <c r="AB225"/>
      <c r="AC225"/>
      <c r="AD225"/>
      <c r="AE225"/>
      <c r="AF225"/>
      <c r="AG225"/>
      <c r="AH225"/>
      <c r="AI225"/>
      <c r="AJ225"/>
      <c r="AK225"/>
      <c r="AL225"/>
      <c r="AM225"/>
      <c r="AN225"/>
      <c r="AO225"/>
      <c r="AP225"/>
      <c r="AQ225"/>
      <c r="AR225"/>
      <c r="AS225"/>
      <c r="AT225"/>
      <c r="AU225"/>
      <c r="AV225" s="1" t="s">
        <v>38</v>
      </c>
      <c r="BG225" s="7" t="s">
        <v>1242</v>
      </c>
    </row>
    <row r="226" spans="1:59" s="1" customFormat="1" ht="108" x14ac:dyDescent="0.45">
      <c r="A226" s="5">
        <v>225</v>
      </c>
      <c r="B226" s="1" t="s">
        <v>10845</v>
      </c>
      <c r="C226" s="6"/>
      <c r="J226" s="1" t="s">
        <v>7557</v>
      </c>
      <c r="K226" s="11" t="s">
        <v>11781</v>
      </c>
      <c r="P226" s="7" t="s">
        <v>1241</v>
      </c>
      <c r="Q226"/>
      <c r="R226"/>
      <c r="S226"/>
      <c r="T226"/>
      <c r="U226"/>
      <c r="V226"/>
      <c r="W226"/>
      <c r="X226"/>
      <c r="Y226"/>
      <c r="Z226"/>
      <c r="AA226"/>
      <c r="AB226"/>
      <c r="AC226"/>
      <c r="AD226"/>
      <c r="AE226"/>
      <c r="AF226"/>
      <c r="AG226"/>
      <c r="AH226"/>
      <c r="AI226"/>
      <c r="AJ226"/>
      <c r="AK226"/>
      <c r="AL226"/>
      <c r="AM226"/>
      <c r="AN226"/>
      <c r="AO226"/>
      <c r="AP226"/>
      <c r="AQ226"/>
      <c r="AR226"/>
      <c r="AS226"/>
      <c r="AT226"/>
      <c r="AU226"/>
      <c r="AV226" s="1" t="s">
        <v>38</v>
      </c>
      <c r="BG226" s="7" t="s">
        <v>1242</v>
      </c>
    </row>
    <row r="227" spans="1:59" s="1" customFormat="1" ht="126" x14ac:dyDescent="0.45">
      <c r="A227" s="5">
        <v>226</v>
      </c>
      <c r="B227" s="1" t="s">
        <v>10846</v>
      </c>
      <c r="C227" s="6"/>
      <c r="J227" s="1" t="s">
        <v>7557</v>
      </c>
      <c r="K227" s="11" t="s">
        <v>11782</v>
      </c>
      <c r="P227" s="7" t="s">
        <v>1241</v>
      </c>
      <c r="Q227"/>
      <c r="R227"/>
      <c r="S227"/>
      <c r="T227"/>
      <c r="U227"/>
      <c r="V227"/>
      <c r="W227"/>
      <c r="X227"/>
      <c r="Y227"/>
      <c r="Z227"/>
      <c r="AA227"/>
      <c r="AB227"/>
      <c r="AC227"/>
      <c r="AD227"/>
      <c r="AE227"/>
      <c r="AF227"/>
      <c r="AG227"/>
      <c r="AH227"/>
      <c r="AI227"/>
      <c r="AJ227"/>
      <c r="AK227"/>
      <c r="AL227"/>
      <c r="AM227"/>
      <c r="AN227"/>
      <c r="AO227"/>
      <c r="AP227"/>
      <c r="AQ227"/>
      <c r="AR227"/>
      <c r="AS227"/>
      <c r="AT227"/>
      <c r="AU227"/>
      <c r="AV227" s="1" t="s">
        <v>38</v>
      </c>
      <c r="BG227" s="7" t="s">
        <v>1242</v>
      </c>
    </row>
    <row r="228" spans="1:59" s="1" customFormat="1" ht="252" x14ac:dyDescent="0.45">
      <c r="A228" s="5">
        <v>227</v>
      </c>
      <c r="B228" s="1" t="s">
        <v>10847</v>
      </c>
      <c r="C228" s="6"/>
      <c r="J228" s="1" t="s">
        <v>7557</v>
      </c>
      <c r="K228" s="11" t="s">
        <v>11783</v>
      </c>
      <c r="P228" s="7" t="s">
        <v>1241</v>
      </c>
      <c r="Q228"/>
      <c r="R228"/>
      <c r="S228"/>
      <c r="T228"/>
      <c r="U228"/>
      <c r="V228"/>
      <c r="W228"/>
      <c r="X228"/>
      <c r="Y228"/>
      <c r="Z228"/>
      <c r="AA228"/>
      <c r="AB228"/>
      <c r="AC228"/>
      <c r="AD228"/>
      <c r="AE228"/>
      <c r="AF228"/>
      <c r="AG228"/>
      <c r="AH228"/>
      <c r="AI228"/>
      <c r="AJ228"/>
      <c r="AK228"/>
      <c r="AL228"/>
      <c r="AM228"/>
      <c r="AN228"/>
      <c r="AO228"/>
      <c r="AP228"/>
      <c r="AQ228"/>
      <c r="AR228"/>
      <c r="AS228"/>
      <c r="AT228"/>
      <c r="AU228"/>
      <c r="AV228" s="1" t="s">
        <v>38</v>
      </c>
      <c r="BG228" s="7" t="s">
        <v>1242</v>
      </c>
    </row>
    <row r="229" spans="1:59" s="1" customFormat="1" ht="252" x14ac:dyDescent="0.45">
      <c r="A229" s="5">
        <v>228</v>
      </c>
      <c r="B229" s="1" t="s">
        <v>10848</v>
      </c>
      <c r="C229" s="6"/>
      <c r="J229" s="1" t="s">
        <v>7557</v>
      </c>
      <c r="K229" s="11" t="s">
        <v>11784</v>
      </c>
      <c r="P229" s="7" t="s">
        <v>1241</v>
      </c>
      <c r="Q229"/>
      <c r="R229"/>
      <c r="S229"/>
      <c r="T229"/>
      <c r="U229"/>
      <c r="V229"/>
      <c r="W229"/>
      <c r="X229"/>
      <c r="Y229"/>
      <c r="Z229"/>
      <c r="AA229"/>
      <c r="AB229"/>
      <c r="AC229"/>
      <c r="AD229"/>
      <c r="AE229"/>
      <c r="AF229"/>
      <c r="AG229"/>
      <c r="AH229"/>
      <c r="AI229"/>
      <c r="AJ229"/>
      <c r="AK229"/>
      <c r="AL229"/>
      <c r="AM229"/>
      <c r="AN229"/>
      <c r="AO229"/>
      <c r="AP229"/>
      <c r="AQ229"/>
      <c r="AR229"/>
      <c r="AS229"/>
      <c r="AT229"/>
      <c r="AU229"/>
      <c r="AV229" s="1" t="s">
        <v>38</v>
      </c>
      <c r="BG229" s="7" t="s">
        <v>1242</v>
      </c>
    </row>
    <row r="230" spans="1:59" s="1" customFormat="1" ht="108" x14ac:dyDescent="0.45">
      <c r="A230" s="5">
        <v>229</v>
      </c>
      <c r="B230" s="1" t="s">
        <v>10849</v>
      </c>
      <c r="C230" s="6"/>
      <c r="J230" s="1" t="s">
        <v>7557</v>
      </c>
      <c r="K230" s="2" t="s">
        <v>10268</v>
      </c>
      <c r="P230" s="7" t="s">
        <v>1241</v>
      </c>
      <c r="Q230"/>
      <c r="R230"/>
      <c r="S230"/>
      <c r="T230"/>
      <c r="U230"/>
      <c r="V230"/>
      <c r="W230"/>
      <c r="X230"/>
      <c r="Y230"/>
      <c r="Z230"/>
      <c r="AA230"/>
      <c r="AB230"/>
      <c r="AC230"/>
      <c r="AD230"/>
      <c r="AE230"/>
      <c r="AF230"/>
      <c r="AG230"/>
      <c r="AH230"/>
      <c r="AI230"/>
      <c r="AJ230"/>
      <c r="AK230"/>
      <c r="AL230"/>
      <c r="AM230"/>
      <c r="AN230"/>
      <c r="AO230"/>
      <c r="AP230"/>
      <c r="AQ230"/>
      <c r="AR230"/>
      <c r="AS230"/>
      <c r="AT230"/>
      <c r="AU230"/>
      <c r="AV230" s="1" t="s">
        <v>38</v>
      </c>
      <c r="BG230" s="7" t="s">
        <v>1242</v>
      </c>
    </row>
    <row r="231" spans="1:59" s="1" customFormat="1" ht="108" x14ac:dyDescent="0.45">
      <c r="A231" s="5">
        <v>230</v>
      </c>
      <c r="B231" s="1" t="s">
        <v>10850</v>
      </c>
      <c r="C231" s="6"/>
      <c r="J231" s="1" t="s">
        <v>7557</v>
      </c>
      <c r="K231" s="2" t="s">
        <v>10258</v>
      </c>
      <c r="P231" s="7" t="s">
        <v>1241</v>
      </c>
      <c r="Q231"/>
      <c r="R231"/>
      <c r="S231"/>
      <c r="T231"/>
      <c r="U231"/>
      <c r="V231"/>
      <c r="W231"/>
      <c r="X231"/>
      <c r="Y231"/>
      <c r="Z231"/>
      <c r="AA231"/>
      <c r="AB231"/>
      <c r="AC231"/>
      <c r="AD231"/>
      <c r="AE231"/>
      <c r="AF231"/>
      <c r="AG231"/>
      <c r="AH231"/>
      <c r="AI231"/>
      <c r="AJ231"/>
      <c r="AK231"/>
      <c r="AL231"/>
      <c r="AM231"/>
      <c r="AN231"/>
      <c r="AO231"/>
      <c r="AP231"/>
      <c r="AQ231"/>
      <c r="AR231"/>
      <c r="AS231"/>
      <c r="AT231"/>
      <c r="AU231"/>
      <c r="AV231" s="1" t="s">
        <v>38</v>
      </c>
      <c r="BG231" s="7" t="s">
        <v>1242</v>
      </c>
    </row>
    <row r="232" spans="1:59" s="1" customFormat="1" ht="72" x14ac:dyDescent="0.45">
      <c r="A232" s="5">
        <v>231</v>
      </c>
      <c r="B232" s="1" t="s">
        <v>10851</v>
      </c>
      <c r="C232" s="6"/>
      <c r="J232" s="1" t="s">
        <v>7557</v>
      </c>
      <c r="K232" s="11" t="s">
        <v>11785</v>
      </c>
      <c r="P232" s="7" t="s">
        <v>1241</v>
      </c>
      <c r="Q232"/>
      <c r="R232"/>
      <c r="S232"/>
      <c r="T232"/>
      <c r="U232"/>
      <c r="V232"/>
      <c r="W232"/>
      <c r="X232"/>
      <c r="Y232"/>
      <c r="Z232"/>
      <c r="AA232"/>
      <c r="AB232"/>
      <c r="AC232"/>
      <c r="AD232"/>
      <c r="AE232"/>
      <c r="AF232"/>
      <c r="AG232"/>
      <c r="AH232"/>
      <c r="AI232"/>
      <c r="AJ232"/>
      <c r="AK232"/>
      <c r="AL232"/>
      <c r="AM232"/>
      <c r="AN232"/>
      <c r="AO232"/>
      <c r="AP232"/>
      <c r="AQ232"/>
      <c r="AR232"/>
      <c r="AS232"/>
      <c r="AT232"/>
      <c r="AU232"/>
      <c r="AV232" s="1" t="s">
        <v>38</v>
      </c>
      <c r="BG232" s="7" t="s">
        <v>1242</v>
      </c>
    </row>
    <row r="233" spans="1:59" s="1" customFormat="1" ht="108" x14ac:dyDescent="0.45">
      <c r="A233" s="5">
        <v>232</v>
      </c>
      <c r="B233" s="1" t="s">
        <v>10852</v>
      </c>
      <c r="C233" s="6"/>
      <c r="J233" s="1" t="s">
        <v>7557</v>
      </c>
      <c r="K233" s="11" t="s">
        <v>11786</v>
      </c>
      <c r="P233" s="7" t="s">
        <v>1241</v>
      </c>
      <c r="Q233"/>
      <c r="R233"/>
      <c r="S233"/>
      <c r="T233"/>
      <c r="U233"/>
      <c r="V233"/>
      <c r="W233"/>
      <c r="X233"/>
      <c r="Y233"/>
      <c r="Z233"/>
      <c r="AA233"/>
      <c r="AB233"/>
      <c r="AC233"/>
      <c r="AD233"/>
      <c r="AE233"/>
      <c r="AF233"/>
      <c r="AG233"/>
      <c r="AH233"/>
      <c r="AI233"/>
      <c r="AJ233"/>
      <c r="AK233"/>
      <c r="AL233"/>
      <c r="AM233"/>
      <c r="AN233"/>
      <c r="AO233"/>
      <c r="AP233"/>
      <c r="AQ233"/>
      <c r="AR233"/>
      <c r="AS233"/>
      <c r="AT233"/>
      <c r="AU233"/>
      <c r="AV233" s="1" t="s">
        <v>38</v>
      </c>
      <c r="BG233" s="7" t="s">
        <v>1242</v>
      </c>
    </row>
    <row r="234" spans="1:59" s="1" customFormat="1" ht="108" x14ac:dyDescent="0.45">
      <c r="A234" s="5">
        <v>233</v>
      </c>
      <c r="B234" s="1" t="s">
        <v>10853</v>
      </c>
      <c r="C234" s="6"/>
      <c r="J234" s="1" t="s">
        <v>7557</v>
      </c>
      <c r="K234" s="11" t="s">
        <v>11787</v>
      </c>
      <c r="P234" s="7" t="s">
        <v>1241</v>
      </c>
      <c r="Q234"/>
      <c r="R234"/>
      <c r="S234"/>
      <c r="T234"/>
      <c r="U234"/>
      <c r="V234"/>
      <c r="W234"/>
      <c r="X234"/>
      <c r="Y234"/>
      <c r="Z234"/>
      <c r="AA234"/>
      <c r="AB234"/>
      <c r="AC234"/>
      <c r="AD234"/>
      <c r="AE234"/>
      <c r="AF234"/>
      <c r="AG234"/>
      <c r="AH234"/>
      <c r="AI234"/>
      <c r="AJ234"/>
      <c r="AK234"/>
      <c r="AL234"/>
      <c r="AM234"/>
      <c r="AN234"/>
      <c r="AO234"/>
      <c r="AP234"/>
      <c r="AQ234"/>
      <c r="AR234"/>
      <c r="AS234"/>
      <c r="AT234"/>
      <c r="AU234"/>
      <c r="AV234" s="1" t="s">
        <v>38</v>
      </c>
      <c r="BG234" s="7" t="s">
        <v>1242</v>
      </c>
    </row>
    <row r="235" spans="1:59" s="1" customFormat="1" ht="90" x14ac:dyDescent="0.45">
      <c r="A235" s="5">
        <v>234</v>
      </c>
      <c r="B235" s="1" t="s">
        <v>10854</v>
      </c>
      <c r="C235" s="6"/>
      <c r="J235" s="1" t="s">
        <v>7557</v>
      </c>
      <c r="K235" s="11" t="s">
        <v>11788</v>
      </c>
      <c r="P235" s="7" t="s">
        <v>1241</v>
      </c>
      <c r="Q235"/>
      <c r="R235"/>
      <c r="S235"/>
      <c r="T235"/>
      <c r="U235"/>
      <c r="V235"/>
      <c r="W235"/>
      <c r="X235"/>
      <c r="Y235"/>
      <c r="Z235"/>
      <c r="AA235"/>
      <c r="AB235"/>
      <c r="AC235"/>
      <c r="AD235"/>
      <c r="AE235"/>
      <c r="AF235"/>
      <c r="AG235"/>
      <c r="AH235"/>
      <c r="AI235"/>
      <c r="AJ235"/>
      <c r="AK235"/>
      <c r="AL235"/>
      <c r="AM235"/>
      <c r="AN235"/>
      <c r="AO235"/>
      <c r="AP235"/>
      <c r="AQ235"/>
      <c r="AR235"/>
      <c r="AS235"/>
      <c r="AT235"/>
      <c r="AU235"/>
      <c r="AV235" s="1" t="s">
        <v>38</v>
      </c>
      <c r="BG235" s="7" t="s">
        <v>1242</v>
      </c>
    </row>
    <row r="236" spans="1:59" s="1" customFormat="1" ht="180" x14ac:dyDescent="0.45">
      <c r="A236" s="5">
        <v>235</v>
      </c>
      <c r="B236" s="1" t="s">
        <v>10855</v>
      </c>
      <c r="C236" s="6"/>
      <c r="J236" s="1" t="s">
        <v>7557</v>
      </c>
      <c r="K236" s="11" t="s">
        <v>11789</v>
      </c>
      <c r="P236" s="7" t="s">
        <v>1241</v>
      </c>
      <c r="Q236"/>
      <c r="R236"/>
      <c r="S236"/>
      <c r="T236"/>
      <c r="U236"/>
      <c r="V236"/>
      <c r="W236"/>
      <c r="X236"/>
      <c r="Y236"/>
      <c r="Z236"/>
      <c r="AA236"/>
      <c r="AB236"/>
      <c r="AC236"/>
      <c r="AD236"/>
      <c r="AE236"/>
      <c r="AF236"/>
      <c r="AG236"/>
      <c r="AH236"/>
      <c r="AI236"/>
      <c r="AJ236"/>
      <c r="AK236"/>
      <c r="AL236"/>
      <c r="AM236"/>
      <c r="AN236"/>
      <c r="AO236"/>
      <c r="AP236"/>
      <c r="AQ236"/>
      <c r="AR236"/>
      <c r="AS236"/>
      <c r="AT236"/>
      <c r="AU236"/>
      <c r="AV236" s="1" t="s">
        <v>38</v>
      </c>
      <c r="BG236" s="7" t="s">
        <v>1242</v>
      </c>
    </row>
    <row r="237" spans="1:59" s="1" customFormat="1" ht="198" x14ac:dyDescent="0.45">
      <c r="A237" s="5">
        <v>236</v>
      </c>
      <c r="B237" s="1" t="s">
        <v>10856</v>
      </c>
      <c r="C237" s="6"/>
      <c r="J237" s="1" t="s">
        <v>7557</v>
      </c>
      <c r="K237" s="11" t="s">
        <v>11790</v>
      </c>
      <c r="P237" s="7" t="s">
        <v>1241</v>
      </c>
      <c r="Q237"/>
      <c r="R237"/>
      <c r="S237"/>
      <c r="T237"/>
      <c r="U237"/>
      <c r="V237"/>
      <c r="W237"/>
      <c r="X237"/>
      <c r="Y237"/>
      <c r="Z237"/>
      <c r="AA237"/>
      <c r="AB237"/>
      <c r="AC237"/>
      <c r="AD237"/>
      <c r="AE237"/>
      <c r="AF237"/>
      <c r="AG237"/>
      <c r="AH237"/>
      <c r="AI237"/>
      <c r="AJ237"/>
      <c r="AK237"/>
      <c r="AL237"/>
      <c r="AM237"/>
      <c r="AN237"/>
      <c r="AO237"/>
      <c r="AP237"/>
      <c r="AQ237"/>
      <c r="AR237"/>
      <c r="AS237"/>
      <c r="AT237"/>
      <c r="AU237"/>
      <c r="AV237" s="1" t="s">
        <v>38</v>
      </c>
      <c r="BG237" s="7" t="s">
        <v>1242</v>
      </c>
    </row>
    <row r="238" spans="1:59" s="1" customFormat="1" ht="198" x14ac:dyDescent="0.45">
      <c r="A238" s="5">
        <v>237</v>
      </c>
      <c r="B238" s="1" t="s">
        <v>10857</v>
      </c>
      <c r="C238" s="6"/>
      <c r="J238" s="1" t="s">
        <v>7557</v>
      </c>
      <c r="K238" s="11" t="s">
        <v>11791</v>
      </c>
      <c r="P238" s="7" t="s">
        <v>1241</v>
      </c>
      <c r="Q238"/>
      <c r="R238"/>
      <c r="S238"/>
      <c r="T238"/>
      <c r="U238"/>
      <c r="V238"/>
      <c r="W238"/>
      <c r="X238"/>
      <c r="Y238"/>
      <c r="Z238"/>
      <c r="AA238"/>
      <c r="AB238"/>
      <c r="AC238"/>
      <c r="AD238"/>
      <c r="AE238"/>
      <c r="AF238"/>
      <c r="AG238"/>
      <c r="AH238"/>
      <c r="AI238"/>
      <c r="AJ238"/>
      <c r="AK238"/>
      <c r="AL238"/>
      <c r="AM238"/>
      <c r="AN238"/>
      <c r="AO238"/>
      <c r="AP238"/>
      <c r="AQ238"/>
      <c r="AR238"/>
      <c r="AS238"/>
      <c r="AT238"/>
      <c r="AU238"/>
      <c r="AV238" s="1" t="s">
        <v>38</v>
      </c>
      <c r="BG238" s="7" t="s">
        <v>1242</v>
      </c>
    </row>
    <row r="239" spans="1:59" s="1" customFormat="1" ht="72" x14ac:dyDescent="0.45">
      <c r="A239" s="5">
        <v>238</v>
      </c>
      <c r="B239" s="1" t="s">
        <v>10858</v>
      </c>
      <c r="C239" s="6"/>
      <c r="J239" s="1" t="s">
        <v>7557</v>
      </c>
      <c r="K239" s="11" t="s">
        <v>11792</v>
      </c>
      <c r="P239" s="7" t="s">
        <v>1241</v>
      </c>
      <c r="Q239"/>
      <c r="R239"/>
      <c r="S239"/>
      <c r="T239"/>
      <c r="U239"/>
      <c r="V239"/>
      <c r="W239"/>
      <c r="X239"/>
      <c r="Y239"/>
      <c r="Z239"/>
      <c r="AA239"/>
      <c r="AB239"/>
      <c r="AC239"/>
      <c r="AD239"/>
      <c r="AE239"/>
      <c r="AF239"/>
      <c r="AG239"/>
      <c r="AH239"/>
      <c r="AI239"/>
      <c r="AJ239"/>
      <c r="AK239"/>
      <c r="AL239"/>
      <c r="AM239"/>
      <c r="AN239"/>
      <c r="AO239"/>
      <c r="AP239"/>
      <c r="AQ239"/>
      <c r="AR239"/>
      <c r="AS239"/>
      <c r="AT239"/>
      <c r="AU239"/>
      <c r="AV239" s="1" t="s">
        <v>38</v>
      </c>
      <c r="BG239" s="7" t="s">
        <v>1242</v>
      </c>
    </row>
    <row r="240" spans="1:59" s="1" customFormat="1" ht="108" x14ac:dyDescent="0.45">
      <c r="A240" s="5">
        <v>239</v>
      </c>
      <c r="B240" s="1" t="s">
        <v>10859</v>
      </c>
      <c r="C240" s="6"/>
      <c r="J240" s="1" t="s">
        <v>7557</v>
      </c>
      <c r="K240" s="11" t="s">
        <v>11793</v>
      </c>
      <c r="P240" s="7" t="s">
        <v>1241</v>
      </c>
      <c r="Q240"/>
      <c r="R240"/>
      <c r="S240"/>
      <c r="T240"/>
      <c r="U240"/>
      <c r="V240"/>
      <c r="W240"/>
      <c r="X240"/>
      <c r="Y240"/>
      <c r="Z240"/>
      <c r="AA240"/>
      <c r="AB240"/>
      <c r="AC240"/>
      <c r="AD240"/>
      <c r="AE240"/>
      <c r="AF240"/>
      <c r="AG240"/>
      <c r="AH240"/>
      <c r="AI240"/>
      <c r="AJ240"/>
      <c r="AK240"/>
      <c r="AL240"/>
      <c r="AM240"/>
      <c r="AN240"/>
      <c r="AO240"/>
      <c r="AP240"/>
      <c r="AQ240"/>
      <c r="AR240"/>
      <c r="AS240"/>
      <c r="AT240"/>
      <c r="AU240"/>
      <c r="AV240" s="1" t="s">
        <v>38</v>
      </c>
      <c r="BG240" s="7" t="s">
        <v>1242</v>
      </c>
    </row>
    <row r="241" spans="1:59" s="1" customFormat="1" ht="72" x14ac:dyDescent="0.45">
      <c r="A241" s="5">
        <v>240</v>
      </c>
      <c r="B241" s="1" t="s">
        <v>10860</v>
      </c>
      <c r="C241" s="6"/>
      <c r="J241" s="1" t="s">
        <v>7557</v>
      </c>
      <c r="K241" s="11" t="s">
        <v>11794</v>
      </c>
      <c r="P241" s="7" t="s">
        <v>1241</v>
      </c>
      <c r="Q241"/>
      <c r="R241"/>
      <c r="S241"/>
      <c r="T241"/>
      <c r="U241"/>
      <c r="V241"/>
      <c r="W241"/>
      <c r="X241"/>
      <c r="Y241"/>
      <c r="Z241"/>
      <c r="AA241"/>
      <c r="AB241"/>
      <c r="AC241"/>
      <c r="AD241"/>
      <c r="AE241"/>
      <c r="AF241"/>
      <c r="AG241"/>
      <c r="AH241"/>
      <c r="AI241"/>
      <c r="AJ241"/>
      <c r="AK241"/>
      <c r="AL241"/>
      <c r="AM241"/>
      <c r="AN241"/>
      <c r="AO241"/>
      <c r="AP241"/>
      <c r="AQ241"/>
      <c r="AR241"/>
      <c r="AS241"/>
      <c r="AT241"/>
      <c r="AU241"/>
      <c r="AV241" s="1" t="s">
        <v>38</v>
      </c>
      <c r="BG241" s="7" t="s">
        <v>1242</v>
      </c>
    </row>
    <row r="242" spans="1:59" s="1" customFormat="1" ht="108" x14ac:dyDescent="0.45">
      <c r="A242" s="5">
        <v>241</v>
      </c>
      <c r="B242" s="1" t="s">
        <v>10861</v>
      </c>
      <c r="C242" s="6"/>
      <c r="J242" s="1" t="s">
        <v>7557</v>
      </c>
      <c r="K242" s="2" t="s">
        <v>10292</v>
      </c>
      <c r="P242" s="7" t="s">
        <v>1241</v>
      </c>
      <c r="Q242"/>
      <c r="R242"/>
      <c r="S242"/>
      <c r="T242"/>
      <c r="U242"/>
      <c r="V242"/>
      <c r="W242"/>
      <c r="X242"/>
      <c r="Y242"/>
      <c r="Z242"/>
      <c r="AA242"/>
      <c r="AB242"/>
      <c r="AC242"/>
      <c r="AD242"/>
      <c r="AE242"/>
      <c r="AF242"/>
      <c r="AG242"/>
      <c r="AH242"/>
      <c r="AI242"/>
      <c r="AJ242"/>
      <c r="AK242"/>
      <c r="AL242"/>
      <c r="AM242"/>
      <c r="AN242"/>
      <c r="AO242"/>
      <c r="AP242"/>
      <c r="AQ242"/>
      <c r="AR242"/>
      <c r="AS242"/>
      <c r="AT242"/>
      <c r="AU242"/>
      <c r="AV242" s="1" t="s">
        <v>38</v>
      </c>
      <c r="BG242" s="7" t="s">
        <v>1242</v>
      </c>
    </row>
    <row r="243" spans="1:59" s="1" customFormat="1" ht="108" x14ac:dyDescent="0.45">
      <c r="A243" s="5">
        <v>242</v>
      </c>
      <c r="B243" s="1" t="s">
        <v>10862</v>
      </c>
      <c r="C243" s="6"/>
      <c r="J243" s="1" t="s">
        <v>7557</v>
      </c>
      <c r="K243" s="2" t="s">
        <v>10293</v>
      </c>
      <c r="P243" s="7" t="s">
        <v>1241</v>
      </c>
      <c r="Q243"/>
      <c r="R243"/>
      <c r="S243"/>
      <c r="T243"/>
      <c r="U243"/>
      <c r="V243"/>
      <c r="W243"/>
      <c r="X243"/>
      <c r="Y243"/>
      <c r="Z243"/>
      <c r="AA243"/>
      <c r="AB243"/>
      <c r="AC243"/>
      <c r="AD243"/>
      <c r="AE243"/>
      <c r="AF243"/>
      <c r="AG243"/>
      <c r="AH243"/>
      <c r="AI243"/>
      <c r="AJ243"/>
      <c r="AK243"/>
      <c r="AL243"/>
      <c r="AM243"/>
      <c r="AN243"/>
      <c r="AO243"/>
      <c r="AP243"/>
      <c r="AQ243"/>
      <c r="AR243"/>
      <c r="AS243"/>
      <c r="AT243"/>
      <c r="AU243"/>
      <c r="AV243" s="1" t="s">
        <v>38</v>
      </c>
      <c r="BG243" s="7" t="s">
        <v>1242</v>
      </c>
    </row>
    <row r="244" spans="1:59" s="1" customFormat="1" ht="108" x14ac:dyDescent="0.45">
      <c r="A244" s="5">
        <v>243</v>
      </c>
      <c r="B244" s="1" t="s">
        <v>10863</v>
      </c>
      <c r="C244" s="6"/>
      <c r="J244" s="1" t="s">
        <v>7557</v>
      </c>
      <c r="K244" s="11" t="s">
        <v>11795</v>
      </c>
      <c r="P244" s="7" t="s">
        <v>1241</v>
      </c>
      <c r="Q244"/>
      <c r="R244"/>
      <c r="S244"/>
      <c r="T244"/>
      <c r="U244"/>
      <c r="V244"/>
      <c r="W244"/>
      <c r="X244"/>
      <c r="Y244"/>
      <c r="Z244"/>
      <c r="AA244"/>
      <c r="AB244"/>
      <c r="AC244"/>
      <c r="AD244"/>
      <c r="AE244"/>
      <c r="AF244"/>
      <c r="AG244"/>
      <c r="AH244"/>
      <c r="AI244"/>
      <c r="AJ244"/>
      <c r="AK244"/>
      <c r="AL244"/>
      <c r="AM244"/>
      <c r="AN244"/>
      <c r="AO244"/>
      <c r="AP244"/>
      <c r="AQ244"/>
      <c r="AR244"/>
      <c r="AS244"/>
      <c r="AT244"/>
      <c r="AU244"/>
      <c r="AV244" s="1" t="s">
        <v>38</v>
      </c>
      <c r="BG244" s="7" t="s">
        <v>1242</v>
      </c>
    </row>
    <row r="245" spans="1:59" s="1" customFormat="1" ht="126" x14ac:dyDescent="0.45">
      <c r="A245" s="5">
        <v>244</v>
      </c>
      <c r="B245" s="1" t="s">
        <v>10864</v>
      </c>
      <c r="C245" s="6"/>
      <c r="J245" s="1" t="s">
        <v>7557</v>
      </c>
      <c r="K245" s="11" t="s">
        <v>11796</v>
      </c>
      <c r="P245" s="7" t="s">
        <v>1241</v>
      </c>
      <c r="Q245"/>
      <c r="R245"/>
      <c r="S245"/>
      <c r="T245"/>
      <c r="U245"/>
      <c r="V245"/>
      <c r="W245"/>
      <c r="X245"/>
      <c r="Y245"/>
      <c r="Z245"/>
      <c r="AA245"/>
      <c r="AB245"/>
      <c r="AC245"/>
      <c r="AD245"/>
      <c r="AE245"/>
      <c r="AF245"/>
      <c r="AG245"/>
      <c r="AH245"/>
      <c r="AI245"/>
      <c r="AJ245"/>
      <c r="AK245"/>
      <c r="AL245"/>
      <c r="AM245"/>
      <c r="AN245"/>
      <c r="AO245"/>
      <c r="AP245"/>
      <c r="AQ245"/>
      <c r="AR245"/>
      <c r="AS245"/>
      <c r="AT245"/>
      <c r="AU245"/>
      <c r="AV245" s="1" t="s">
        <v>38</v>
      </c>
      <c r="BG245" s="7" t="s">
        <v>1242</v>
      </c>
    </row>
    <row r="246" spans="1:59" s="1" customFormat="1" ht="162" x14ac:dyDescent="0.45">
      <c r="A246" s="5">
        <v>245</v>
      </c>
      <c r="B246" s="1" t="s">
        <v>10865</v>
      </c>
      <c r="C246" s="6"/>
      <c r="J246" s="1" t="s">
        <v>7557</v>
      </c>
      <c r="K246" s="11" t="s">
        <v>11797</v>
      </c>
      <c r="P246" s="7" t="s">
        <v>1241</v>
      </c>
      <c r="Q246"/>
      <c r="R246"/>
      <c r="S246"/>
      <c r="T246"/>
      <c r="U246"/>
      <c r="V246"/>
      <c r="W246"/>
      <c r="X246"/>
      <c r="Y246"/>
      <c r="Z246"/>
      <c r="AA246"/>
      <c r="AB246"/>
      <c r="AC246"/>
      <c r="AD246"/>
      <c r="AE246"/>
      <c r="AF246"/>
      <c r="AG246"/>
      <c r="AH246"/>
      <c r="AI246"/>
      <c r="AJ246"/>
      <c r="AK246"/>
      <c r="AL246"/>
      <c r="AM246"/>
      <c r="AN246"/>
      <c r="AO246"/>
      <c r="AP246"/>
      <c r="AQ246"/>
      <c r="AR246"/>
      <c r="AS246"/>
      <c r="AT246"/>
      <c r="AU246"/>
      <c r="AV246" s="1" t="s">
        <v>38</v>
      </c>
      <c r="BG246" s="7" t="s">
        <v>1242</v>
      </c>
    </row>
    <row r="247" spans="1:59" s="1" customFormat="1" ht="144" x14ac:dyDescent="0.45">
      <c r="A247" s="5">
        <v>246</v>
      </c>
      <c r="B247" s="1" t="s">
        <v>10866</v>
      </c>
      <c r="C247" s="6"/>
      <c r="J247" s="1" t="s">
        <v>7557</v>
      </c>
      <c r="K247" s="11" t="s">
        <v>11798</v>
      </c>
      <c r="P247" s="7" t="s">
        <v>1241</v>
      </c>
      <c r="Q247"/>
      <c r="R247"/>
      <c r="S247"/>
      <c r="T247"/>
      <c r="U247"/>
      <c r="V247"/>
      <c r="W247"/>
      <c r="X247"/>
      <c r="Y247"/>
      <c r="Z247"/>
      <c r="AA247"/>
      <c r="AB247"/>
      <c r="AC247"/>
      <c r="AD247"/>
      <c r="AE247"/>
      <c r="AF247"/>
      <c r="AG247"/>
      <c r="AH247"/>
      <c r="AI247"/>
      <c r="AJ247"/>
      <c r="AK247"/>
      <c r="AL247"/>
      <c r="AM247"/>
      <c r="AN247"/>
      <c r="AO247"/>
      <c r="AP247"/>
      <c r="AQ247"/>
      <c r="AR247"/>
      <c r="AS247"/>
      <c r="AT247"/>
      <c r="AU247"/>
      <c r="AV247" s="1" t="s">
        <v>38</v>
      </c>
      <c r="BG247" s="7" t="s">
        <v>1242</v>
      </c>
    </row>
    <row r="248" spans="1:59" s="1" customFormat="1" ht="162" x14ac:dyDescent="0.45">
      <c r="A248" s="5">
        <v>247</v>
      </c>
      <c r="B248" s="1" t="s">
        <v>10867</v>
      </c>
      <c r="C248" s="6"/>
      <c r="J248" s="1" t="s">
        <v>7557</v>
      </c>
      <c r="K248" s="11" t="s">
        <v>11799</v>
      </c>
      <c r="P248" s="7" t="s">
        <v>1241</v>
      </c>
      <c r="Q248"/>
      <c r="R248"/>
      <c r="S248"/>
      <c r="T248"/>
      <c r="U248"/>
      <c r="V248"/>
      <c r="W248"/>
      <c r="X248"/>
      <c r="Y248"/>
      <c r="Z248"/>
      <c r="AA248"/>
      <c r="AB248"/>
      <c r="AC248"/>
      <c r="AD248"/>
      <c r="AE248"/>
      <c r="AF248"/>
      <c r="AG248"/>
      <c r="AH248"/>
      <c r="AI248"/>
      <c r="AJ248"/>
      <c r="AK248"/>
      <c r="AL248"/>
      <c r="AM248"/>
      <c r="AN248"/>
      <c r="AO248"/>
      <c r="AP248"/>
      <c r="AQ248"/>
      <c r="AR248"/>
      <c r="AS248"/>
      <c r="AT248"/>
      <c r="AU248"/>
      <c r="AV248" s="1" t="s">
        <v>38</v>
      </c>
      <c r="BG248" s="7" t="s">
        <v>1242</v>
      </c>
    </row>
    <row r="249" spans="1:59" s="1" customFormat="1" ht="54" x14ac:dyDescent="0.45">
      <c r="A249" s="5">
        <v>248</v>
      </c>
      <c r="B249" s="1" t="s">
        <v>10868</v>
      </c>
      <c r="C249" s="6"/>
      <c r="J249" s="1" t="s">
        <v>7557</v>
      </c>
      <c r="K249" s="11" t="s">
        <v>11800</v>
      </c>
      <c r="P249" s="7" t="s">
        <v>1241</v>
      </c>
      <c r="Q249"/>
      <c r="R249"/>
      <c r="S249"/>
      <c r="T249"/>
      <c r="U249"/>
      <c r="V249"/>
      <c r="W249"/>
      <c r="X249"/>
      <c r="Y249"/>
      <c r="Z249"/>
      <c r="AA249"/>
      <c r="AB249"/>
      <c r="AC249"/>
      <c r="AD249"/>
      <c r="AE249"/>
      <c r="AF249"/>
      <c r="AG249"/>
      <c r="AH249"/>
      <c r="AI249"/>
      <c r="AJ249"/>
      <c r="AK249"/>
      <c r="AL249"/>
      <c r="AM249"/>
      <c r="AN249"/>
      <c r="AO249"/>
      <c r="AP249"/>
      <c r="AQ249"/>
      <c r="AR249"/>
      <c r="AS249"/>
      <c r="AT249"/>
      <c r="AU249"/>
      <c r="AV249" s="1" t="s">
        <v>38</v>
      </c>
      <c r="BG249" s="7" t="s">
        <v>1242</v>
      </c>
    </row>
    <row r="250" spans="1:59" s="1" customFormat="1" ht="144" x14ac:dyDescent="0.45">
      <c r="A250" s="5">
        <v>249</v>
      </c>
      <c r="B250" s="1" t="s">
        <v>10869</v>
      </c>
      <c r="C250" s="6"/>
      <c r="J250" s="1" t="s">
        <v>7557</v>
      </c>
      <c r="K250" s="11" t="s">
        <v>11801</v>
      </c>
      <c r="P250" s="7" t="s">
        <v>1241</v>
      </c>
      <c r="Q250"/>
      <c r="R250"/>
      <c r="S250"/>
      <c r="T250"/>
      <c r="U250"/>
      <c r="V250"/>
      <c r="W250"/>
      <c r="X250"/>
      <c r="Y250"/>
      <c r="Z250"/>
      <c r="AA250"/>
      <c r="AB250"/>
      <c r="AC250"/>
      <c r="AD250"/>
      <c r="AE250"/>
      <c r="AF250"/>
      <c r="AG250"/>
      <c r="AH250"/>
      <c r="AI250"/>
      <c r="AJ250"/>
      <c r="AK250"/>
      <c r="AL250"/>
      <c r="AM250"/>
      <c r="AN250"/>
      <c r="AO250"/>
      <c r="AP250"/>
      <c r="AQ250"/>
      <c r="AR250"/>
      <c r="AS250"/>
      <c r="AT250"/>
      <c r="AU250"/>
      <c r="AV250" s="1" t="s">
        <v>38</v>
      </c>
      <c r="BG250" s="7" t="s">
        <v>1242</v>
      </c>
    </row>
    <row r="251" spans="1:59" s="1" customFormat="1" ht="126" x14ac:dyDescent="0.45">
      <c r="A251" s="5">
        <v>250</v>
      </c>
      <c r="B251" s="1" t="s">
        <v>10870</v>
      </c>
      <c r="C251" s="6"/>
      <c r="J251" s="1" t="s">
        <v>7557</v>
      </c>
      <c r="K251" s="11" t="s">
        <v>11802</v>
      </c>
      <c r="P251" s="7" t="s">
        <v>1241</v>
      </c>
      <c r="Q251"/>
      <c r="R251"/>
      <c r="S251"/>
      <c r="T251"/>
      <c r="U251"/>
      <c r="V251"/>
      <c r="W251"/>
      <c r="X251"/>
      <c r="Y251"/>
      <c r="Z251"/>
      <c r="AA251"/>
      <c r="AB251"/>
      <c r="AC251"/>
      <c r="AD251"/>
      <c r="AE251"/>
      <c r="AF251"/>
      <c r="AG251"/>
      <c r="AH251"/>
      <c r="AI251"/>
      <c r="AJ251"/>
      <c r="AK251"/>
      <c r="AL251"/>
      <c r="AM251"/>
      <c r="AN251"/>
      <c r="AO251"/>
      <c r="AP251"/>
      <c r="AQ251"/>
      <c r="AR251"/>
      <c r="AS251"/>
      <c r="AT251"/>
      <c r="AU251"/>
      <c r="AV251" s="1" t="s">
        <v>38</v>
      </c>
      <c r="BG251" s="7" t="s">
        <v>1242</v>
      </c>
    </row>
    <row r="252" spans="1:59" s="1" customFormat="1" ht="180" x14ac:dyDescent="0.45">
      <c r="A252" s="5">
        <v>251</v>
      </c>
      <c r="B252" s="1" t="s">
        <v>10871</v>
      </c>
      <c r="C252" s="6"/>
      <c r="J252" s="1" t="s">
        <v>7557</v>
      </c>
      <c r="K252" s="11" t="s">
        <v>11803</v>
      </c>
      <c r="P252" s="7" t="s">
        <v>1241</v>
      </c>
      <c r="Q252"/>
      <c r="R252"/>
      <c r="S252"/>
      <c r="T252"/>
      <c r="U252"/>
      <c r="V252"/>
      <c r="W252"/>
      <c r="X252"/>
      <c r="Y252"/>
      <c r="Z252"/>
      <c r="AA252"/>
      <c r="AB252"/>
      <c r="AC252"/>
      <c r="AD252"/>
      <c r="AE252"/>
      <c r="AF252"/>
      <c r="AG252"/>
      <c r="AH252"/>
      <c r="AI252"/>
      <c r="AJ252"/>
      <c r="AK252"/>
      <c r="AL252"/>
      <c r="AM252"/>
      <c r="AN252"/>
      <c r="AO252"/>
      <c r="AP252"/>
      <c r="AQ252"/>
      <c r="AR252"/>
      <c r="AS252"/>
      <c r="AT252"/>
      <c r="AU252"/>
      <c r="AV252" s="1" t="s">
        <v>38</v>
      </c>
      <c r="BG252" s="7" t="s">
        <v>1242</v>
      </c>
    </row>
    <row r="253" spans="1:59" s="1" customFormat="1" ht="180" x14ac:dyDescent="0.45">
      <c r="A253" s="5">
        <v>252</v>
      </c>
      <c r="B253" s="1" t="s">
        <v>10872</v>
      </c>
      <c r="C253" s="6"/>
      <c r="J253" s="1" t="s">
        <v>7557</v>
      </c>
      <c r="K253" s="11" t="s">
        <v>11804</v>
      </c>
      <c r="P253" s="7" t="s">
        <v>1241</v>
      </c>
      <c r="Q253"/>
      <c r="R253"/>
      <c r="S253"/>
      <c r="T253"/>
      <c r="U253"/>
      <c r="V253"/>
      <c r="W253"/>
      <c r="X253"/>
      <c r="Y253"/>
      <c r="Z253"/>
      <c r="AA253"/>
      <c r="AB253"/>
      <c r="AC253"/>
      <c r="AD253"/>
      <c r="AE253"/>
      <c r="AF253"/>
      <c r="AG253"/>
      <c r="AH253"/>
      <c r="AI253"/>
      <c r="AJ253"/>
      <c r="AK253"/>
      <c r="AL253"/>
      <c r="AM253"/>
      <c r="AN253"/>
      <c r="AO253"/>
      <c r="AP253"/>
      <c r="AQ253"/>
      <c r="AR253"/>
      <c r="AS253"/>
      <c r="AT253"/>
      <c r="AU253"/>
      <c r="AV253" s="1" t="s">
        <v>38</v>
      </c>
      <c r="BG253" s="7" t="s">
        <v>1242</v>
      </c>
    </row>
    <row r="254" spans="1:59" s="1" customFormat="1" ht="126" x14ac:dyDescent="0.45">
      <c r="A254" s="5">
        <v>253</v>
      </c>
      <c r="B254" s="1" t="s">
        <v>10873</v>
      </c>
      <c r="C254" s="6"/>
      <c r="J254" s="1" t="s">
        <v>7557</v>
      </c>
      <c r="K254" s="2" t="s">
        <v>10294</v>
      </c>
      <c r="P254" s="7" t="s">
        <v>1241</v>
      </c>
      <c r="Q254"/>
      <c r="R254"/>
      <c r="S254"/>
      <c r="T254"/>
      <c r="U254"/>
      <c r="V254"/>
      <c r="W254"/>
      <c r="X254"/>
      <c r="Y254"/>
      <c r="Z254"/>
      <c r="AA254"/>
      <c r="AB254"/>
      <c r="AC254"/>
      <c r="AD254"/>
      <c r="AE254"/>
      <c r="AF254"/>
      <c r="AG254"/>
      <c r="AH254"/>
      <c r="AI254"/>
      <c r="AJ254"/>
      <c r="AK254"/>
      <c r="AL254"/>
      <c r="AM254"/>
      <c r="AN254"/>
      <c r="AO254"/>
      <c r="AP254"/>
      <c r="AQ254"/>
      <c r="AR254"/>
      <c r="AS254"/>
      <c r="AT254"/>
      <c r="AU254"/>
      <c r="AV254" s="1" t="s">
        <v>38</v>
      </c>
      <c r="BG254" s="7" t="s">
        <v>1242</v>
      </c>
    </row>
    <row r="255" spans="1:59" s="1" customFormat="1" ht="126" x14ac:dyDescent="0.45">
      <c r="A255" s="5">
        <v>254</v>
      </c>
      <c r="B255" s="1" t="s">
        <v>10874</v>
      </c>
      <c r="C255" s="6"/>
      <c r="J255" s="1" t="s">
        <v>7557</v>
      </c>
      <c r="K255" s="2" t="s">
        <v>10295</v>
      </c>
      <c r="P255" s="7" t="s">
        <v>1241</v>
      </c>
      <c r="Q255"/>
      <c r="R255"/>
      <c r="S255"/>
      <c r="T255"/>
      <c r="U255"/>
      <c r="V255"/>
      <c r="W255"/>
      <c r="X255"/>
      <c r="Y255"/>
      <c r="Z255"/>
      <c r="AA255"/>
      <c r="AB255"/>
      <c r="AC255"/>
      <c r="AD255"/>
      <c r="AE255"/>
      <c r="AF255"/>
      <c r="AG255"/>
      <c r="AH255"/>
      <c r="AI255"/>
      <c r="AJ255"/>
      <c r="AK255"/>
      <c r="AL255"/>
      <c r="AM255"/>
      <c r="AN255"/>
      <c r="AO255"/>
      <c r="AP255"/>
      <c r="AQ255"/>
      <c r="AR255"/>
      <c r="AS255"/>
      <c r="AT255"/>
      <c r="AU255"/>
      <c r="AV255" s="1" t="s">
        <v>38</v>
      </c>
      <c r="BG255" s="7" t="s">
        <v>1242</v>
      </c>
    </row>
    <row r="256" spans="1:59" s="1" customFormat="1" ht="90" x14ac:dyDescent="0.45">
      <c r="A256" s="5">
        <v>255</v>
      </c>
      <c r="B256" s="1" t="s">
        <v>10875</v>
      </c>
      <c r="C256" s="6"/>
      <c r="J256" s="1" t="s">
        <v>7557</v>
      </c>
      <c r="K256" s="11" t="s">
        <v>11805</v>
      </c>
      <c r="P256" s="7" t="s">
        <v>1241</v>
      </c>
      <c r="Q256"/>
      <c r="R256"/>
      <c r="S256"/>
      <c r="T256"/>
      <c r="U256"/>
      <c r="V256"/>
      <c r="W256"/>
      <c r="X256"/>
      <c r="Y256"/>
      <c r="Z256"/>
      <c r="AA256"/>
      <c r="AB256"/>
      <c r="AC256"/>
      <c r="AD256"/>
      <c r="AE256"/>
      <c r="AF256"/>
      <c r="AG256"/>
      <c r="AH256"/>
      <c r="AI256"/>
      <c r="AJ256"/>
      <c r="AK256"/>
      <c r="AL256"/>
      <c r="AM256"/>
      <c r="AN256"/>
      <c r="AO256"/>
      <c r="AP256"/>
      <c r="AQ256"/>
      <c r="AR256"/>
      <c r="AS256"/>
      <c r="AT256"/>
      <c r="AU256"/>
      <c r="AV256" s="1" t="s">
        <v>38</v>
      </c>
      <c r="BG256" s="7" t="s">
        <v>1242</v>
      </c>
    </row>
    <row r="257" spans="1:59" s="1" customFormat="1" ht="108" x14ac:dyDescent="0.45">
      <c r="A257" s="5">
        <v>256</v>
      </c>
      <c r="B257" s="1" t="s">
        <v>10876</v>
      </c>
      <c r="C257" s="6"/>
      <c r="J257" s="1" t="s">
        <v>7557</v>
      </c>
      <c r="K257" s="11" t="s">
        <v>11806</v>
      </c>
      <c r="P257" s="7" t="s">
        <v>1241</v>
      </c>
      <c r="Q257"/>
      <c r="R257"/>
      <c r="S257"/>
      <c r="T257"/>
      <c r="U257"/>
      <c r="V257"/>
      <c r="W257"/>
      <c r="X257"/>
      <c r="Y257"/>
      <c r="Z257"/>
      <c r="AA257"/>
      <c r="AB257"/>
      <c r="AC257"/>
      <c r="AD257"/>
      <c r="AE257"/>
      <c r="AF257"/>
      <c r="AG257"/>
      <c r="AH257"/>
      <c r="AI257"/>
      <c r="AJ257"/>
      <c r="AK257"/>
      <c r="AL257"/>
      <c r="AM257"/>
      <c r="AN257"/>
      <c r="AO257"/>
      <c r="AP257"/>
      <c r="AQ257"/>
      <c r="AR257"/>
      <c r="AS257"/>
      <c r="AT257"/>
      <c r="AU257"/>
      <c r="AV257" s="1" t="s">
        <v>38</v>
      </c>
      <c r="BG257" s="7" t="s">
        <v>1242</v>
      </c>
    </row>
    <row r="258" spans="1:59" s="1" customFormat="1" ht="90" x14ac:dyDescent="0.45">
      <c r="A258" s="5">
        <v>257</v>
      </c>
      <c r="B258" s="1" t="s">
        <v>10877</v>
      </c>
      <c r="C258" s="6"/>
      <c r="J258" s="1" t="s">
        <v>7557</v>
      </c>
      <c r="K258" s="11" t="s">
        <v>11807</v>
      </c>
      <c r="P258" s="7" t="s">
        <v>1241</v>
      </c>
      <c r="Q258"/>
      <c r="R258"/>
      <c r="S258"/>
      <c r="T258"/>
      <c r="U258"/>
      <c r="V258"/>
      <c r="W258"/>
      <c r="X258"/>
      <c r="Y258"/>
      <c r="Z258"/>
      <c r="AA258"/>
      <c r="AB258"/>
      <c r="AC258"/>
      <c r="AD258"/>
      <c r="AE258"/>
      <c r="AF258"/>
      <c r="AG258"/>
      <c r="AH258"/>
      <c r="AI258"/>
      <c r="AJ258"/>
      <c r="AK258"/>
      <c r="AL258"/>
      <c r="AM258"/>
      <c r="AN258"/>
      <c r="AO258"/>
      <c r="AP258"/>
      <c r="AQ258"/>
      <c r="AR258"/>
      <c r="AS258"/>
      <c r="AT258"/>
      <c r="AU258"/>
      <c r="AV258" s="1" t="s">
        <v>38</v>
      </c>
      <c r="BG258" s="7" t="s">
        <v>1242</v>
      </c>
    </row>
    <row r="259" spans="1:59" s="1" customFormat="1" ht="126" x14ac:dyDescent="0.45">
      <c r="A259" s="5">
        <v>258</v>
      </c>
      <c r="B259" s="1" t="s">
        <v>10878</v>
      </c>
      <c r="C259" s="6"/>
      <c r="J259" s="1" t="s">
        <v>7557</v>
      </c>
      <c r="K259" s="11" t="s">
        <v>11808</v>
      </c>
      <c r="P259" s="7" t="s">
        <v>1241</v>
      </c>
      <c r="Q259"/>
      <c r="R259"/>
      <c r="S259"/>
      <c r="T259"/>
      <c r="U259"/>
      <c r="V259"/>
      <c r="W259"/>
      <c r="X259"/>
      <c r="Y259"/>
      <c r="Z259"/>
      <c r="AA259"/>
      <c r="AB259"/>
      <c r="AC259"/>
      <c r="AD259"/>
      <c r="AE259"/>
      <c r="AF259"/>
      <c r="AG259"/>
      <c r="AH259"/>
      <c r="AI259"/>
      <c r="AJ259"/>
      <c r="AK259"/>
      <c r="AL259"/>
      <c r="AM259"/>
      <c r="AN259"/>
      <c r="AO259"/>
      <c r="AP259"/>
      <c r="AQ259"/>
      <c r="AR259"/>
      <c r="AS259"/>
      <c r="AT259"/>
      <c r="AU259"/>
      <c r="AV259" s="1" t="s">
        <v>38</v>
      </c>
      <c r="BG259" s="7" t="s">
        <v>1242</v>
      </c>
    </row>
    <row r="260" spans="1:59" s="1" customFormat="1" ht="72" x14ac:dyDescent="0.45">
      <c r="A260" s="5">
        <v>259</v>
      </c>
      <c r="B260" s="1" t="s">
        <v>10879</v>
      </c>
      <c r="C260" s="6"/>
      <c r="J260" s="1" t="s">
        <v>7557</v>
      </c>
      <c r="K260" s="11" t="s">
        <v>11809</v>
      </c>
      <c r="P260" s="7" t="s">
        <v>1241</v>
      </c>
      <c r="Q260"/>
      <c r="R260"/>
      <c r="S260"/>
      <c r="T260"/>
      <c r="U260"/>
      <c r="V260"/>
      <c r="W260"/>
      <c r="X260"/>
      <c r="Y260"/>
      <c r="Z260"/>
      <c r="AA260"/>
      <c r="AB260"/>
      <c r="AC260"/>
      <c r="AD260"/>
      <c r="AE260"/>
      <c r="AF260"/>
      <c r="AG260"/>
      <c r="AH260"/>
      <c r="AI260"/>
      <c r="AJ260"/>
      <c r="AK260"/>
      <c r="AL260"/>
      <c r="AM260"/>
      <c r="AN260"/>
      <c r="AO260"/>
      <c r="AP260"/>
      <c r="AQ260"/>
      <c r="AR260"/>
      <c r="AS260"/>
      <c r="AT260"/>
      <c r="AU260"/>
      <c r="AV260" s="1" t="s">
        <v>38</v>
      </c>
      <c r="BG260" s="7" t="s">
        <v>1242</v>
      </c>
    </row>
    <row r="261" spans="1:59" s="1" customFormat="1" ht="90" x14ac:dyDescent="0.45">
      <c r="A261" s="5">
        <v>260</v>
      </c>
      <c r="B261" s="1" t="s">
        <v>10880</v>
      </c>
      <c r="C261" s="6"/>
      <c r="J261" s="1" t="s">
        <v>7557</v>
      </c>
      <c r="K261" s="11" t="s">
        <v>11810</v>
      </c>
      <c r="P261" s="7" t="s">
        <v>1241</v>
      </c>
      <c r="Q261"/>
      <c r="R261"/>
      <c r="S261"/>
      <c r="T261"/>
      <c r="U261"/>
      <c r="V261"/>
      <c r="W261"/>
      <c r="X261"/>
      <c r="Y261"/>
      <c r="Z261"/>
      <c r="AA261"/>
      <c r="AB261"/>
      <c r="AC261"/>
      <c r="AD261"/>
      <c r="AE261"/>
      <c r="AF261"/>
      <c r="AG261"/>
      <c r="AH261"/>
      <c r="AI261"/>
      <c r="AJ261"/>
      <c r="AK261"/>
      <c r="AL261"/>
      <c r="AM261"/>
      <c r="AN261"/>
      <c r="AO261"/>
      <c r="AP261"/>
      <c r="AQ261"/>
      <c r="AR261"/>
      <c r="AS261"/>
      <c r="AT261"/>
      <c r="AU261"/>
      <c r="AV261" s="1" t="s">
        <v>38</v>
      </c>
      <c r="BG261" s="7" t="s">
        <v>1242</v>
      </c>
    </row>
    <row r="262" spans="1:59" s="1" customFormat="1" ht="126" x14ac:dyDescent="0.45">
      <c r="A262" s="5">
        <v>261</v>
      </c>
      <c r="B262" s="1" t="s">
        <v>10881</v>
      </c>
      <c r="C262" s="6"/>
      <c r="J262" s="1" t="s">
        <v>7557</v>
      </c>
      <c r="K262" s="11" t="s">
        <v>11811</v>
      </c>
      <c r="P262" s="7" t="s">
        <v>1241</v>
      </c>
      <c r="Q262"/>
      <c r="R262"/>
      <c r="S262"/>
      <c r="T262"/>
      <c r="U262"/>
      <c r="V262"/>
      <c r="W262"/>
      <c r="X262"/>
      <c r="Y262"/>
      <c r="Z262"/>
      <c r="AA262"/>
      <c r="AB262"/>
      <c r="AC262"/>
      <c r="AD262"/>
      <c r="AE262"/>
      <c r="AF262"/>
      <c r="AG262"/>
      <c r="AH262"/>
      <c r="AI262"/>
      <c r="AJ262"/>
      <c r="AK262"/>
      <c r="AL262"/>
      <c r="AM262"/>
      <c r="AN262"/>
      <c r="AO262"/>
      <c r="AP262"/>
      <c r="AQ262"/>
      <c r="AR262"/>
      <c r="AS262"/>
      <c r="AT262"/>
      <c r="AU262"/>
      <c r="AV262" s="1" t="s">
        <v>38</v>
      </c>
      <c r="BG262" s="7" t="s">
        <v>1242</v>
      </c>
    </row>
    <row r="263" spans="1:59" s="1" customFormat="1" ht="126" x14ac:dyDescent="0.45">
      <c r="A263" s="5">
        <v>262</v>
      </c>
      <c r="B263" s="1" t="s">
        <v>10882</v>
      </c>
      <c r="C263" s="6"/>
      <c r="J263" s="1" t="s">
        <v>7557</v>
      </c>
      <c r="K263" s="11" t="s">
        <v>11812</v>
      </c>
      <c r="P263" s="7" t="s">
        <v>1241</v>
      </c>
      <c r="Q263"/>
      <c r="R263"/>
      <c r="S263"/>
      <c r="T263"/>
      <c r="U263"/>
      <c r="V263"/>
      <c r="W263"/>
      <c r="X263"/>
      <c r="Y263"/>
      <c r="Z263"/>
      <c r="AA263"/>
      <c r="AB263"/>
      <c r="AC263"/>
      <c r="AD263"/>
      <c r="AE263"/>
      <c r="AF263"/>
      <c r="AG263"/>
      <c r="AH263"/>
      <c r="AI263"/>
      <c r="AJ263"/>
      <c r="AK263"/>
      <c r="AL263"/>
      <c r="AM263"/>
      <c r="AN263"/>
      <c r="AO263"/>
      <c r="AP263"/>
      <c r="AQ263"/>
      <c r="AR263"/>
      <c r="AS263"/>
      <c r="AT263"/>
      <c r="AU263"/>
      <c r="AV263" s="1" t="s">
        <v>38</v>
      </c>
      <c r="BG263" s="7" t="s">
        <v>1242</v>
      </c>
    </row>
    <row r="264" spans="1:59" s="1" customFormat="1" ht="36" x14ac:dyDescent="0.45">
      <c r="A264" s="5">
        <v>263</v>
      </c>
      <c r="B264" s="1" t="s">
        <v>10883</v>
      </c>
      <c r="C264" s="6"/>
      <c r="J264" s="1" t="s">
        <v>7557</v>
      </c>
      <c r="K264" s="2" t="s">
        <v>10271</v>
      </c>
      <c r="P264" s="7" t="s">
        <v>1241</v>
      </c>
      <c r="Q264"/>
      <c r="R264"/>
      <c r="S264"/>
      <c r="T264"/>
      <c r="U264"/>
      <c r="V264"/>
      <c r="W264"/>
      <c r="X264"/>
      <c r="Y264"/>
      <c r="Z264"/>
      <c r="AA264"/>
      <c r="AB264"/>
      <c r="AC264"/>
      <c r="AD264"/>
      <c r="AE264"/>
      <c r="AF264"/>
      <c r="AG264"/>
      <c r="AH264"/>
      <c r="AI264"/>
      <c r="AJ264"/>
      <c r="AK264"/>
      <c r="AL264"/>
      <c r="AM264"/>
      <c r="AN264"/>
      <c r="AO264"/>
      <c r="AP264"/>
      <c r="AQ264"/>
      <c r="AR264"/>
      <c r="AS264"/>
      <c r="AT264"/>
      <c r="AU264"/>
      <c r="AV264" s="1" t="s">
        <v>38</v>
      </c>
      <c r="BG264" s="7" t="s">
        <v>1242</v>
      </c>
    </row>
    <row r="265" spans="1:59" s="1" customFormat="1" ht="36" x14ac:dyDescent="0.45">
      <c r="A265" s="5">
        <v>264</v>
      </c>
      <c r="B265" s="1" t="s">
        <v>10884</v>
      </c>
      <c r="C265" s="6"/>
      <c r="J265" s="1" t="s">
        <v>7557</v>
      </c>
      <c r="K265" s="2" t="s">
        <v>10272</v>
      </c>
      <c r="P265" s="7" t="s">
        <v>1241</v>
      </c>
      <c r="Q265"/>
      <c r="R265"/>
      <c r="S265"/>
      <c r="T265"/>
      <c r="U265"/>
      <c r="V265"/>
      <c r="W265"/>
      <c r="X265"/>
      <c r="Y265"/>
      <c r="Z265"/>
      <c r="AA265"/>
      <c r="AB265"/>
      <c r="AC265"/>
      <c r="AD265"/>
      <c r="AE265"/>
      <c r="AF265"/>
      <c r="AG265"/>
      <c r="AH265"/>
      <c r="AI265"/>
      <c r="AJ265"/>
      <c r="AK265"/>
      <c r="AL265"/>
      <c r="AM265"/>
      <c r="AN265"/>
      <c r="AO265"/>
      <c r="AP265"/>
      <c r="AQ265"/>
      <c r="AR265"/>
      <c r="AS265"/>
      <c r="AT265"/>
      <c r="AU265"/>
      <c r="AV265" s="1" t="s">
        <v>38</v>
      </c>
      <c r="BG265" s="7" t="s">
        <v>1242</v>
      </c>
    </row>
    <row r="266" spans="1:59" s="1" customFormat="1" ht="90" x14ac:dyDescent="0.45">
      <c r="A266" s="5">
        <v>265</v>
      </c>
      <c r="B266" s="1" t="s">
        <v>10885</v>
      </c>
      <c r="C266" s="6"/>
      <c r="J266" s="1" t="s">
        <v>7557</v>
      </c>
      <c r="K266" s="11" t="s">
        <v>11813</v>
      </c>
      <c r="P266" s="7" t="s">
        <v>1241</v>
      </c>
      <c r="Q266"/>
      <c r="R266"/>
      <c r="S266"/>
      <c r="T266"/>
      <c r="U266"/>
      <c r="V266"/>
      <c r="W266"/>
      <c r="X266"/>
      <c r="Y266"/>
      <c r="Z266"/>
      <c r="AA266"/>
      <c r="AB266"/>
      <c r="AC266"/>
      <c r="AD266"/>
      <c r="AE266"/>
      <c r="AF266"/>
      <c r="AG266"/>
      <c r="AH266"/>
      <c r="AI266"/>
      <c r="AJ266"/>
      <c r="AK266"/>
      <c r="AL266"/>
      <c r="AM266"/>
      <c r="AN266"/>
      <c r="AO266"/>
      <c r="AP266"/>
      <c r="AQ266"/>
      <c r="AR266"/>
      <c r="AS266"/>
      <c r="AT266"/>
      <c r="AU266"/>
      <c r="AV266" s="1" t="s">
        <v>38</v>
      </c>
      <c r="BG266" s="7" t="s">
        <v>1242</v>
      </c>
    </row>
    <row r="267" spans="1:59" s="1" customFormat="1" ht="72" x14ac:dyDescent="0.45">
      <c r="A267" s="5">
        <v>266</v>
      </c>
      <c r="B267" s="1" t="s">
        <v>10886</v>
      </c>
      <c r="C267" s="6"/>
      <c r="J267" s="1" t="s">
        <v>7557</v>
      </c>
      <c r="K267" s="11" t="s">
        <v>11814</v>
      </c>
      <c r="P267" s="7" t="s">
        <v>1241</v>
      </c>
      <c r="Q267"/>
      <c r="R267"/>
      <c r="S267"/>
      <c r="T267"/>
      <c r="U267"/>
      <c r="V267"/>
      <c r="W267"/>
      <c r="X267"/>
      <c r="Y267"/>
      <c r="Z267"/>
      <c r="AA267"/>
      <c r="AB267"/>
      <c r="AC267"/>
      <c r="AD267"/>
      <c r="AE267"/>
      <c r="AF267"/>
      <c r="AG267"/>
      <c r="AH267"/>
      <c r="AI267"/>
      <c r="AJ267"/>
      <c r="AK267"/>
      <c r="AL267"/>
      <c r="AM267"/>
      <c r="AN267"/>
      <c r="AO267"/>
      <c r="AP267"/>
      <c r="AQ267"/>
      <c r="AR267"/>
      <c r="AS267"/>
      <c r="AT267"/>
      <c r="AU267"/>
      <c r="AV267" s="1" t="s">
        <v>38</v>
      </c>
      <c r="BG267" s="7" t="s">
        <v>1242</v>
      </c>
    </row>
    <row r="268" spans="1:59" s="1" customFormat="1" ht="72" x14ac:dyDescent="0.45">
      <c r="A268" s="5">
        <v>267</v>
      </c>
      <c r="B268" s="1" t="s">
        <v>10887</v>
      </c>
      <c r="C268" s="6"/>
      <c r="J268" s="1" t="s">
        <v>7557</v>
      </c>
      <c r="K268" s="11" t="s">
        <v>11815</v>
      </c>
      <c r="P268" s="7" t="s">
        <v>1241</v>
      </c>
      <c r="Q268"/>
      <c r="R268"/>
      <c r="S268"/>
      <c r="T268"/>
      <c r="U268"/>
      <c r="V268"/>
      <c r="W268"/>
      <c r="X268"/>
      <c r="Y268"/>
      <c r="Z268"/>
      <c r="AA268"/>
      <c r="AB268"/>
      <c r="AC268"/>
      <c r="AD268"/>
      <c r="AE268"/>
      <c r="AF268"/>
      <c r="AG268"/>
      <c r="AH268"/>
      <c r="AI268"/>
      <c r="AJ268"/>
      <c r="AK268"/>
      <c r="AL268"/>
      <c r="AM268"/>
      <c r="AN268"/>
      <c r="AO268"/>
      <c r="AP268"/>
      <c r="AQ268"/>
      <c r="AR268"/>
      <c r="AS268"/>
      <c r="AT268"/>
      <c r="AU268"/>
      <c r="AV268" s="1" t="s">
        <v>38</v>
      </c>
      <c r="BG268" s="7" t="s">
        <v>1242</v>
      </c>
    </row>
    <row r="269" spans="1:59" s="1" customFormat="1" ht="72" x14ac:dyDescent="0.45">
      <c r="A269" s="5">
        <v>268</v>
      </c>
      <c r="B269" s="1" t="s">
        <v>10888</v>
      </c>
      <c r="C269" s="6"/>
      <c r="J269" s="1" t="s">
        <v>7557</v>
      </c>
      <c r="K269" s="11" t="s">
        <v>11816</v>
      </c>
      <c r="P269" s="7" t="s">
        <v>1241</v>
      </c>
      <c r="Q269"/>
      <c r="R269"/>
      <c r="S269"/>
      <c r="T269"/>
      <c r="U269"/>
      <c r="V269"/>
      <c r="W269"/>
      <c r="X269"/>
      <c r="Y269"/>
      <c r="Z269"/>
      <c r="AA269"/>
      <c r="AB269"/>
      <c r="AC269"/>
      <c r="AD269"/>
      <c r="AE269"/>
      <c r="AF269"/>
      <c r="AG269"/>
      <c r="AH269"/>
      <c r="AI269"/>
      <c r="AJ269"/>
      <c r="AK269"/>
      <c r="AL269"/>
      <c r="AM269"/>
      <c r="AN269"/>
      <c r="AO269"/>
      <c r="AP269"/>
      <c r="AQ269"/>
      <c r="AR269"/>
      <c r="AS269"/>
      <c r="AT269"/>
      <c r="AU269"/>
      <c r="AV269" s="1" t="s">
        <v>38</v>
      </c>
      <c r="BG269" s="7" t="s">
        <v>1242</v>
      </c>
    </row>
    <row r="270" spans="1:59" s="1" customFormat="1" ht="162" x14ac:dyDescent="0.45">
      <c r="A270" s="5">
        <v>269</v>
      </c>
      <c r="B270" s="1" t="s">
        <v>10889</v>
      </c>
      <c r="C270" s="6"/>
      <c r="J270" s="1" t="s">
        <v>7557</v>
      </c>
      <c r="K270" s="11" t="s">
        <v>11817</v>
      </c>
      <c r="P270" s="7" t="s">
        <v>1241</v>
      </c>
      <c r="Q270"/>
      <c r="R270"/>
      <c r="S270"/>
      <c r="T270"/>
      <c r="U270"/>
      <c r="V270"/>
      <c r="W270"/>
      <c r="X270"/>
      <c r="Y270"/>
      <c r="Z270"/>
      <c r="AA270"/>
      <c r="AB270"/>
      <c r="AC270"/>
      <c r="AD270"/>
      <c r="AE270"/>
      <c r="AF270"/>
      <c r="AG270"/>
      <c r="AH270"/>
      <c r="AI270"/>
      <c r="AJ270"/>
      <c r="AK270"/>
      <c r="AL270"/>
      <c r="AM270"/>
      <c r="AN270"/>
      <c r="AO270"/>
      <c r="AP270"/>
      <c r="AQ270"/>
      <c r="AR270"/>
      <c r="AS270"/>
      <c r="AT270"/>
      <c r="AU270"/>
      <c r="AV270" s="1" t="s">
        <v>38</v>
      </c>
      <c r="BG270" s="7" t="s">
        <v>1242</v>
      </c>
    </row>
    <row r="271" spans="1:59" s="1" customFormat="1" ht="162" x14ac:dyDescent="0.45">
      <c r="A271" s="5">
        <v>270</v>
      </c>
      <c r="B271" s="1" t="s">
        <v>10890</v>
      </c>
      <c r="C271" s="6"/>
      <c r="J271" s="1" t="s">
        <v>7557</v>
      </c>
      <c r="K271" s="11" t="s">
        <v>11818</v>
      </c>
      <c r="P271" s="7" t="s">
        <v>1241</v>
      </c>
      <c r="Q271"/>
      <c r="R271"/>
      <c r="S271"/>
      <c r="T271"/>
      <c r="U271"/>
      <c r="V271"/>
      <c r="W271"/>
      <c r="X271"/>
      <c r="Y271"/>
      <c r="Z271"/>
      <c r="AA271"/>
      <c r="AB271"/>
      <c r="AC271"/>
      <c r="AD271"/>
      <c r="AE271"/>
      <c r="AF271"/>
      <c r="AG271"/>
      <c r="AH271"/>
      <c r="AI271"/>
      <c r="AJ271"/>
      <c r="AK271"/>
      <c r="AL271"/>
      <c r="AM271"/>
      <c r="AN271"/>
      <c r="AO271"/>
      <c r="AP271"/>
      <c r="AQ271"/>
      <c r="AR271"/>
      <c r="AS271"/>
      <c r="AT271"/>
      <c r="AU271"/>
      <c r="AV271" s="1" t="s">
        <v>38</v>
      </c>
      <c r="BG271" s="7" t="s">
        <v>1242</v>
      </c>
    </row>
    <row r="272" spans="1:59" s="1" customFormat="1" ht="126" x14ac:dyDescent="0.45">
      <c r="A272" s="5">
        <v>271</v>
      </c>
      <c r="B272" s="1" t="s">
        <v>10891</v>
      </c>
      <c r="C272" s="6"/>
      <c r="J272" s="1" t="s">
        <v>7557</v>
      </c>
      <c r="K272" s="11" t="s">
        <v>11819</v>
      </c>
      <c r="P272" s="7" t="s">
        <v>1241</v>
      </c>
      <c r="Q272"/>
      <c r="R272"/>
      <c r="S272"/>
      <c r="T272"/>
      <c r="U272"/>
      <c r="V272"/>
      <c r="W272"/>
      <c r="X272"/>
      <c r="Y272"/>
      <c r="Z272"/>
      <c r="AA272"/>
      <c r="AB272"/>
      <c r="AC272"/>
      <c r="AD272"/>
      <c r="AE272"/>
      <c r="AF272"/>
      <c r="AG272"/>
      <c r="AH272"/>
      <c r="AI272"/>
      <c r="AJ272"/>
      <c r="AK272"/>
      <c r="AL272"/>
      <c r="AM272"/>
      <c r="AN272"/>
      <c r="AO272"/>
      <c r="AP272"/>
      <c r="AQ272"/>
      <c r="AR272"/>
      <c r="AS272"/>
      <c r="AT272"/>
      <c r="AU272"/>
      <c r="AV272" s="1" t="s">
        <v>38</v>
      </c>
      <c r="BG272" s="7" t="s">
        <v>1242</v>
      </c>
    </row>
    <row r="273" spans="1:59" s="1" customFormat="1" ht="72" x14ac:dyDescent="0.45">
      <c r="A273" s="5">
        <v>272</v>
      </c>
      <c r="B273" s="1" t="s">
        <v>10892</v>
      </c>
      <c r="C273" s="6"/>
      <c r="J273" s="1" t="s">
        <v>7557</v>
      </c>
      <c r="K273" s="11" t="s">
        <v>11820</v>
      </c>
      <c r="P273" s="7" t="s">
        <v>1241</v>
      </c>
      <c r="Q273"/>
      <c r="R273"/>
      <c r="S273"/>
      <c r="T273"/>
      <c r="U273"/>
      <c r="V273"/>
      <c r="W273"/>
      <c r="X273"/>
      <c r="Y273"/>
      <c r="Z273"/>
      <c r="AA273"/>
      <c r="AB273"/>
      <c r="AC273"/>
      <c r="AD273"/>
      <c r="AE273"/>
      <c r="AF273"/>
      <c r="AG273"/>
      <c r="AH273"/>
      <c r="AI273"/>
      <c r="AJ273"/>
      <c r="AK273"/>
      <c r="AL273"/>
      <c r="AM273"/>
      <c r="AN273"/>
      <c r="AO273"/>
      <c r="AP273"/>
      <c r="AQ273"/>
      <c r="AR273"/>
      <c r="AS273"/>
      <c r="AT273"/>
      <c r="AU273"/>
      <c r="AV273" s="1" t="s">
        <v>38</v>
      </c>
      <c r="BG273" s="7" t="s">
        <v>1242</v>
      </c>
    </row>
    <row r="274" spans="1:59" s="1" customFormat="1" ht="126" x14ac:dyDescent="0.45">
      <c r="A274" s="5">
        <v>273</v>
      </c>
      <c r="B274" s="1" t="s">
        <v>10893</v>
      </c>
      <c r="C274" s="6"/>
      <c r="J274" s="1" t="s">
        <v>7557</v>
      </c>
      <c r="K274" s="11" t="s">
        <v>11821</v>
      </c>
      <c r="P274" s="7" t="s">
        <v>1241</v>
      </c>
      <c r="Q274"/>
      <c r="R274"/>
      <c r="S274"/>
      <c r="T274"/>
      <c r="U274"/>
      <c r="V274"/>
      <c r="W274"/>
      <c r="X274"/>
      <c r="Y274"/>
      <c r="Z274"/>
      <c r="AA274"/>
      <c r="AB274"/>
      <c r="AC274"/>
      <c r="AD274"/>
      <c r="AE274"/>
      <c r="AF274"/>
      <c r="AG274"/>
      <c r="AH274"/>
      <c r="AI274"/>
      <c r="AJ274"/>
      <c r="AK274"/>
      <c r="AL274"/>
      <c r="AM274"/>
      <c r="AN274"/>
      <c r="AO274"/>
      <c r="AP274"/>
      <c r="AQ274"/>
      <c r="AR274"/>
      <c r="AS274"/>
      <c r="AT274"/>
      <c r="AU274"/>
      <c r="AV274" s="1" t="s">
        <v>38</v>
      </c>
      <c r="BG274" s="7" t="s">
        <v>1242</v>
      </c>
    </row>
    <row r="275" spans="1:59" s="1" customFormat="1" ht="252" x14ac:dyDescent="0.45">
      <c r="A275" s="5">
        <v>274</v>
      </c>
      <c r="B275" s="1" t="s">
        <v>10894</v>
      </c>
      <c r="C275" s="6"/>
      <c r="J275" s="1" t="s">
        <v>7557</v>
      </c>
      <c r="K275" s="11" t="s">
        <v>11822</v>
      </c>
      <c r="P275" s="7" t="s">
        <v>1241</v>
      </c>
      <c r="Q275"/>
      <c r="R275"/>
      <c r="S275"/>
      <c r="T275"/>
      <c r="U275"/>
      <c r="V275"/>
      <c r="W275"/>
      <c r="X275"/>
      <c r="Y275"/>
      <c r="Z275"/>
      <c r="AA275"/>
      <c r="AB275"/>
      <c r="AC275"/>
      <c r="AD275"/>
      <c r="AE275"/>
      <c r="AF275"/>
      <c r="AG275"/>
      <c r="AH275"/>
      <c r="AI275"/>
      <c r="AJ275"/>
      <c r="AK275"/>
      <c r="AL275"/>
      <c r="AM275"/>
      <c r="AN275"/>
      <c r="AO275"/>
      <c r="AP275"/>
      <c r="AQ275"/>
      <c r="AR275"/>
      <c r="AS275"/>
      <c r="AT275"/>
      <c r="AU275"/>
      <c r="AV275" s="1" t="s">
        <v>38</v>
      </c>
      <c r="BG275" s="7" t="s">
        <v>1242</v>
      </c>
    </row>
    <row r="276" spans="1:59" s="1" customFormat="1" ht="108" x14ac:dyDescent="0.45">
      <c r="A276" s="5">
        <v>275</v>
      </c>
      <c r="B276" s="1" t="s">
        <v>10895</v>
      </c>
      <c r="C276" s="6"/>
      <c r="J276" s="1" t="s">
        <v>7557</v>
      </c>
      <c r="K276" s="2" t="s">
        <v>10273</v>
      </c>
      <c r="P276" s="7" t="s">
        <v>1241</v>
      </c>
      <c r="Q276"/>
      <c r="R276"/>
      <c r="S276"/>
      <c r="T276"/>
      <c r="U276"/>
      <c r="V276"/>
      <c r="W276"/>
      <c r="X276"/>
      <c r="Y276"/>
      <c r="Z276"/>
      <c r="AA276"/>
      <c r="AB276"/>
      <c r="AC276"/>
      <c r="AD276"/>
      <c r="AE276"/>
      <c r="AF276"/>
      <c r="AG276"/>
      <c r="AH276"/>
      <c r="AI276"/>
      <c r="AJ276"/>
      <c r="AK276"/>
      <c r="AL276"/>
      <c r="AM276"/>
      <c r="AN276"/>
      <c r="AO276"/>
      <c r="AP276"/>
      <c r="AQ276"/>
      <c r="AR276"/>
      <c r="AS276"/>
      <c r="AT276"/>
      <c r="AU276"/>
      <c r="AV276" s="1" t="s">
        <v>38</v>
      </c>
      <c r="BG276" s="7" t="s">
        <v>1242</v>
      </c>
    </row>
    <row r="277" spans="1:59" s="1" customFormat="1" ht="108" x14ac:dyDescent="0.45">
      <c r="A277" s="5">
        <v>276</v>
      </c>
      <c r="B277" s="1" t="s">
        <v>10896</v>
      </c>
      <c r="C277" s="6"/>
      <c r="J277" s="1" t="s">
        <v>7557</v>
      </c>
      <c r="K277" s="2" t="s">
        <v>10274</v>
      </c>
      <c r="P277" s="7" t="s">
        <v>1241</v>
      </c>
      <c r="Q277"/>
      <c r="R277"/>
      <c r="S277"/>
      <c r="T277"/>
      <c r="U277"/>
      <c r="V277"/>
      <c r="W277"/>
      <c r="X277"/>
      <c r="Y277"/>
      <c r="Z277"/>
      <c r="AA277"/>
      <c r="AB277"/>
      <c r="AC277"/>
      <c r="AD277"/>
      <c r="AE277"/>
      <c r="AF277"/>
      <c r="AG277"/>
      <c r="AH277"/>
      <c r="AI277"/>
      <c r="AJ277"/>
      <c r="AK277"/>
      <c r="AL277"/>
      <c r="AM277"/>
      <c r="AN277"/>
      <c r="AO277"/>
      <c r="AP277"/>
      <c r="AQ277"/>
      <c r="AR277"/>
      <c r="AS277"/>
      <c r="AT277"/>
      <c r="AU277"/>
      <c r="AV277" s="1" t="s">
        <v>38</v>
      </c>
      <c r="BG277" s="7" t="s">
        <v>1242</v>
      </c>
    </row>
    <row r="278" spans="1:59" s="1" customFormat="1" ht="162" x14ac:dyDescent="0.45">
      <c r="A278" s="5">
        <v>277</v>
      </c>
      <c r="B278" s="1" t="s">
        <v>10897</v>
      </c>
      <c r="C278" s="6"/>
      <c r="J278" s="1" t="s">
        <v>7557</v>
      </c>
      <c r="K278" s="11" t="s">
        <v>11823</v>
      </c>
      <c r="P278" s="7" t="s">
        <v>1241</v>
      </c>
      <c r="Q278"/>
      <c r="R278"/>
      <c r="S278"/>
      <c r="T278"/>
      <c r="U278"/>
      <c r="V278"/>
      <c r="W278"/>
      <c r="X278"/>
      <c r="Y278"/>
      <c r="Z278"/>
      <c r="AA278"/>
      <c r="AB278"/>
      <c r="AC278"/>
      <c r="AD278"/>
      <c r="AE278"/>
      <c r="AF278"/>
      <c r="AG278"/>
      <c r="AH278"/>
      <c r="AI278"/>
      <c r="AJ278"/>
      <c r="AK278"/>
      <c r="AL278"/>
      <c r="AM278"/>
      <c r="AN278"/>
      <c r="AO278"/>
      <c r="AP278"/>
      <c r="AQ278"/>
      <c r="AR278"/>
      <c r="AS278"/>
      <c r="AT278"/>
      <c r="AU278"/>
      <c r="AV278" s="1" t="s">
        <v>38</v>
      </c>
      <c r="BG278" s="7" t="s">
        <v>1242</v>
      </c>
    </row>
    <row r="279" spans="1:59" s="1" customFormat="1" ht="162" x14ac:dyDescent="0.45">
      <c r="A279" s="5">
        <v>278</v>
      </c>
      <c r="B279" s="1" t="s">
        <v>10898</v>
      </c>
      <c r="C279" s="6"/>
      <c r="J279" s="1" t="s">
        <v>7557</v>
      </c>
      <c r="K279" s="11" t="s">
        <v>11824</v>
      </c>
      <c r="P279" s="7" t="s">
        <v>1241</v>
      </c>
      <c r="Q279"/>
      <c r="R279"/>
      <c r="S279"/>
      <c r="T279"/>
      <c r="U279"/>
      <c r="V279"/>
      <c r="W279"/>
      <c r="X279"/>
      <c r="Y279"/>
      <c r="Z279"/>
      <c r="AA279"/>
      <c r="AB279"/>
      <c r="AC279"/>
      <c r="AD279"/>
      <c r="AE279"/>
      <c r="AF279"/>
      <c r="AG279"/>
      <c r="AH279"/>
      <c r="AI279"/>
      <c r="AJ279"/>
      <c r="AK279"/>
      <c r="AL279"/>
      <c r="AM279"/>
      <c r="AN279"/>
      <c r="AO279"/>
      <c r="AP279"/>
      <c r="AQ279"/>
      <c r="AR279"/>
      <c r="AS279"/>
      <c r="AT279"/>
      <c r="AU279"/>
      <c r="AV279" s="1" t="s">
        <v>38</v>
      </c>
      <c r="BG279" s="7" t="s">
        <v>1242</v>
      </c>
    </row>
    <row r="280" spans="1:59" s="1" customFormat="1" ht="36" x14ac:dyDescent="0.45">
      <c r="A280" s="5">
        <v>279</v>
      </c>
      <c r="B280" s="1" t="s">
        <v>10899</v>
      </c>
      <c r="C280" s="6"/>
      <c r="J280" s="1" t="s">
        <v>7557</v>
      </c>
      <c r="K280" s="2" t="s">
        <v>10275</v>
      </c>
      <c r="P280" s="7" t="s">
        <v>1241</v>
      </c>
      <c r="Q280"/>
      <c r="R280"/>
      <c r="S280"/>
      <c r="T280"/>
      <c r="U280"/>
      <c r="V280"/>
      <c r="W280"/>
      <c r="X280"/>
      <c r="Y280"/>
      <c r="Z280"/>
      <c r="AA280"/>
      <c r="AB280"/>
      <c r="AC280"/>
      <c r="AD280"/>
      <c r="AE280"/>
      <c r="AF280"/>
      <c r="AG280"/>
      <c r="AH280"/>
      <c r="AI280"/>
      <c r="AJ280"/>
      <c r="AK280"/>
      <c r="AL280"/>
      <c r="AM280"/>
      <c r="AN280"/>
      <c r="AO280"/>
      <c r="AP280"/>
      <c r="AQ280"/>
      <c r="AR280"/>
      <c r="AS280"/>
      <c r="AT280"/>
      <c r="AU280"/>
      <c r="AV280" s="1" t="s">
        <v>38</v>
      </c>
      <c r="BG280" s="7" t="s">
        <v>1242</v>
      </c>
    </row>
    <row r="281" spans="1:59" s="1" customFormat="1" ht="36" x14ac:dyDescent="0.45">
      <c r="A281" s="5">
        <v>280</v>
      </c>
      <c r="B281" s="1" t="s">
        <v>10900</v>
      </c>
      <c r="C281" s="6"/>
      <c r="J281" s="1" t="s">
        <v>7557</v>
      </c>
      <c r="K281" s="2" t="s">
        <v>10276</v>
      </c>
      <c r="P281" s="7" t="s">
        <v>1241</v>
      </c>
      <c r="Q281"/>
      <c r="R281"/>
      <c r="S281"/>
      <c r="T281"/>
      <c r="U281"/>
      <c r="V281"/>
      <c r="W281"/>
      <c r="X281"/>
      <c r="Y281"/>
      <c r="Z281"/>
      <c r="AA281"/>
      <c r="AB281"/>
      <c r="AC281"/>
      <c r="AD281"/>
      <c r="AE281"/>
      <c r="AF281"/>
      <c r="AG281"/>
      <c r="AH281"/>
      <c r="AI281"/>
      <c r="AJ281"/>
      <c r="AK281"/>
      <c r="AL281"/>
      <c r="AM281"/>
      <c r="AN281"/>
      <c r="AO281"/>
      <c r="AP281"/>
      <c r="AQ281"/>
      <c r="AR281"/>
      <c r="AS281"/>
      <c r="AT281"/>
      <c r="AU281"/>
      <c r="AV281" s="1" t="s">
        <v>38</v>
      </c>
      <c r="BG281" s="7" t="s">
        <v>1242</v>
      </c>
    </row>
    <row r="282" spans="1:59" s="1" customFormat="1" ht="126" x14ac:dyDescent="0.45">
      <c r="A282" s="5">
        <v>281</v>
      </c>
      <c r="B282" s="1" t="s">
        <v>10901</v>
      </c>
      <c r="C282" s="6"/>
      <c r="J282" s="1" t="s">
        <v>7557</v>
      </c>
      <c r="K282" s="2" t="s">
        <v>10277</v>
      </c>
      <c r="P282" s="7" t="s">
        <v>1241</v>
      </c>
      <c r="Q282"/>
      <c r="R282"/>
      <c r="S282"/>
      <c r="T282"/>
      <c r="U282"/>
      <c r="V282"/>
      <c r="W282"/>
      <c r="X282"/>
      <c r="Y282"/>
      <c r="Z282"/>
      <c r="AA282"/>
      <c r="AB282"/>
      <c r="AC282"/>
      <c r="AD282"/>
      <c r="AE282"/>
      <c r="AF282"/>
      <c r="AG282"/>
      <c r="AH282"/>
      <c r="AI282"/>
      <c r="AJ282"/>
      <c r="AK282"/>
      <c r="AL282"/>
      <c r="AM282"/>
      <c r="AN282"/>
      <c r="AO282"/>
      <c r="AP282"/>
      <c r="AQ282"/>
      <c r="AR282"/>
      <c r="AS282"/>
      <c r="AT282"/>
      <c r="AU282"/>
      <c r="AV282" s="1" t="s">
        <v>38</v>
      </c>
      <c r="BG282" s="7" t="s">
        <v>1242</v>
      </c>
    </row>
    <row r="283" spans="1:59" s="1" customFormat="1" ht="144" x14ac:dyDescent="0.45">
      <c r="A283" s="5">
        <v>282</v>
      </c>
      <c r="B283" s="1" t="s">
        <v>10902</v>
      </c>
      <c r="C283" s="6"/>
      <c r="J283" s="1" t="s">
        <v>7557</v>
      </c>
      <c r="K283" s="2" t="s">
        <v>10278</v>
      </c>
      <c r="P283" s="7" t="s">
        <v>1241</v>
      </c>
      <c r="Q283"/>
      <c r="R283"/>
      <c r="S283"/>
      <c r="T283"/>
      <c r="U283"/>
      <c r="V283"/>
      <c r="W283"/>
      <c r="X283"/>
      <c r="Y283"/>
      <c r="Z283"/>
      <c r="AA283"/>
      <c r="AB283"/>
      <c r="AC283"/>
      <c r="AD283"/>
      <c r="AE283"/>
      <c r="AF283"/>
      <c r="AG283"/>
      <c r="AH283"/>
      <c r="AI283"/>
      <c r="AJ283"/>
      <c r="AK283"/>
      <c r="AL283"/>
      <c r="AM283"/>
      <c r="AN283"/>
      <c r="AO283"/>
      <c r="AP283"/>
      <c r="AQ283"/>
      <c r="AR283"/>
      <c r="AS283"/>
      <c r="AT283"/>
      <c r="AU283"/>
      <c r="AV283" s="1" t="s">
        <v>38</v>
      </c>
      <c r="BG283" s="7" t="s">
        <v>1242</v>
      </c>
    </row>
    <row r="284" spans="1:59" s="1" customFormat="1" ht="36" x14ac:dyDescent="0.45">
      <c r="A284" s="5">
        <v>283</v>
      </c>
      <c r="B284" s="1" t="s">
        <v>10903</v>
      </c>
      <c r="C284" s="6"/>
      <c r="J284" s="1" t="s">
        <v>7557</v>
      </c>
      <c r="K284" s="2" t="s">
        <v>10279</v>
      </c>
      <c r="P284" s="7" t="s">
        <v>1241</v>
      </c>
      <c r="Q284"/>
      <c r="R284"/>
      <c r="S284"/>
      <c r="T284"/>
      <c r="U284"/>
      <c r="V284"/>
      <c r="W284"/>
      <c r="X284"/>
      <c r="Y284"/>
      <c r="Z284"/>
      <c r="AA284"/>
      <c r="AB284"/>
      <c r="AC284"/>
      <c r="AD284"/>
      <c r="AE284"/>
      <c r="AF284"/>
      <c r="AG284"/>
      <c r="AH284"/>
      <c r="AI284"/>
      <c r="AJ284"/>
      <c r="AK284"/>
      <c r="AL284"/>
      <c r="AM284"/>
      <c r="AN284"/>
      <c r="AO284"/>
      <c r="AP284"/>
      <c r="AQ284"/>
      <c r="AR284"/>
      <c r="AS284"/>
      <c r="AT284"/>
      <c r="AU284"/>
      <c r="AV284" s="1" t="s">
        <v>38</v>
      </c>
      <c r="BG284" s="7" t="s">
        <v>1242</v>
      </c>
    </row>
    <row r="285" spans="1:59" s="1" customFormat="1" ht="36" x14ac:dyDescent="0.45">
      <c r="A285" s="5">
        <v>284</v>
      </c>
      <c r="B285" s="1" t="s">
        <v>10904</v>
      </c>
      <c r="C285" s="6"/>
      <c r="J285" s="1" t="s">
        <v>7557</v>
      </c>
      <c r="K285" s="2" t="s">
        <v>10296</v>
      </c>
      <c r="P285" s="7" t="s">
        <v>1241</v>
      </c>
      <c r="Q285"/>
      <c r="R285"/>
      <c r="S285"/>
      <c r="T285"/>
      <c r="U285"/>
      <c r="V285"/>
      <c r="W285"/>
      <c r="X285"/>
      <c r="Y285"/>
      <c r="Z285"/>
      <c r="AA285"/>
      <c r="AB285"/>
      <c r="AC285"/>
      <c r="AD285"/>
      <c r="AE285"/>
      <c r="AF285"/>
      <c r="AG285"/>
      <c r="AH285"/>
      <c r="AI285"/>
      <c r="AJ285"/>
      <c r="AK285"/>
      <c r="AL285"/>
      <c r="AM285"/>
      <c r="AN285"/>
      <c r="AO285"/>
      <c r="AP285"/>
      <c r="AQ285"/>
      <c r="AR285"/>
      <c r="AS285"/>
      <c r="AT285"/>
      <c r="AU285"/>
      <c r="AV285" s="1" t="s">
        <v>38</v>
      </c>
      <c r="BG285" s="7" t="s">
        <v>1242</v>
      </c>
    </row>
    <row r="286" spans="1:59" s="1" customFormat="1" ht="90" x14ac:dyDescent="0.45">
      <c r="A286" s="5">
        <v>285</v>
      </c>
      <c r="B286" s="1" t="s">
        <v>10905</v>
      </c>
      <c r="C286" s="6"/>
      <c r="J286" s="1" t="s">
        <v>7557</v>
      </c>
      <c r="K286" s="2" t="s">
        <v>10297</v>
      </c>
      <c r="P286" s="7" t="s">
        <v>1241</v>
      </c>
      <c r="Q286"/>
      <c r="R286"/>
      <c r="S286"/>
      <c r="T286"/>
      <c r="U286"/>
      <c r="V286"/>
      <c r="W286"/>
      <c r="X286"/>
      <c r="Y286"/>
      <c r="Z286"/>
      <c r="AA286"/>
      <c r="AB286"/>
      <c r="AC286"/>
      <c r="AD286"/>
      <c r="AE286"/>
      <c r="AF286"/>
      <c r="AG286"/>
      <c r="AH286"/>
      <c r="AI286"/>
      <c r="AJ286"/>
      <c r="AK286"/>
      <c r="AL286"/>
      <c r="AM286"/>
      <c r="AN286"/>
      <c r="AO286"/>
      <c r="AP286"/>
      <c r="AQ286"/>
      <c r="AR286"/>
      <c r="AS286"/>
      <c r="AT286"/>
      <c r="AU286"/>
      <c r="AV286" s="1" t="s">
        <v>38</v>
      </c>
      <c r="BG286" s="7" t="s">
        <v>1242</v>
      </c>
    </row>
    <row r="287" spans="1:59" s="1" customFormat="1" ht="36" x14ac:dyDescent="0.45">
      <c r="A287" s="5">
        <v>286</v>
      </c>
      <c r="B287" s="1" t="s">
        <v>10906</v>
      </c>
      <c r="C287" s="6"/>
      <c r="J287" s="1" t="s">
        <v>7557</v>
      </c>
      <c r="K287" s="2" t="s">
        <v>10298</v>
      </c>
      <c r="P287" s="7" t="s">
        <v>1241</v>
      </c>
      <c r="Q287"/>
      <c r="R287"/>
      <c r="S287"/>
      <c r="T287"/>
      <c r="U287"/>
      <c r="V287"/>
      <c r="W287"/>
      <c r="X287"/>
      <c r="Y287"/>
      <c r="Z287"/>
      <c r="AA287"/>
      <c r="AB287"/>
      <c r="AC287"/>
      <c r="AD287"/>
      <c r="AE287"/>
      <c r="AF287"/>
      <c r="AG287"/>
      <c r="AH287"/>
      <c r="AI287"/>
      <c r="AJ287"/>
      <c r="AK287"/>
      <c r="AL287"/>
      <c r="AM287"/>
      <c r="AN287"/>
      <c r="AO287"/>
      <c r="AP287"/>
      <c r="AQ287"/>
      <c r="AR287"/>
      <c r="AS287"/>
      <c r="AT287"/>
      <c r="AU287"/>
      <c r="AV287" s="1" t="s">
        <v>38</v>
      </c>
      <c r="BG287" s="7" t="s">
        <v>1242</v>
      </c>
    </row>
    <row r="288" spans="1:59" s="1" customFormat="1" ht="108" x14ac:dyDescent="0.45">
      <c r="A288" s="5">
        <v>287</v>
      </c>
      <c r="B288" s="1" t="s">
        <v>10907</v>
      </c>
      <c r="C288" s="6"/>
      <c r="J288" s="1" t="s">
        <v>7557</v>
      </c>
      <c r="K288" s="11" t="s">
        <v>11825</v>
      </c>
      <c r="P288" s="7" t="s">
        <v>1241</v>
      </c>
      <c r="Q288"/>
      <c r="R288"/>
      <c r="S288"/>
      <c r="T288"/>
      <c r="U288"/>
      <c r="V288"/>
      <c r="W288"/>
      <c r="X288"/>
      <c r="Y288"/>
      <c r="Z288"/>
      <c r="AA288"/>
      <c r="AB288"/>
      <c r="AC288"/>
      <c r="AD288"/>
      <c r="AE288"/>
      <c r="AF288"/>
      <c r="AG288"/>
      <c r="AH288"/>
      <c r="AI288"/>
      <c r="AJ288"/>
      <c r="AK288"/>
      <c r="AL288"/>
      <c r="AM288"/>
      <c r="AN288"/>
      <c r="AO288"/>
      <c r="AP288"/>
      <c r="AQ288"/>
      <c r="AR288"/>
      <c r="AS288"/>
      <c r="AT288"/>
      <c r="AU288"/>
      <c r="AV288" s="1" t="s">
        <v>38</v>
      </c>
      <c r="BG288" s="7" t="s">
        <v>1242</v>
      </c>
    </row>
    <row r="289" spans="1:59" s="1" customFormat="1" ht="54" x14ac:dyDescent="0.45">
      <c r="A289" s="5">
        <v>288</v>
      </c>
      <c r="B289" s="1" t="s">
        <v>10908</v>
      </c>
      <c r="C289" s="6"/>
      <c r="J289" s="1" t="s">
        <v>7557</v>
      </c>
      <c r="K289" s="2" t="s">
        <v>10299</v>
      </c>
      <c r="P289" s="7" t="s">
        <v>1241</v>
      </c>
      <c r="Q289"/>
      <c r="R289"/>
      <c r="S289"/>
      <c r="T289"/>
      <c r="U289"/>
      <c r="V289"/>
      <c r="W289"/>
      <c r="X289"/>
      <c r="Y289"/>
      <c r="Z289"/>
      <c r="AA289"/>
      <c r="AB289"/>
      <c r="AC289"/>
      <c r="AD289"/>
      <c r="AE289"/>
      <c r="AF289"/>
      <c r="AG289"/>
      <c r="AH289"/>
      <c r="AI289"/>
      <c r="AJ289"/>
      <c r="AK289"/>
      <c r="AL289"/>
      <c r="AM289"/>
      <c r="AN289"/>
      <c r="AO289"/>
      <c r="AP289"/>
      <c r="AQ289"/>
      <c r="AR289"/>
      <c r="AS289"/>
      <c r="AT289"/>
      <c r="AU289"/>
      <c r="AV289" s="1" t="s">
        <v>38</v>
      </c>
      <c r="BG289" s="7" t="s">
        <v>1242</v>
      </c>
    </row>
    <row r="290" spans="1:59" s="1" customFormat="1" ht="162" x14ac:dyDescent="0.45">
      <c r="A290" s="5">
        <v>289</v>
      </c>
      <c r="B290" s="1" t="s">
        <v>10909</v>
      </c>
      <c r="C290" s="6"/>
      <c r="J290" s="1" t="s">
        <v>7557</v>
      </c>
      <c r="K290" s="11" t="s">
        <v>11826</v>
      </c>
      <c r="P290" s="7" t="s">
        <v>1241</v>
      </c>
      <c r="Q290"/>
      <c r="R290"/>
      <c r="S290"/>
      <c r="T290"/>
      <c r="U290"/>
      <c r="V290"/>
      <c r="W290"/>
      <c r="X290"/>
      <c r="Y290"/>
      <c r="Z290"/>
      <c r="AA290"/>
      <c r="AB290"/>
      <c r="AC290"/>
      <c r="AD290"/>
      <c r="AE290"/>
      <c r="AF290"/>
      <c r="AG290"/>
      <c r="AH290"/>
      <c r="AI290"/>
      <c r="AJ290"/>
      <c r="AK290"/>
      <c r="AL290"/>
      <c r="AM290"/>
      <c r="AN290"/>
      <c r="AO290"/>
      <c r="AP290"/>
      <c r="AQ290"/>
      <c r="AR290"/>
      <c r="AS290"/>
      <c r="AT290"/>
      <c r="AU290"/>
      <c r="AV290" s="1" t="s">
        <v>38</v>
      </c>
      <c r="BG290" s="7" t="s">
        <v>1242</v>
      </c>
    </row>
    <row r="291" spans="1:59" s="1" customFormat="1" ht="126" x14ac:dyDescent="0.45">
      <c r="A291" s="5">
        <v>290</v>
      </c>
      <c r="B291" s="1" t="s">
        <v>10910</v>
      </c>
      <c r="C291" s="6"/>
      <c r="J291" s="1" t="s">
        <v>7557</v>
      </c>
      <c r="K291" s="11" t="s">
        <v>11827</v>
      </c>
      <c r="P291" s="7" t="s">
        <v>1241</v>
      </c>
      <c r="Q291"/>
      <c r="R291"/>
      <c r="S291"/>
      <c r="T291"/>
      <c r="U291"/>
      <c r="V291"/>
      <c r="W291"/>
      <c r="X291"/>
      <c r="Y291"/>
      <c r="Z291"/>
      <c r="AA291"/>
      <c r="AB291"/>
      <c r="AC291"/>
      <c r="AD291"/>
      <c r="AE291"/>
      <c r="AF291"/>
      <c r="AG291"/>
      <c r="AH291"/>
      <c r="AI291"/>
      <c r="AJ291"/>
      <c r="AK291"/>
      <c r="AL291"/>
      <c r="AM291"/>
      <c r="AN291"/>
      <c r="AO291"/>
      <c r="AP291"/>
      <c r="AQ291"/>
      <c r="AR291"/>
      <c r="AS291"/>
      <c r="AT291"/>
      <c r="AU291"/>
      <c r="AV291" s="1" t="s">
        <v>38</v>
      </c>
      <c r="BG291" s="7" t="s">
        <v>1242</v>
      </c>
    </row>
    <row r="292" spans="1:59" s="1" customFormat="1" ht="126" x14ac:dyDescent="0.45">
      <c r="A292" s="5">
        <v>291</v>
      </c>
      <c r="B292" s="1" t="s">
        <v>10237</v>
      </c>
      <c r="C292" s="6"/>
      <c r="J292" s="1" t="s">
        <v>7557</v>
      </c>
      <c r="K292" s="11" t="s">
        <v>11828</v>
      </c>
      <c r="P292" s="7" t="s">
        <v>1241</v>
      </c>
      <c r="Q292"/>
      <c r="R292"/>
      <c r="S292"/>
      <c r="T292"/>
      <c r="U292"/>
      <c r="V292"/>
      <c r="W292"/>
      <c r="X292"/>
      <c r="Y292"/>
      <c r="Z292"/>
      <c r="AA292"/>
      <c r="AB292"/>
      <c r="AC292"/>
      <c r="AD292"/>
      <c r="AE292"/>
      <c r="AF292"/>
      <c r="AG292"/>
      <c r="AH292"/>
      <c r="AI292"/>
      <c r="AJ292"/>
      <c r="AK292"/>
      <c r="AL292"/>
      <c r="AM292"/>
      <c r="AN292"/>
      <c r="AO292"/>
      <c r="AP292"/>
      <c r="AQ292"/>
      <c r="AR292"/>
      <c r="AS292"/>
      <c r="AT292"/>
      <c r="AU292"/>
      <c r="AV292" s="1" t="s">
        <v>38</v>
      </c>
      <c r="BG292" s="7" t="s">
        <v>1242</v>
      </c>
    </row>
    <row r="293" spans="1:59" s="1" customFormat="1" ht="108" x14ac:dyDescent="0.45">
      <c r="A293" s="5">
        <v>292</v>
      </c>
      <c r="B293" s="1" t="s">
        <v>10911</v>
      </c>
      <c r="C293" s="6"/>
      <c r="J293" s="1" t="s">
        <v>7557</v>
      </c>
      <c r="K293" s="11" t="s">
        <v>11829</v>
      </c>
      <c r="P293" s="7" t="s">
        <v>1241</v>
      </c>
      <c r="Q293"/>
      <c r="R293"/>
      <c r="S293"/>
      <c r="T293"/>
      <c r="U293"/>
      <c r="V293"/>
      <c r="W293"/>
      <c r="X293"/>
      <c r="Y293"/>
      <c r="Z293"/>
      <c r="AA293"/>
      <c r="AB293"/>
      <c r="AC293"/>
      <c r="AD293"/>
      <c r="AE293"/>
      <c r="AF293"/>
      <c r="AG293"/>
      <c r="AH293"/>
      <c r="AI293"/>
      <c r="AJ293"/>
      <c r="AK293"/>
      <c r="AL293"/>
      <c r="AM293"/>
      <c r="AN293"/>
      <c r="AO293"/>
      <c r="AP293"/>
      <c r="AQ293"/>
      <c r="AR293"/>
      <c r="AS293"/>
      <c r="AT293"/>
      <c r="AU293"/>
      <c r="AV293" s="1" t="s">
        <v>38</v>
      </c>
      <c r="BG293" s="7" t="s">
        <v>1242</v>
      </c>
    </row>
    <row r="294" spans="1:59" s="1" customFormat="1" ht="234" x14ac:dyDescent="0.45">
      <c r="A294" s="5">
        <v>293</v>
      </c>
      <c r="B294" s="1" t="s">
        <v>10912</v>
      </c>
      <c r="C294" s="6"/>
      <c r="J294" s="1" t="s">
        <v>7557</v>
      </c>
      <c r="K294" s="11" t="s">
        <v>11830</v>
      </c>
      <c r="P294" s="7" t="s">
        <v>1241</v>
      </c>
      <c r="Q294"/>
      <c r="R294"/>
      <c r="S294"/>
      <c r="T294"/>
      <c r="U294"/>
      <c r="V294"/>
      <c r="W294"/>
      <c r="X294"/>
      <c r="Y294"/>
      <c r="Z294"/>
      <c r="AA294"/>
      <c r="AB294"/>
      <c r="AC294"/>
      <c r="AD294"/>
      <c r="AE294"/>
      <c r="AF294"/>
      <c r="AG294"/>
      <c r="AH294"/>
      <c r="AI294"/>
      <c r="AJ294"/>
      <c r="AK294"/>
      <c r="AL294"/>
      <c r="AM294"/>
      <c r="AN294"/>
      <c r="AO294"/>
      <c r="AP294"/>
      <c r="AQ294"/>
      <c r="AR294"/>
      <c r="AS294"/>
      <c r="AT294"/>
      <c r="AU294"/>
      <c r="AV294" s="1" t="s">
        <v>38</v>
      </c>
      <c r="BG294" s="7" t="s">
        <v>1242</v>
      </c>
    </row>
    <row r="295" spans="1:59" s="1" customFormat="1" ht="72" x14ac:dyDescent="0.45">
      <c r="A295" s="5">
        <v>294</v>
      </c>
      <c r="B295" s="1" t="s">
        <v>10913</v>
      </c>
      <c r="C295" s="6"/>
      <c r="J295" s="1" t="s">
        <v>7557</v>
      </c>
      <c r="K295" s="11" t="s">
        <v>11831</v>
      </c>
      <c r="P295" s="7" t="s">
        <v>1241</v>
      </c>
      <c r="Q295"/>
      <c r="R295"/>
      <c r="S295"/>
      <c r="T295"/>
      <c r="U295"/>
      <c r="V295"/>
      <c r="W295"/>
      <c r="X295"/>
      <c r="Y295"/>
      <c r="Z295"/>
      <c r="AA295"/>
      <c r="AB295"/>
      <c r="AC295"/>
      <c r="AD295"/>
      <c r="AE295"/>
      <c r="AF295"/>
      <c r="AG295"/>
      <c r="AH295"/>
      <c r="AI295"/>
      <c r="AJ295"/>
      <c r="AK295"/>
      <c r="AL295"/>
      <c r="AM295"/>
      <c r="AN295"/>
      <c r="AO295"/>
      <c r="AP295"/>
      <c r="AQ295"/>
      <c r="AR295"/>
      <c r="AS295"/>
      <c r="AT295"/>
      <c r="AU295"/>
      <c r="AV295" s="1" t="s">
        <v>38</v>
      </c>
      <c r="BG295" s="7" t="s">
        <v>1242</v>
      </c>
    </row>
    <row r="296" spans="1:59" s="1" customFormat="1" ht="126" x14ac:dyDescent="0.45">
      <c r="A296" s="5">
        <v>295</v>
      </c>
      <c r="B296" s="1" t="s">
        <v>10914</v>
      </c>
      <c r="C296" s="6"/>
      <c r="J296" s="1" t="s">
        <v>7557</v>
      </c>
      <c r="K296" s="11" t="s">
        <v>11832</v>
      </c>
      <c r="P296" s="7" t="s">
        <v>1241</v>
      </c>
      <c r="Q296"/>
      <c r="R296"/>
      <c r="S296"/>
      <c r="T296"/>
      <c r="U296"/>
      <c r="V296"/>
      <c r="W296"/>
      <c r="X296"/>
      <c r="Y296"/>
      <c r="Z296"/>
      <c r="AA296"/>
      <c r="AB296"/>
      <c r="AC296"/>
      <c r="AD296"/>
      <c r="AE296"/>
      <c r="AF296"/>
      <c r="AG296"/>
      <c r="AH296"/>
      <c r="AI296"/>
      <c r="AJ296"/>
      <c r="AK296"/>
      <c r="AL296"/>
      <c r="AM296"/>
      <c r="AN296"/>
      <c r="AO296"/>
      <c r="AP296"/>
      <c r="AQ296"/>
      <c r="AR296"/>
      <c r="AS296"/>
      <c r="AT296"/>
      <c r="AU296"/>
      <c r="AV296" s="1" t="s">
        <v>38</v>
      </c>
      <c r="BG296" s="7" t="s">
        <v>1242</v>
      </c>
    </row>
    <row r="297" spans="1:59" s="1" customFormat="1" ht="126" x14ac:dyDescent="0.45">
      <c r="A297" s="5">
        <v>296</v>
      </c>
      <c r="B297" s="1" t="s">
        <v>10915</v>
      </c>
      <c r="C297" s="6"/>
      <c r="J297" s="1" t="s">
        <v>7557</v>
      </c>
      <c r="K297" s="11" t="s">
        <v>11833</v>
      </c>
      <c r="P297" s="7" t="s">
        <v>1241</v>
      </c>
      <c r="Q297"/>
      <c r="R297"/>
      <c r="S297"/>
      <c r="T297"/>
      <c r="U297"/>
      <c r="V297"/>
      <c r="W297"/>
      <c r="X297"/>
      <c r="Y297"/>
      <c r="Z297"/>
      <c r="AA297"/>
      <c r="AB297"/>
      <c r="AC297"/>
      <c r="AD297"/>
      <c r="AE297"/>
      <c r="AF297"/>
      <c r="AG297"/>
      <c r="AH297"/>
      <c r="AI297"/>
      <c r="AJ297"/>
      <c r="AK297"/>
      <c r="AL297"/>
      <c r="AM297"/>
      <c r="AN297"/>
      <c r="AO297"/>
      <c r="AP297"/>
      <c r="AQ297"/>
      <c r="AR297"/>
      <c r="AS297"/>
      <c r="AT297"/>
      <c r="AU297"/>
      <c r="AV297" s="1" t="s">
        <v>38</v>
      </c>
      <c r="BG297" s="7" t="s">
        <v>1242</v>
      </c>
    </row>
    <row r="298" spans="1:59" s="1" customFormat="1" ht="144" x14ac:dyDescent="0.45">
      <c r="A298" s="5">
        <v>297</v>
      </c>
      <c r="B298" s="1" t="s">
        <v>10916</v>
      </c>
      <c r="C298" s="6"/>
      <c r="J298" s="1" t="s">
        <v>7557</v>
      </c>
      <c r="K298" s="11" t="s">
        <v>11834</v>
      </c>
      <c r="P298" s="7" t="s">
        <v>1241</v>
      </c>
      <c r="Q298"/>
      <c r="R298"/>
      <c r="S298"/>
      <c r="T298"/>
      <c r="U298"/>
      <c r="V298"/>
      <c r="W298"/>
      <c r="X298"/>
      <c r="Y298"/>
      <c r="Z298"/>
      <c r="AA298"/>
      <c r="AB298"/>
      <c r="AC298"/>
      <c r="AD298"/>
      <c r="AE298"/>
      <c r="AF298"/>
      <c r="AG298"/>
      <c r="AH298"/>
      <c r="AI298"/>
      <c r="AJ298"/>
      <c r="AK298"/>
      <c r="AL298"/>
      <c r="AM298"/>
      <c r="AN298"/>
      <c r="AO298"/>
      <c r="AP298"/>
      <c r="AQ298"/>
      <c r="AR298"/>
      <c r="AS298"/>
      <c r="AT298"/>
      <c r="AU298"/>
      <c r="AV298" s="1" t="s">
        <v>38</v>
      </c>
      <c r="BG298" s="7" t="s">
        <v>1242</v>
      </c>
    </row>
    <row r="299" spans="1:59" s="1" customFormat="1" ht="54" x14ac:dyDescent="0.45">
      <c r="A299" s="5">
        <v>298</v>
      </c>
      <c r="B299" s="1" t="s">
        <v>10917</v>
      </c>
      <c r="C299" s="6"/>
      <c r="J299" s="1" t="s">
        <v>7557</v>
      </c>
      <c r="K299" s="2" t="s">
        <v>10280</v>
      </c>
      <c r="P299" s="7" t="s">
        <v>1241</v>
      </c>
      <c r="Q299"/>
      <c r="R299"/>
      <c r="S299"/>
      <c r="T299"/>
      <c r="U299"/>
      <c r="V299"/>
      <c r="W299"/>
      <c r="X299"/>
      <c r="Y299"/>
      <c r="Z299"/>
      <c r="AA299"/>
      <c r="AB299"/>
      <c r="AC299"/>
      <c r="AD299"/>
      <c r="AE299"/>
      <c r="AF299"/>
      <c r="AG299"/>
      <c r="AH299"/>
      <c r="AI299"/>
      <c r="AJ299"/>
      <c r="AK299"/>
      <c r="AL299"/>
      <c r="AM299"/>
      <c r="AN299"/>
      <c r="AO299"/>
      <c r="AP299"/>
      <c r="AQ299"/>
      <c r="AR299"/>
      <c r="AS299"/>
      <c r="AT299"/>
      <c r="AU299"/>
      <c r="AV299" s="1" t="s">
        <v>38</v>
      </c>
      <c r="BG299" s="7" t="s">
        <v>1242</v>
      </c>
    </row>
    <row r="300" spans="1:59" s="1" customFormat="1" ht="90" x14ac:dyDescent="0.45">
      <c r="A300" s="5">
        <v>299</v>
      </c>
      <c r="B300" s="1" t="s">
        <v>10918</v>
      </c>
      <c r="C300" s="6"/>
      <c r="J300" s="1" t="s">
        <v>7557</v>
      </c>
      <c r="K300" s="11" t="s">
        <v>11835</v>
      </c>
      <c r="P300" s="7" t="s">
        <v>1241</v>
      </c>
      <c r="Q300"/>
      <c r="R300"/>
      <c r="S300"/>
      <c r="T300"/>
      <c r="U300"/>
      <c r="V300"/>
      <c r="W300"/>
      <c r="X300"/>
      <c r="Y300"/>
      <c r="Z300"/>
      <c r="AA300"/>
      <c r="AB300"/>
      <c r="AC300"/>
      <c r="AD300"/>
      <c r="AE300"/>
      <c r="AF300"/>
      <c r="AG300"/>
      <c r="AH300"/>
      <c r="AI300"/>
      <c r="AJ300"/>
      <c r="AK300"/>
      <c r="AL300"/>
      <c r="AM300"/>
      <c r="AN300"/>
      <c r="AO300"/>
      <c r="AP300"/>
      <c r="AQ300"/>
      <c r="AR300"/>
      <c r="AS300"/>
      <c r="AT300"/>
      <c r="AU300"/>
      <c r="AV300" s="1" t="s">
        <v>38</v>
      </c>
      <c r="BG300" s="7" t="s">
        <v>1242</v>
      </c>
    </row>
    <row r="301" spans="1:59" s="1" customFormat="1" ht="72" x14ac:dyDescent="0.45">
      <c r="A301" s="5">
        <v>300</v>
      </c>
      <c r="B301" s="1" t="s">
        <v>10919</v>
      </c>
      <c r="C301" s="6"/>
      <c r="J301" s="1" t="s">
        <v>7557</v>
      </c>
      <c r="K301" s="2" t="s">
        <v>11729</v>
      </c>
      <c r="P301" s="7" t="s">
        <v>1241</v>
      </c>
      <c r="Q301"/>
      <c r="R301"/>
      <c r="S301"/>
      <c r="T301"/>
      <c r="U301"/>
      <c r="V301"/>
      <c r="W301"/>
      <c r="X301"/>
      <c r="Y301"/>
      <c r="Z301"/>
      <c r="AA301"/>
      <c r="AB301"/>
      <c r="AC301"/>
      <c r="AD301"/>
      <c r="AE301"/>
      <c r="AF301"/>
      <c r="AG301"/>
      <c r="AH301"/>
      <c r="AI301"/>
      <c r="AJ301"/>
      <c r="AK301"/>
      <c r="AL301"/>
      <c r="AM301"/>
      <c r="AN301"/>
      <c r="AO301"/>
      <c r="AP301"/>
      <c r="AQ301"/>
      <c r="AR301"/>
      <c r="AS301"/>
      <c r="AT301"/>
      <c r="AU301"/>
      <c r="AV301" s="1" t="s">
        <v>38</v>
      </c>
      <c r="BG301" s="7" t="s">
        <v>1242</v>
      </c>
    </row>
    <row r="302" spans="1:59" s="1" customFormat="1" ht="72" x14ac:dyDescent="0.45">
      <c r="A302" s="5">
        <v>301</v>
      </c>
      <c r="B302" s="1" t="s">
        <v>10920</v>
      </c>
      <c r="C302" s="6"/>
      <c r="J302" s="1" t="s">
        <v>7557</v>
      </c>
      <c r="K302" s="11" t="s">
        <v>11836</v>
      </c>
      <c r="P302" s="7" t="s">
        <v>1241</v>
      </c>
      <c r="Q302"/>
      <c r="R302"/>
      <c r="S302"/>
      <c r="T302"/>
      <c r="U302"/>
      <c r="V302"/>
      <c r="W302"/>
      <c r="X302"/>
      <c r="Y302"/>
      <c r="Z302"/>
      <c r="AA302"/>
      <c r="AB302"/>
      <c r="AC302"/>
      <c r="AD302"/>
      <c r="AE302"/>
      <c r="AF302"/>
      <c r="AG302"/>
      <c r="AH302"/>
      <c r="AI302"/>
      <c r="AJ302"/>
      <c r="AK302"/>
      <c r="AL302"/>
      <c r="AM302"/>
      <c r="AN302"/>
      <c r="AO302"/>
      <c r="AP302"/>
      <c r="AQ302"/>
      <c r="AR302"/>
      <c r="AS302"/>
      <c r="AT302"/>
      <c r="AU302"/>
      <c r="AV302" s="1" t="s">
        <v>38</v>
      </c>
      <c r="BG302" s="7" t="s">
        <v>1242</v>
      </c>
    </row>
    <row r="303" spans="1:59" s="1" customFormat="1" ht="72" x14ac:dyDescent="0.45">
      <c r="A303" s="5">
        <v>302</v>
      </c>
      <c r="B303" s="1" t="s">
        <v>10921</v>
      </c>
      <c r="C303" s="6"/>
      <c r="J303" s="1" t="s">
        <v>7557</v>
      </c>
      <c r="K303" s="11" t="s">
        <v>11837</v>
      </c>
      <c r="P303" s="7" t="s">
        <v>1241</v>
      </c>
      <c r="Q303"/>
      <c r="R303"/>
      <c r="S303"/>
      <c r="T303"/>
      <c r="U303"/>
      <c r="V303"/>
      <c r="W303"/>
      <c r="X303"/>
      <c r="Y303"/>
      <c r="Z303"/>
      <c r="AA303"/>
      <c r="AB303"/>
      <c r="AC303"/>
      <c r="AD303"/>
      <c r="AE303"/>
      <c r="AF303"/>
      <c r="AG303"/>
      <c r="AH303"/>
      <c r="AI303"/>
      <c r="AJ303"/>
      <c r="AK303"/>
      <c r="AL303"/>
      <c r="AM303"/>
      <c r="AN303"/>
      <c r="AO303"/>
      <c r="AP303"/>
      <c r="AQ303"/>
      <c r="AR303"/>
      <c r="AS303"/>
      <c r="AT303"/>
      <c r="AU303"/>
      <c r="AV303" s="1" t="s">
        <v>38</v>
      </c>
      <c r="BG303" s="7" t="s">
        <v>1242</v>
      </c>
    </row>
    <row r="304" spans="1:59" s="1" customFormat="1" ht="90" x14ac:dyDescent="0.45">
      <c r="A304" s="5">
        <v>303</v>
      </c>
      <c r="B304" s="1" t="s">
        <v>10922</v>
      </c>
      <c r="C304" s="6"/>
      <c r="J304" s="1" t="s">
        <v>7557</v>
      </c>
      <c r="K304" s="11" t="s">
        <v>11838</v>
      </c>
      <c r="P304" s="7" t="s">
        <v>1241</v>
      </c>
      <c r="Q304"/>
      <c r="R304"/>
      <c r="S304"/>
      <c r="T304"/>
      <c r="U304"/>
      <c r="V304"/>
      <c r="W304"/>
      <c r="X304"/>
      <c r="Y304"/>
      <c r="Z304"/>
      <c r="AA304"/>
      <c r="AB304"/>
      <c r="AC304"/>
      <c r="AD304"/>
      <c r="AE304"/>
      <c r="AF304"/>
      <c r="AG304"/>
      <c r="AH304"/>
      <c r="AI304"/>
      <c r="AJ304"/>
      <c r="AK304"/>
      <c r="AL304"/>
      <c r="AM304"/>
      <c r="AN304"/>
      <c r="AO304"/>
      <c r="AP304"/>
      <c r="AQ304"/>
      <c r="AR304"/>
      <c r="AS304"/>
      <c r="AT304"/>
      <c r="AU304"/>
      <c r="AV304" s="1" t="s">
        <v>38</v>
      </c>
      <c r="BG304" s="7" t="s">
        <v>1242</v>
      </c>
    </row>
    <row r="305" spans="1:59" s="1" customFormat="1" ht="108" x14ac:dyDescent="0.45">
      <c r="A305" s="5">
        <v>304</v>
      </c>
      <c r="B305" s="1" t="s">
        <v>10923</v>
      </c>
      <c r="C305" s="6"/>
      <c r="J305" s="1" t="s">
        <v>7557</v>
      </c>
      <c r="K305" s="11" t="s">
        <v>11839</v>
      </c>
      <c r="P305" s="7" t="s">
        <v>1241</v>
      </c>
      <c r="Q305"/>
      <c r="R305"/>
      <c r="S305"/>
      <c r="T305"/>
      <c r="U305"/>
      <c r="V305"/>
      <c r="W305"/>
      <c r="X305"/>
      <c r="Y305"/>
      <c r="Z305"/>
      <c r="AA305"/>
      <c r="AB305"/>
      <c r="AC305"/>
      <c r="AD305"/>
      <c r="AE305"/>
      <c r="AF305"/>
      <c r="AG305"/>
      <c r="AH305"/>
      <c r="AI305"/>
      <c r="AJ305"/>
      <c r="AK305"/>
      <c r="AL305"/>
      <c r="AM305"/>
      <c r="AN305"/>
      <c r="AO305"/>
      <c r="AP305"/>
      <c r="AQ305"/>
      <c r="AR305"/>
      <c r="AS305"/>
      <c r="AT305"/>
      <c r="AU305"/>
      <c r="AV305" s="1" t="s">
        <v>38</v>
      </c>
      <c r="BG305" s="7" t="s">
        <v>1242</v>
      </c>
    </row>
    <row r="306" spans="1:59" s="1" customFormat="1" ht="90" x14ac:dyDescent="0.45">
      <c r="A306" s="5">
        <v>305</v>
      </c>
      <c r="B306" s="1" t="s">
        <v>10924</v>
      </c>
      <c r="C306" s="6"/>
      <c r="J306" s="1" t="s">
        <v>7557</v>
      </c>
      <c r="K306" s="11" t="s">
        <v>11840</v>
      </c>
      <c r="P306" s="7" t="s">
        <v>1241</v>
      </c>
      <c r="Q306"/>
      <c r="R306"/>
      <c r="S306"/>
      <c r="T306"/>
      <c r="U306"/>
      <c r="V306"/>
      <c r="W306"/>
      <c r="X306"/>
      <c r="Y306"/>
      <c r="Z306"/>
      <c r="AA306"/>
      <c r="AB306"/>
      <c r="AC306"/>
      <c r="AD306"/>
      <c r="AE306"/>
      <c r="AF306"/>
      <c r="AG306"/>
      <c r="AH306"/>
      <c r="AI306"/>
      <c r="AJ306"/>
      <c r="AK306"/>
      <c r="AL306"/>
      <c r="AM306"/>
      <c r="AN306"/>
      <c r="AO306"/>
      <c r="AP306"/>
      <c r="AQ306"/>
      <c r="AR306"/>
      <c r="AS306"/>
      <c r="AT306"/>
      <c r="AU306"/>
      <c r="AV306" s="1" t="s">
        <v>38</v>
      </c>
      <c r="BG306" s="7" t="s">
        <v>1242</v>
      </c>
    </row>
    <row r="307" spans="1:59" s="1" customFormat="1" ht="126" x14ac:dyDescent="0.45">
      <c r="A307" s="5">
        <v>306</v>
      </c>
      <c r="B307" s="1" t="s">
        <v>10925</v>
      </c>
      <c r="C307" s="6"/>
      <c r="J307" s="1" t="s">
        <v>7557</v>
      </c>
      <c r="K307" s="11" t="s">
        <v>11841</v>
      </c>
      <c r="P307" s="7" t="s">
        <v>1241</v>
      </c>
      <c r="Q307"/>
      <c r="R307"/>
      <c r="S307"/>
      <c r="T307"/>
      <c r="U307"/>
      <c r="V307"/>
      <c r="W307"/>
      <c r="X307"/>
      <c r="Y307"/>
      <c r="Z307"/>
      <c r="AA307"/>
      <c r="AB307"/>
      <c r="AC307"/>
      <c r="AD307"/>
      <c r="AE307"/>
      <c r="AF307"/>
      <c r="AG307"/>
      <c r="AH307"/>
      <c r="AI307"/>
      <c r="AJ307"/>
      <c r="AK307"/>
      <c r="AL307"/>
      <c r="AM307"/>
      <c r="AN307"/>
      <c r="AO307"/>
      <c r="AP307"/>
      <c r="AQ307"/>
      <c r="AR307"/>
      <c r="AS307"/>
      <c r="AT307"/>
      <c r="AU307"/>
      <c r="AV307" s="1" t="s">
        <v>38</v>
      </c>
      <c r="BG307" s="7" t="s">
        <v>1242</v>
      </c>
    </row>
    <row r="308" spans="1:59" s="1" customFormat="1" ht="90" x14ac:dyDescent="0.45">
      <c r="A308" s="5">
        <v>307</v>
      </c>
      <c r="B308" s="1" t="s">
        <v>10926</v>
      </c>
      <c r="C308" s="6"/>
      <c r="J308" s="1" t="s">
        <v>7557</v>
      </c>
      <c r="K308" s="11" t="s">
        <v>11842</v>
      </c>
      <c r="P308" s="7" t="s">
        <v>1241</v>
      </c>
      <c r="Q308"/>
      <c r="R308"/>
      <c r="S308"/>
      <c r="T308"/>
      <c r="U308"/>
      <c r="V308"/>
      <c r="W308"/>
      <c r="X308"/>
      <c r="Y308"/>
      <c r="Z308"/>
      <c r="AA308"/>
      <c r="AB308"/>
      <c r="AC308"/>
      <c r="AD308"/>
      <c r="AE308"/>
      <c r="AF308"/>
      <c r="AG308"/>
      <c r="AH308"/>
      <c r="AI308"/>
      <c r="AJ308"/>
      <c r="AK308"/>
      <c r="AL308"/>
      <c r="AM308"/>
      <c r="AN308"/>
      <c r="AO308"/>
      <c r="AP308"/>
      <c r="AQ308"/>
      <c r="AR308"/>
      <c r="AS308"/>
      <c r="AT308"/>
      <c r="AU308"/>
      <c r="AV308" s="1" t="s">
        <v>38</v>
      </c>
      <c r="BG308" s="7" t="s">
        <v>1242</v>
      </c>
    </row>
    <row r="309" spans="1:59" s="1" customFormat="1" ht="90" x14ac:dyDescent="0.45">
      <c r="A309" s="5">
        <v>308</v>
      </c>
      <c r="B309" s="1" t="s">
        <v>10927</v>
      </c>
      <c r="C309" s="6"/>
      <c r="J309" s="1" t="s">
        <v>7557</v>
      </c>
      <c r="K309" s="11" t="s">
        <v>11843</v>
      </c>
      <c r="P309" s="7" t="s">
        <v>1241</v>
      </c>
      <c r="Q309"/>
      <c r="R309"/>
      <c r="S309"/>
      <c r="T309"/>
      <c r="U309"/>
      <c r="V309"/>
      <c r="W309"/>
      <c r="X309"/>
      <c r="Y309"/>
      <c r="Z309"/>
      <c r="AA309"/>
      <c r="AB309"/>
      <c r="AC309"/>
      <c r="AD309"/>
      <c r="AE309"/>
      <c r="AF309"/>
      <c r="AG309"/>
      <c r="AH309"/>
      <c r="AI309"/>
      <c r="AJ309"/>
      <c r="AK309"/>
      <c r="AL309"/>
      <c r="AM309"/>
      <c r="AN309"/>
      <c r="AO309"/>
      <c r="AP309"/>
      <c r="AQ309"/>
      <c r="AR309"/>
      <c r="AS309"/>
      <c r="AT309"/>
      <c r="AU309"/>
      <c r="AV309" s="1" t="s">
        <v>38</v>
      </c>
      <c r="BG309" s="7" t="s">
        <v>1242</v>
      </c>
    </row>
    <row r="310" spans="1:59" s="1" customFormat="1" ht="108" x14ac:dyDescent="0.45">
      <c r="A310" s="5">
        <v>309</v>
      </c>
      <c r="B310" s="1" t="s">
        <v>10928</v>
      </c>
      <c r="C310" s="6"/>
      <c r="J310" s="1" t="s">
        <v>7557</v>
      </c>
      <c r="K310" s="11" t="s">
        <v>11844</v>
      </c>
      <c r="P310" s="7" t="s">
        <v>1241</v>
      </c>
      <c r="Q310"/>
      <c r="R310"/>
      <c r="S310"/>
      <c r="T310"/>
      <c r="U310"/>
      <c r="V310"/>
      <c r="W310"/>
      <c r="X310"/>
      <c r="Y310"/>
      <c r="Z310"/>
      <c r="AA310"/>
      <c r="AB310"/>
      <c r="AC310"/>
      <c r="AD310"/>
      <c r="AE310"/>
      <c r="AF310"/>
      <c r="AG310"/>
      <c r="AH310"/>
      <c r="AI310"/>
      <c r="AJ310"/>
      <c r="AK310"/>
      <c r="AL310"/>
      <c r="AM310"/>
      <c r="AN310"/>
      <c r="AO310"/>
      <c r="AP310"/>
      <c r="AQ310"/>
      <c r="AR310"/>
      <c r="AS310"/>
      <c r="AT310"/>
      <c r="AU310"/>
      <c r="AV310" s="1" t="s">
        <v>38</v>
      </c>
      <c r="BG310" s="7" t="s">
        <v>1242</v>
      </c>
    </row>
    <row r="311" spans="1:59" s="1" customFormat="1" ht="126" x14ac:dyDescent="0.45">
      <c r="A311" s="5">
        <v>310</v>
      </c>
      <c r="B311" s="1" t="s">
        <v>10929</v>
      </c>
      <c r="C311" s="6"/>
      <c r="J311" s="1" t="s">
        <v>7557</v>
      </c>
      <c r="K311" s="11" t="s">
        <v>11845</v>
      </c>
      <c r="P311" s="7" t="s">
        <v>1241</v>
      </c>
      <c r="Q311"/>
      <c r="R311"/>
      <c r="S311"/>
      <c r="T311"/>
      <c r="U311"/>
      <c r="V311"/>
      <c r="W311"/>
      <c r="X311"/>
      <c r="Y311"/>
      <c r="Z311"/>
      <c r="AA311"/>
      <c r="AB311"/>
      <c r="AC311"/>
      <c r="AD311"/>
      <c r="AE311"/>
      <c r="AF311"/>
      <c r="AG311"/>
      <c r="AH311"/>
      <c r="AI311"/>
      <c r="AJ311"/>
      <c r="AK311"/>
      <c r="AL311"/>
      <c r="AM311"/>
      <c r="AN311"/>
      <c r="AO311"/>
      <c r="AP311"/>
      <c r="AQ311"/>
      <c r="AR311"/>
      <c r="AS311"/>
      <c r="AT311"/>
      <c r="AU311"/>
      <c r="AV311" s="1" t="s">
        <v>38</v>
      </c>
      <c r="BG311" s="7" t="s">
        <v>1242</v>
      </c>
    </row>
    <row r="312" spans="1:59" s="1" customFormat="1" ht="72" x14ac:dyDescent="0.45">
      <c r="A312" s="5">
        <v>311</v>
      </c>
      <c r="B312" s="1" t="s">
        <v>10930</v>
      </c>
      <c r="C312" s="6"/>
      <c r="J312" s="1" t="s">
        <v>7557</v>
      </c>
      <c r="K312" s="11" t="s">
        <v>11846</v>
      </c>
      <c r="P312" s="7" t="s">
        <v>1241</v>
      </c>
      <c r="Q312"/>
      <c r="R312"/>
      <c r="S312"/>
      <c r="T312"/>
      <c r="U312"/>
      <c r="V312"/>
      <c r="W312"/>
      <c r="X312"/>
      <c r="Y312"/>
      <c r="Z312"/>
      <c r="AA312"/>
      <c r="AB312"/>
      <c r="AC312"/>
      <c r="AD312"/>
      <c r="AE312"/>
      <c r="AF312"/>
      <c r="AG312"/>
      <c r="AH312"/>
      <c r="AI312"/>
      <c r="AJ312"/>
      <c r="AK312"/>
      <c r="AL312"/>
      <c r="AM312"/>
      <c r="AN312"/>
      <c r="AO312"/>
      <c r="AP312"/>
      <c r="AQ312"/>
      <c r="AR312"/>
      <c r="AS312"/>
      <c r="AT312"/>
      <c r="AU312"/>
      <c r="AV312" s="1" t="s">
        <v>38</v>
      </c>
      <c r="BG312" s="7" t="s">
        <v>1242</v>
      </c>
    </row>
    <row r="313" spans="1:59" s="1" customFormat="1" ht="72" x14ac:dyDescent="0.45">
      <c r="A313" s="5">
        <v>312</v>
      </c>
      <c r="B313" s="1" t="s">
        <v>10931</v>
      </c>
      <c r="C313" s="6"/>
      <c r="J313" s="1" t="s">
        <v>7557</v>
      </c>
      <c r="K313" s="11" t="s">
        <v>11847</v>
      </c>
      <c r="P313" s="7" t="s">
        <v>1241</v>
      </c>
      <c r="Q313"/>
      <c r="R313"/>
      <c r="S313"/>
      <c r="T313"/>
      <c r="U313"/>
      <c r="V313"/>
      <c r="W313"/>
      <c r="X313"/>
      <c r="Y313"/>
      <c r="Z313"/>
      <c r="AA313"/>
      <c r="AB313"/>
      <c r="AC313"/>
      <c r="AD313"/>
      <c r="AE313"/>
      <c r="AF313"/>
      <c r="AG313"/>
      <c r="AH313"/>
      <c r="AI313"/>
      <c r="AJ313"/>
      <c r="AK313"/>
      <c r="AL313"/>
      <c r="AM313"/>
      <c r="AN313"/>
      <c r="AO313"/>
      <c r="AP313"/>
      <c r="AQ313"/>
      <c r="AR313"/>
      <c r="AS313"/>
      <c r="AT313"/>
      <c r="AU313"/>
      <c r="AV313" s="1" t="s">
        <v>38</v>
      </c>
      <c r="BG313" s="7" t="s">
        <v>1242</v>
      </c>
    </row>
    <row r="314" spans="1:59" s="1" customFormat="1" ht="126" x14ac:dyDescent="0.45">
      <c r="A314" s="5">
        <v>313</v>
      </c>
      <c r="B314" s="1" t="s">
        <v>10932</v>
      </c>
      <c r="C314" s="6"/>
      <c r="J314" s="1" t="s">
        <v>7557</v>
      </c>
      <c r="K314" s="11" t="s">
        <v>11848</v>
      </c>
      <c r="P314" s="7" t="s">
        <v>1241</v>
      </c>
      <c r="Q314"/>
      <c r="R314"/>
      <c r="S314"/>
      <c r="T314"/>
      <c r="U314"/>
      <c r="V314"/>
      <c r="W314"/>
      <c r="X314"/>
      <c r="Y314"/>
      <c r="Z314"/>
      <c r="AA314"/>
      <c r="AB314"/>
      <c r="AC314"/>
      <c r="AD314"/>
      <c r="AE314"/>
      <c r="AF314"/>
      <c r="AG314"/>
      <c r="AH314"/>
      <c r="AI314"/>
      <c r="AJ314"/>
      <c r="AK314"/>
      <c r="AL314"/>
      <c r="AM314"/>
      <c r="AN314"/>
      <c r="AO314"/>
      <c r="AP314"/>
      <c r="AQ314"/>
      <c r="AR314"/>
      <c r="AS314"/>
      <c r="AT314"/>
      <c r="AU314"/>
      <c r="AV314" s="1" t="s">
        <v>38</v>
      </c>
      <c r="BG314" s="7" t="s">
        <v>1242</v>
      </c>
    </row>
    <row r="315" spans="1:59" s="1" customFormat="1" ht="126" x14ac:dyDescent="0.45">
      <c r="A315" s="5">
        <v>314</v>
      </c>
      <c r="B315" s="1" t="s">
        <v>10933</v>
      </c>
      <c r="C315" s="6"/>
      <c r="J315" s="1" t="s">
        <v>7557</v>
      </c>
      <c r="K315" s="11" t="s">
        <v>11849</v>
      </c>
      <c r="P315" s="7" t="s">
        <v>1241</v>
      </c>
      <c r="Q315"/>
      <c r="R315"/>
      <c r="S315"/>
      <c r="T315"/>
      <c r="U315"/>
      <c r="V315"/>
      <c r="W315"/>
      <c r="X315"/>
      <c r="Y315"/>
      <c r="Z315"/>
      <c r="AA315"/>
      <c r="AB315"/>
      <c r="AC315"/>
      <c r="AD315"/>
      <c r="AE315"/>
      <c r="AF315"/>
      <c r="AG315"/>
      <c r="AH315"/>
      <c r="AI315"/>
      <c r="AJ315"/>
      <c r="AK315"/>
      <c r="AL315"/>
      <c r="AM315"/>
      <c r="AN315"/>
      <c r="AO315"/>
      <c r="AP315"/>
      <c r="AQ315"/>
      <c r="AR315"/>
      <c r="AS315"/>
      <c r="AT315"/>
      <c r="AU315"/>
      <c r="AV315" s="1" t="s">
        <v>38</v>
      </c>
      <c r="BG315" s="7" t="s">
        <v>1242</v>
      </c>
    </row>
    <row r="316" spans="1:59" s="1" customFormat="1" ht="108" x14ac:dyDescent="0.45">
      <c r="A316" s="5">
        <v>315</v>
      </c>
      <c r="B316" s="1" t="s">
        <v>10934</v>
      </c>
      <c r="C316" s="6"/>
      <c r="J316" s="1" t="s">
        <v>7557</v>
      </c>
      <c r="K316" s="11" t="s">
        <v>11850</v>
      </c>
      <c r="P316" s="7" t="s">
        <v>1241</v>
      </c>
      <c r="Q316"/>
      <c r="R316"/>
      <c r="S316"/>
      <c r="T316"/>
      <c r="U316"/>
      <c r="V316"/>
      <c r="W316"/>
      <c r="X316"/>
      <c r="Y316"/>
      <c r="Z316"/>
      <c r="AA316"/>
      <c r="AB316"/>
      <c r="AC316"/>
      <c r="AD316"/>
      <c r="AE316"/>
      <c r="AF316"/>
      <c r="AG316"/>
      <c r="AH316"/>
      <c r="AI316"/>
      <c r="AJ316"/>
      <c r="AK316"/>
      <c r="AL316"/>
      <c r="AM316"/>
      <c r="AN316"/>
      <c r="AO316"/>
      <c r="AP316"/>
      <c r="AQ316"/>
      <c r="AR316"/>
      <c r="AS316"/>
      <c r="AT316"/>
      <c r="AU316"/>
      <c r="AV316" s="1" t="s">
        <v>38</v>
      </c>
      <c r="BG316" s="7" t="s">
        <v>1242</v>
      </c>
    </row>
    <row r="317" spans="1:59" s="1" customFormat="1" ht="72" x14ac:dyDescent="0.45">
      <c r="A317" s="5">
        <v>316</v>
      </c>
      <c r="B317" s="1" t="s">
        <v>10935</v>
      </c>
      <c r="C317" s="6"/>
      <c r="J317" s="1" t="s">
        <v>7557</v>
      </c>
      <c r="K317" s="11" t="s">
        <v>11851</v>
      </c>
      <c r="P317" s="7" t="s">
        <v>1241</v>
      </c>
      <c r="Q317"/>
      <c r="R317"/>
      <c r="S317"/>
      <c r="T317"/>
      <c r="U317"/>
      <c r="V317"/>
      <c r="W317"/>
      <c r="X317"/>
      <c r="Y317"/>
      <c r="Z317"/>
      <c r="AA317"/>
      <c r="AB317"/>
      <c r="AC317"/>
      <c r="AD317"/>
      <c r="AE317"/>
      <c r="AF317"/>
      <c r="AG317"/>
      <c r="AH317"/>
      <c r="AI317"/>
      <c r="AJ317"/>
      <c r="AK317"/>
      <c r="AL317"/>
      <c r="AM317"/>
      <c r="AN317"/>
      <c r="AO317"/>
      <c r="AP317"/>
      <c r="AQ317"/>
      <c r="AR317"/>
      <c r="AS317"/>
      <c r="AT317"/>
      <c r="AU317"/>
      <c r="AV317" s="1" t="s">
        <v>38</v>
      </c>
      <c r="BG317" s="7" t="s">
        <v>1242</v>
      </c>
    </row>
    <row r="318" spans="1:59" s="1" customFormat="1" ht="108" x14ac:dyDescent="0.45">
      <c r="A318" s="5">
        <v>317</v>
      </c>
      <c r="B318" s="1" t="s">
        <v>10936</v>
      </c>
      <c r="C318" s="6"/>
      <c r="J318" s="1" t="s">
        <v>7557</v>
      </c>
      <c r="K318" s="11" t="s">
        <v>11852</v>
      </c>
      <c r="P318" s="7" t="s">
        <v>1241</v>
      </c>
      <c r="Q318"/>
      <c r="R318"/>
      <c r="S318"/>
      <c r="T318"/>
      <c r="U318"/>
      <c r="V318"/>
      <c r="W318"/>
      <c r="X318"/>
      <c r="Y318"/>
      <c r="Z318"/>
      <c r="AA318"/>
      <c r="AB318"/>
      <c r="AC318"/>
      <c r="AD318"/>
      <c r="AE318"/>
      <c r="AF318"/>
      <c r="AG318"/>
      <c r="AH318"/>
      <c r="AI318"/>
      <c r="AJ318"/>
      <c r="AK318"/>
      <c r="AL318"/>
      <c r="AM318"/>
      <c r="AN318"/>
      <c r="AO318"/>
      <c r="AP318"/>
      <c r="AQ318"/>
      <c r="AR318"/>
      <c r="AS318"/>
      <c r="AT318"/>
      <c r="AU318"/>
      <c r="AV318" s="1" t="s">
        <v>38</v>
      </c>
      <c r="BG318" s="7" t="s">
        <v>1242</v>
      </c>
    </row>
    <row r="319" spans="1:59" s="1" customFormat="1" ht="108" x14ac:dyDescent="0.45">
      <c r="A319" s="5">
        <v>318</v>
      </c>
      <c r="B319" s="1" t="s">
        <v>10937</v>
      </c>
      <c r="C319" s="6"/>
      <c r="J319" s="1" t="s">
        <v>7557</v>
      </c>
      <c r="K319" s="11" t="s">
        <v>11853</v>
      </c>
      <c r="P319" s="7" t="s">
        <v>1241</v>
      </c>
      <c r="Q319"/>
      <c r="R319"/>
      <c r="S319"/>
      <c r="T319"/>
      <c r="U319"/>
      <c r="V319"/>
      <c r="W319"/>
      <c r="X319"/>
      <c r="Y319"/>
      <c r="Z319"/>
      <c r="AA319"/>
      <c r="AB319"/>
      <c r="AC319"/>
      <c r="AD319"/>
      <c r="AE319"/>
      <c r="AF319"/>
      <c r="AG319"/>
      <c r="AH319"/>
      <c r="AI319"/>
      <c r="AJ319"/>
      <c r="AK319"/>
      <c r="AL319"/>
      <c r="AM319"/>
      <c r="AN319"/>
      <c r="AO319"/>
      <c r="AP319"/>
      <c r="AQ319"/>
      <c r="AR319"/>
      <c r="AS319"/>
      <c r="AT319"/>
      <c r="AU319"/>
      <c r="AV319" s="1" t="s">
        <v>38</v>
      </c>
      <c r="BG319" s="7" t="s">
        <v>1242</v>
      </c>
    </row>
    <row r="320" spans="1:59" s="1" customFormat="1" ht="126" x14ac:dyDescent="0.45">
      <c r="A320" s="5">
        <v>319</v>
      </c>
      <c r="B320" s="1" t="s">
        <v>10938</v>
      </c>
      <c r="C320" s="6"/>
      <c r="J320" s="1" t="s">
        <v>7557</v>
      </c>
      <c r="K320" s="2" t="s">
        <v>10300</v>
      </c>
      <c r="P320" s="7" t="s">
        <v>1241</v>
      </c>
      <c r="Q320"/>
      <c r="R320"/>
      <c r="S320"/>
      <c r="T320"/>
      <c r="U320"/>
      <c r="V320"/>
      <c r="W320"/>
      <c r="X320"/>
      <c r="Y320"/>
      <c r="Z320"/>
      <c r="AA320"/>
      <c r="AB320"/>
      <c r="AC320"/>
      <c r="AD320"/>
      <c r="AE320"/>
      <c r="AF320"/>
      <c r="AG320"/>
      <c r="AH320"/>
      <c r="AI320"/>
      <c r="AJ320"/>
      <c r="AK320"/>
      <c r="AL320"/>
      <c r="AM320"/>
      <c r="AN320"/>
      <c r="AO320"/>
      <c r="AP320"/>
      <c r="AQ320"/>
      <c r="AR320"/>
      <c r="AS320"/>
      <c r="AT320"/>
      <c r="AU320"/>
      <c r="AV320" s="1" t="s">
        <v>38</v>
      </c>
      <c r="BG320" s="7" t="s">
        <v>1242</v>
      </c>
    </row>
    <row r="321" spans="1:59" s="1" customFormat="1" ht="108" x14ac:dyDescent="0.45">
      <c r="A321" s="5">
        <v>320</v>
      </c>
      <c r="B321" s="1" t="s">
        <v>10939</v>
      </c>
      <c r="C321" s="6"/>
      <c r="J321" s="1" t="s">
        <v>7557</v>
      </c>
      <c r="K321" s="2" t="s">
        <v>10301</v>
      </c>
      <c r="P321" s="7" t="s">
        <v>1241</v>
      </c>
      <c r="Q321"/>
      <c r="R321"/>
      <c r="S321"/>
      <c r="T321"/>
      <c r="U321"/>
      <c r="V321"/>
      <c r="W321"/>
      <c r="X321"/>
      <c r="Y321"/>
      <c r="Z321"/>
      <c r="AA321"/>
      <c r="AB321"/>
      <c r="AC321"/>
      <c r="AD321"/>
      <c r="AE321"/>
      <c r="AF321"/>
      <c r="AG321"/>
      <c r="AH321"/>
      <c r="AI321"/>
      <c r="AJ321"/>
      <c r="AK321"/>
      <c r="AL321"/>
      <c r="AM321"/>
      <c r="AN321"/>
      <c r="AO321"/>
      <c r="AP321"/>
      <c r="AQ321"/>
      <c r="AR321"/>
      <c r="AS321"/>
      <c r="AT321"/>
      <c r="AU321"/>
      <c r="AV321" s="1" t="s">
        <v>38</v>
      </c>
      <c r="BG321" s="7" t="s">
        <v>1242</v>
      </c>
    </row>
    <row r="322" spans="1:59" s="1" customFormat="1" ht="126" x14ac:dyDescent="0.45">
      <c r="A322" s="5">
        <v>321</v>
      </c>
      <c r="B322" s="1" t="s">
        <v>10940</v>
      </c>
      <c r="C322" s="6"/>
      <c r="J322" s="1" t="s">
        <v>7557</v>
      </c>
      <c r="K322" s="2" t="s">
        <v>11725</v>
      </c>
      <c r="P322" s="7" t="s">
        <v>1241</v>
      </c>
      <c r="Q322"/>
      <c r="R322"/>
      <c r="S322"/>
      <c r="T322"/>
      <c r="U322"/>
      <c r="V322"/>
      <c r="W322"/>
      <c r="X322"/>
      <c r="Y322"/>
      <c r="Z322"/>
      <c r="AA322"/>
      <c r="AB322"/>
      <c r="AC322"/>
      <c r="AD322"/>
      <c r="AE322"/>
      <c r="AF322"/>
      <c r="AG322"/>
      <c r="AH322"/>
      <c r="AI322"/>
      <c r="AJ322"/>
      <c r="AK322"/>
      <c r="AL322"/>
      <c r="AM322"/>
      <c r="AN322"/>
      <c r="AO322"/>
      <c r="AP322"/>
      <c r="AQ322"/>
      <c r="AR322"/>
      <c r="AS322"/>
      <c r="AT322"/>
      <c r="AU322"/>
      <c r="AV322" s="1" t="s">
        <v>38</v>
      </c>
      <c r="BG322" s="7" t="s">
        <v>1242</v>
      </c>
    </row>
    <row r="323" spans="1:59" s="1" customFormat="1" ht="54" x14ac:dyDescent="0.45">
      <c r="A323" s="5">
        <v>322</v>
      </c>
      <c r="B323" s="1" t="s">
        <v>10941</v>
      </c>
      <c r="C323" s="6"/>
      <c r="J323" s="1" t="s">
        <v>7557</v>
      </c>
      <c r="K323" s="2" t="s">
        <v>10302</v>
      </c>
      <c r="P323" s="7" t="s">
        <v>1241</v>
      </c>
      <c r="Q323"/>
      <c r="R323"/>
      <c r="S323"/>
      <c r="T323"/>
      <c r="U323"/>
      <c r="V323"/>
      <c r="W323"/>
      <c r="X323"/>
      <c r="Y323"/>
      <c r="Z323"/>
      <c r="AA323"/>
      <c r="AB323"/>
      <c r="AC323"/>
      <c r="AD323"/>
      <c r="AE323"/>
      <c r="AF323"/>
      <c r="AG323"/>
      <c r="AH323"/>
      <c r="AI323"/>
      <c r="AJ323"/>
      <c r="AK323"/>
      <c r="AL323"/>
      <c r="AM323"/>
      <c r="AN323"/>
      <c r="AO323"/>
      <c r="AP323"/>
      <c r="AQ323"/>
      <c r="AR323"/>
      <c r="AS323"/>
      <c r="AT323"/>
      <c r="AU323"/>
      <c r="AV323" s="1" t="s">
        <v>38</v>
      </c>
      <c r="BG323" s="7" t="s">
        <v>1242</v>
      </c>
    </row>
    <row r="324" spans="1:59" s="1" customFormat="1" ht="54" x14ac:dyDescent="0.45">
      <c r="A324" s="5">
        <v>323</v>
      </c>
      <c r="B324" s="1" t="s">
        <v>10942</v>
      </c>
      <c r="C324" s="6"/>
      <c r="J324" s="1" t="s">
        <v>7557</v>
      </c>
      <c r="K324" s="2" t="s">
        <v>10303</v>
      </c>
      <c r="P324" s="7" t="s">
        <v>1241</v>
      </c>
      <c r="Q324"/>
      <c r="R324"/>
      <c r="S324"/>
      <c r="T324"/>
      <c r="U324"/>
      <c r="V324"/>
      <c r="W324"/>
      <c r="X324"/>
      <c r="Y324"/>
      <c r="Z324"/>
      <c r="AA324"/>
      <c r="AB324"/>
      <c r="AC324"/>
      <c r="AD324"/>
      <c r="AE324"/>
      <c r="AF324"/>
      <c r="AG324"/>
      <c r="AH324"/>
      <c r="AI324"/>
      <c r="AJ324"/>
      <c r="AK324"/>
      <c r="AL324"/>
      <c r="AM324"/>
      <c r="AN324"/>
      <c r="AO324"/>
      <c r="AP324"/>
      <c r="AQ324"/>
      <c r="AR324"/>
      <c r="AS324"/>
      <c r="AT324"/>
      <c r="AU324"/>
      <c r="AV324" s="1" t="s">
        <v>38</v>
      </c>
      <c r="BG324" s="7" t="s">
        <v>1242</v>
      </c>
    </row>
    <row r="325" spans="1:59" s="1" customFormat="1" ht="108" x14ac:dyDescent="0.45">
      <c r="A325" s="5">
        <v>324</v>
      </c>
      <c r="B325" s="1" t="s">
        <v>10943</v>
      </c>
      <c r="C325" s="6"/>
      <c r="J325" s="1" t="s">
        <v>7557</v>
      </c>
      <c r="K325" s="11" t="s">
        <v>11854</v>
      </c>
      <c r="P325" s="7" t="s">
        <v>1241</v>
      </c>
      <c r="Q325"/>
      <c r="R325"/>
      <c r="S325"/>
      <c r="T325"/>
      <c r="U325"/>
      <c r="V325"/>
      <c r="W325"/>
      <c r="X325"/>
      <c r="Y325"/>
      <c r="Z325"/>
      <c r="AA325"/>
      <c r="AB325"/>
      <c r="AC325"/>
      <c r="AD325"/>
      <c r="AE325"/>
      <c r="AF325"/>
      <c r="AG325"/>
      <c r="AH325"/>
      <c r="AI325"/>
      <c r="AJ325"/>
      <c r="AK325"/>
      <c r="AL325"/>
      <c r="AM325"/>
      <c r="AN325"/>
      <c r="AO325"/>
      <c r="AP325"/>
      <c r="AQ325"/>
      <c r="AR325"/>
      <c r="AS325"/>
      <c r="AT325"/>
      <c r="AU325"/>
      <c r="AV325" s="1" t="s">
        <v>38</v>
      </c>
      <c r="BG325" s="7" t="s">
        <v>1242</v>
      </c>
    </row>
    <row r="326" spans="1:59" s="1" customFormat="1" ht="162" x14ac:dyDescent="0.45">
      <c r="A326" s="5">
        <v>325</v>
      </c>
      <c r="B326" s="1" t="s">
        <v>10944</v>
      </c>
      <c r="C326" s="6"/>
      <c r="J326" s="1" t="s">
        <v>7557</v>
      </c>
      <c r="K326" s="11" t="s">
        <v>11855</v>
      </c>
      <c r="P326" s="7" t="s">
        <v>1241</v>
      </c>
      <c r="Q326"/>
      <c r="R326"/>
      <c r="S326"/>
      <c r="T326"/>
      <c r="U326"/>
      <c r="V326"/>
      <c r="W326"/>
      <c r="X326"/>
      <c r="Y326"/>
      <c r="Z326"/>
      <c r="AA326"/>
      <c r="AB326"/>
      <c r="AC326"/>
      <c r="AD326"/>
      <c r="AE326"/>
      <c r="AF326"/>
      <c r="AG326"/>
      <c r="AH326"/>
      <c r="AI326"/>
      <c r="AJ326"/>
      <c r="AK326"/>
      <c r="AL326"/>
      <c r="AM326"/>
      <c r="AN326"/>
      <c r="AO326"/>
      <c r="AP326"/>
      <c r="AQ326"/>
      <c r="AR326"/>
      <c r="AS326"/>
      <c r="AT326"/>
      <c r="AU326"/>
      <c r="AV326" s="1" t="s">
        <v>38</v>
      </c>
      <c r="BG326" s="7" t="s">
        <v>1242</v>
      </c>
    </row>
    <row r="327" spans="1:59" s="1" customFormat="1" ht="126" x14ac:dyDescent="0.45">
      <c r="A327" s="5">
        <v>326</v>
      </c>
      <c r="B327" s="1" t="s">
        <v>10945</v>
      </c>
      <c r="C327" s="6"/>
      <c r="J327" s="1" t="s">
        <v>7557</v>
      </c>
      <c r="K327" s="11" t="s">
        <v>11856</v>
      </c>
      <c r="P327" s="7" t="s">
        <v>1241</v>
      </c>
      <c r="Q327"/>
      <c r="R327"/>
      <c r="S327"/>
      <c r="T327"/>
      <c r="U327"/>
      <c r="V327"/>
      <c r="W327"/>
      <c r="X327"/>
      <c r="Y327"/>
      <c r="Z327"/>
      <c r="AA327"/>
      <c r="AB327"/>
      <c r="AC327"/>
      <c r="AD327"/>
      <c r="AE327"/>
      <c r="AF327"/>
      <c r="AG327"/>
      <c r="AH327"/>
      <c r="AI327"/>
      <c r="AJ327"/>
      <c r="AK327"/>
      <c r="AL327"/>
      <c r="AM327"/>
      <c r="AN327"/>
      <c r="AO327"/>
      <c r="AP327"/>
      <c r="AQ327"/>
      <c r="AR327"/>
      <c r="AS327"/>
      <c r="AT327"/>
      <c r="AU327"/>
      <c r="AV327" s="1" t="s">
        <v>38</v>
      </c>
      <c r="BG327" s="7" t="s">
        <v>1242</v>
      </c>
    </row>
    <row r="328" spans="1:59" s="1" customFormat="1" ht="90" x14ac:dyDescent="0.45">
      <c r="A328" s="5">
        <v>327</v>
      </c>
      <c r="B328" s="1" t="s">
        <v>10946</v>
      </c>
      <c r="C328" s="6"/>
      <c r="J328" s="1" t="s">
        <v>7557</v>
      </c>
      <c r="K328" s="2" t="s">
        <v>10304</v>
      </c>
      <c r="P328" s="7" t="s">
        <v>1241</v>
      </c>
      <c r="Q328"/>
      <c r="R328"/>
      <c r="S328"/>
      <c r="T328"/>
      <c r="U328"/>
      <c r="V328"/>
      <c r="W328"/>
      <c r="X328"/>
      <c r="Y328"/>
      <c r="Z328"/>
      <c r="AA328"/>
      <c r="AB328"/>
      <c r="AC328"/>
      <c r="AD328"/>
      <c r="AE328"/>
      <c r="AF328"/>
      <c r="AG328"/>
      <c r="AH328"/>
      <c r="AI328"/>
      <c r="AJ328"/>
      <c r="AK328"/>
      <c r="AL328"/>
      <c r="AM328"/>
      <c r="AN328"/>
      <c r="AO328"/>
      <c r="AP328"/>
      <c r="AQ328"/>
      <c r="AR328"/>
      <c r="AS328"/>
      <c r="AT328"/>
      <c r="AU328"/>
      <c r="AV328" s="1" t="s">
        <v>38</v>
      </c>
      <c r="BG328" s="7" t="s">
        <v>1242</v>
      </c>
    </row>
    <row r="329" spans="1:59" s="1" customFormat="1" ht="90" x14ac:dyDescent="0.45">
      <c r="A329" s="5">
        <v>328</v>
      </c>
      <c r="B329" s="1" t="s">
        <v>10947</v>
      </c>
      <c r="C329" s="6"/>
      <c r="J329" s="1" t="s">
        <v>7557</v>
      </c>
      <c r="K329" s="2" t="s">
        <v>10305</v>
      </c>
      <c r="P329" s="7" t="s">
        <v>1241</v>
      </c>
      <c r="Q329"/>
      <c r="R329"/>
      <c r="S329"/>
      <c r="T329"/>
      <c r="U329"/>
      <c r="V329"/>
      <c r="W329"/>
      <c r="X329"/>
      <c r="Y329"/>
      <c r="Z329"/>
      <c r="AA329"/>
      <c r="AB329"/>
      <c r="AC329"/>
      <c r="AD329"/>
      <c r="AE329"/>
      <c r="AF329"/>
      <c r="AG329"/>
      <c r="AH329"/>
      <c r="AI329"/>
      <c r="AJ329"/>
      <c r="AK329"/>
      <c r="AL329"/>
      <c r="AM329"/>
      <c r="AN329"/>
      <c r="AO329"/>
      <c r="AP329"/>
      <c r="AQ329"/>
      <c r="AR329"/>
      <c r="AS329"/>
      <c r="AT329"/>
      <c r="AU329"/>
      <c r="AV329" s="1" t="s">
        <v>38</v>
      </c>
      <c r="BG329" s="7" t="s">
        <v>1242</v>
      </c>
    </row>
    <row r="330" spans="1:59" s="1" customFormat="1" ht="162" x14ac:dyDescent="0.45">
      <c r="A330" s="5">
        <v>329</v>
      </c>
      <c r="B330" s="1" t="s">
        <v>10948</v>
      </c>
      <c r="C330" s="6"/>
      <c r="J330" s="1" t="s">
        <v>7557</v>
      </c>
      <c r="K330" s="11" t="s">
        <v>11857</v>
      </c>
      <c r="P330" s="7" t="s">
        <v>1241</v>
      </c>
      <c r="Q330"/>
      <c r="R330"/>
      <c r="S330"/>
      <c r="T330"/>
      <c r="U330"/>
      <c r="V330"/>
      <c r="W330"/>
      <c r="X330"/>
      <c r="Y330"/>
      <c r="Z330"/>
      <c r="AA330"/>
      <c r="AB330"/>
      <c r="AC330"/>
      <c r="AD330"/>
      <c r="AE330"/>
      <c r="AF330"/>
      <c r="AG330"/>
      <c r="AH330"/>
      <c r="AI330"/>
      <c r="AJ330"/>
      <c r="AK330"/>
      <c r="AL330"/>
      <c r="AM330"/>
      <c r="AN330"/>
      <c r="AO330"/>
      <c r="AP330"/>
      <c r="AQ330"/>
      <c r="AR330"/>
      <c r="AS330"/>
      <c r="AT330"/>
      <c r="AU330"/>
      <c r="AV330" s="1" t="s">
        <v>38</v>
      </c>
      <c r="BG330" s="7" t="s">
        <v>1242</v>
      </c>
    </row>
    <row r="331" spans="1:59" s="1" customFormat="1" ht="162" x14ac:dyDescent="0.45">
      <c r="A331" s="5">
        <v>330</v>
      </c>
      <c r="B331" s="1" t="s">
        <v>10949</v>
      </c>
      <c r="C331" s="6"/>
      <c r="J331" s="1" t="s">
        <v>7557</v>
      </c>
      <c r="K331" s="2" t="s">
        <v>10306</v>
      </c>
      <c r="P331" s="7" t="s">
        <v>1241</v>
      </c>
      <c r="Q331"/>
      <c r="R331"/>
      <c r="S331"/>
      <c r="T331"/>
      <c r="U331"/>
      <c r="V331"/>
      <c r="W331"/>
      <c r="X331"/>
      <c r="Y331"/>
      <c r="Z331"/>
      <c r="AA331"/>
      <c r="AB331"/>
      <c r="AC331"/>
      <c r="AD331"/>
      <c r="AE331"/>
      <c r="AF331"/>
      <c r="AG331"/>
      <c r="AH331"/>
      <c r="AI331"/>
      <c r="AJ331"/>
      <c r="AK331"/>
      <c r="AL331"/>
      <c r="AM331"/>
      <c r="AN331"/>
      <c r="AO331"/>
      <c r="AP331"/>
      <c r="AQ331"/>
      <c r="AR331"/>
      <c r="AS331"/>
      <c r="AT331"/>
      <c r="AU331"/>
      <c r="AV331" s="1" t="s">
        <v>38</v>
      </c>
      <c r="BG331" s="7" t="s">
        <v>1242</v>
      </c>
    </row>
    <row r="332" spans="1:59" s="1" customFormat="1" ht="216" x14ac:dyDescent="0.45">
      <c r="A332" s="5">
        <v>331</v>
      </c>
      <c r="B332" s="1" t="s">
        <v>10950</v>
      </c>
      <c r="C332" s="6"/>
      <c r="J332" s="1" t="s">
        <v>7557</v>
      </c>
      <c r="K332" s="11" t="s">
        <v>11858</v>
      </c>
      <c r="P332" s="7" t="s">
        <v>1241</v>
      </c>
      <c r="Q332"/>
      <c r="R332"/>
      <c r="S332"/>
      <c r="T332"/>
      <c r="U332"/>
      <c r="V332"/>
      <c r="W332"/>
      <c r="X332"/>
      <c r="Y332"/>
      <c r="Z332"/>
      <c r="AA332"/>
      <c r="AB332"/>
      <c r="AC332"/>
      <c r="AD332"/>
      <c r="AE332"/>
      <c r="AF332"/>
      <c r="AG332"/>
      <c r="AH332"/>
      <c r="AI332"/>
      <c r="AJ332"/>
      <c r="AK332"/>
      <c r="AL332"/>
      <c r="AM332"/>
      <c r="AN332"/>
      <c r="AO332"/>
      <c r="AP332"/>
      <c r="AQ332"/>
      <c r="AR332"/>
      <c r="AS332"/>
      <c r="AT332"/>
      <c r="AU332"/>
      <c r="AV332" s="1" t="s">
        <v>38</v>
      </c>
      <c r="BG332" s="7" t="s">
        <v>1242</v>
      </c>
    </row>
    <row r="333" spans="1:59" s="1" customFormat="1" ht="144" x14ac:dyDescent="0.45">
      <c r="A333" s="5">
        <v>332</v>
      </c>
      <c r="B333" s="1" t="s">
        <v>10951</v>
      </c>
      <c r="C333" s="6"/>
      <c r="J333" s="1" t="s">
        <v>7557</v>
      </c>
      <c r="K333" s="2" t="s">
        <v>10310</v>
      </c>
      <c r="P333" s="7" t="s">
        <v>1241</v>
      </c>
      <c r="Q333"/>
      <c r="R333"/>
      <c r="S333"/>
      <c r="T333"/>
      <c r="U333"/>
      <c r="V333"/>
      <c r="W333"/>
      <c r="X333"/>
      <c r="Y333"/>
      <c r="Z333"/>
      <c r="AA333"/>
      <c r="AB333"/>
      <c r="AC333"/>
      <c r="AD333"/>
      <c r="AE333"/>
      <c r="AF333"/>
      <c r="AG333"/>
      <c r="AH333"/>
      <c r="AI333"/>
      <c r="AJ333"/>
      <c r="AK333"/>
      <c r="AL333"/>
      <c r="AM333"/>
      <c r="AN333"/>
      <c r="AO333"/>
      <c r="AP333"/>
      <c r="AQ333"/>
      <c r="AR333"/>
      <c r="AS333"/>
      <c r="AT333"/>
      <c r="AU333"/>
      <c r="AV333" s="1" t="s">
        <v>38</v>
      </c>
      <c r="BG333" s="7" t="s">
        <v>1242</v>
      </c>
    </row>
    <row r="334" spans="1:59" s="1" customFormat="1" ht="36" x14ac:dyDescent="0.45">
      <c r="A334" s="5">
        <v>333</v>
      </c>
      <c r="B334" s="1" t="s">
        <v>10952</v>
      </c>
      <c r="C334" s="6"/>
      <c r="J334" s="1" t="s">
        <v>7557</v>
      </c>
      <c r="K334" s="2" t="s">
        <v>10311</v>
      </c>
      <c r="P334" s="7" t="s">
        <v>1241</v>
      </c>
      <c r="Q334"/>
      <c r="R334"/>
      <c r="S334"/>
      <c r="T334"/>
      <c r="U334"/>
      <c r="V334"/>
      <c r="W334"/>
      <c r="X334"/>
      <c r="Y334"/>
      <c r="Z334"/>
      <c r="AA334"/>
      <c r="AB334"/>
      <c r="AC334"/>
      <c r="AD334"/>
      <c r="AE334"/>
      <c r="AF334"/>
      <c r="AG334"/>
      <c r="AH334"/>
      <c r="AI334"/>
      <c r="AJ334"/>
      <c r="AK334"/>
      <c r="AL334"/>
      <c r="AM334"/>
      <c r="AN334"/>
      <c r="AO334"/>
      <c r="AP334"/>
      <c r="AQ334"/>
      <c r="AR334"/>
      <c r="AS334"/>
      <c r="AT334"/>
      <c r="AU334"/>
      <c r="AV334" s="1" t="s">
        <v>38</v>
      </c>
      <c r="BG334" s="7" t="s">
        <v>1242</v>
      </c>
    </row>
    <row r="335" spans="1:59" s="1" customFormat="1" ht="36" x14ac:dyDescent="0.45">
      <c r="A335" s="5">
        <v>334</v>
      </c>
      <c r="B335" s="1" t="s">
        <v>10953</v>
      </c>
      <c r="C335" s="6"/>
      <c r="J335" s="1" t="s">
        <v>7557</v>
      </c>
      <c r="K335" s="2" t="s">
        <v>10312</v>
      </c>
      <c r="P335" s="7" t="s">
        <v>1241</v>
      </c>
      <c r="Q335"/>
      <c r="R335"/>
      <c r="S335"/>
      <c r="T335"/>
      <c r="U335"/>
      <c r="V335"/>
      <c r="W335"/>
      <c r="X335"/>
      <c r="Y335"/>
      <c r="Z335"/>
      <c r="AA335"/>
      <c r="AB335"/>
      <c r="AC335"/>
      <c r="AD335"/>
      <c r="AE335"/>
      <c r="AF335"/>
      <c r="AG335"/>
      <c r="AH335"/>
      <c r="AI335"/>
      <c r="AJ335"/>
      <c r="AK335"/>
      <c r="AL335"/>
      <c r="AM335"/>
      <c r="AN335"/>
      <c r="AO335"/>
      <c r="AP335"/>
      <c r="AQ335"/>
      <c r="AR335"/>
      <c r="AS335"/>
      <c r="AT335"/>
      <c r="AU335"/>
      <c r="AV335" s="1" t="s">
        <v>38</v>
      </c>
      <c r="BG335" s="7" t="s">
        <v>1242</v>
      </c>
    </row>
    <row r="336" spans="1:59" s="1" customFormat="1" ht="36" x14ac:dyDescent="0.45">
      <c r="A336" s="5">
        <v>335</v>
      </c>
      <c r="B336" s="1" t="s">
        <v>10954</v>
      </c>
      <c r="C336" s="6"/>
      <c r="J336" s="1" t="s">
        <v>7557</v>
      </c>
      <c r="K336" s="2" t="s">
        <v>10313</v>
      </c>
      <c r="P336" s="7" t="s">
        <v>1241</v>
      </c>
      <c r="Q336"/>
      <c r="R336"/>
      <c r="S336"/>
      <c r="T336"/>
      <c r="U336"/>
      <c r="V336"/>
      <c r="W336"/>
      <c r="X336"/>
      <c r="Y336"/>
      <c r="Z336"/>
      <c r="AA336"/>
      <c r="AB336"/>
      <c r="AC336"/>
      <c r="AD336"/>
      <c r="AE336"/>
      <c r="AF336"/>
      <c r="AG336"/>
      <c r="AH336"/>
      <c r="AI336"/>
      <c r="AJ336"/>
      <c r="AK336"/>
      <c r="AL336"/>
      <c r="AM336"/>
      <c r="AN336"/>
      <c r="AO336"/>
      <c r="AP336"/>
      <c r="AQ336"/>
      <c r="AR336"/>
      <c r="AS336"/>
      <c r="AT336"/>
      <c r="AU336"/>
      <c r="AV336" s="1" t="s">
        <v>38</v>
      </c>
      <c r="BG336" s="7" t="s">
        <v>1242</v>
      </c>
    </row>
    <row r="337" spans="1:59" s="1" customFormat="1" ht="54" x14ac:dyDescent="0.45">
      <c r="A337" s="5">
        <v>336</v>
      </c>
      <c r="B337" s="1" t="s">
        <v>10955</v>
      </c>
      <c r="C337" s="6"/>
      <c r="J337" s="1" t="s">
        <v>7557</v>
      </c>
      <c r="K337" s="2" t="s">
        <v>10314</v>
      </c>
      <c r="P337" s="7" t="s">
        <v>1241</v>
      </c>
      <c r="Q337"/>
      <c r="R337"/>
      <c r="S337"/>
      <c r="T337"/>
      <c r="U337"/>
      <c r="V337"/>
      <c r="W337"/>
      <c r="X337"/>
      <c r="Y337"/>
      <c r="Z337"/>
      <c r="AA337"/>
      <c r="AB337"/>
      <c r="AC337"/>
      <c r="AD337"/>
      <c r="AE337"/>
      <c r="AF337"/>
      <c r="AG337"/>
      <c r="AH337"/>
      <c r="AI337"/>
      <c r="AJ337"/>
      <c r="AK337"/>
      <c r="AL337"/>
      <c r="AM337"/>
      <c r="AN337"/>
      <c r="AO337"/>
      <c r="AP337"/>
      <c r="AQ337"/>
      <c r="AR337"/>
      <c r="AS337"/>
      <c r="AT337"/>
      <c r="AU337"/>
      <c r="AV337" s="1" t="s">
        <v>38</v>
      </c>
      <c r="BG337" s="7" t="s">
        <v>1242</v>
      </c>
    </row>
    <row r="338" spans="1:59" s="1" customFormat="1" ht="54" x14ac:dyDescent="0.45">
      <c r="A338" s="5">
        <v>337</v>
      </c>
      <c r="B338" s="1" t="s">
        <v>10956</v>
      </c>
      <c r="C338" s="6"/>
      <c r="J338" s="1" t="s">
        <v>7557</v>
      </c>
      <c r="K338" s="2" t="s">
        <v>10315</v>
      </c>
      <c r="P338" s="7" t="s">
        <v>1241</v>
      </c>
      <c r="Q338"/>
      <c r="R338"/>
      <c r="S338"/>
      <c r="T338"/>
      <c r="U338"/>
      <c r="V338"/>
      <c r="W338"/>
      <c r="X338"/>
      <c r="Y338"/>
      <c r="Z338"/>
      <c r="AA338"/>
      <c r="AB338"/>
      <c r="AC338"/>
      <c r="AD338"/>
      <c r="AE338"/>
      <c r="AF338"/>
      <c r="AG338"/>
      <c r="AH338"/>
      <c r="AI338"/>
      <c r="AJ338"/>
      <c r="AK338"/>
      <c r="AL338"/>
      <c r="AM338"/>
      <c r="AN338"/>
      <c r="AO338"/>
      <c r="AP338"/>
      <c r="AQ338"/>
      <c r="AR338"/>
      <c r="AS338"/>
      <c r="AT338"/>
      <c r="AU338"/>
      <c r="AV338" s="1" t="s">
        <v>38</v>
      </c>
      <c r="BG338" s="7" t="s">
        <v>1242</v>
      </c>
    </row>
    <row r="339" spans="1:59" s="1" customFormat="1" ht="90" x14ac:dyDescent="0.45">
      <c r="A339" s="5">
        <v>338</v>
      </c>
      <c r="B339" s="1" t="s">
        <v>10957</v>
      </c>
      <c r="C339" s="6"/>
      <c r="J339" s="1" t="s">
        <v>7557</v>
      </c>
      <c r="K339" s="2" t="s">
        <v>10316</v>
      </c>
      <c r="P339" s="7" t="s">
        <v>1241</v>
      </c>
      <c r="Q339"/>
      <c r="R339"/>
      <c r="S339"/>
      <c r="T339"/>
      <c r="U339"/>
      <c r="V339"/>
      <c r="W339"/>
      <c r="X339"/>
      <c r="Y339"/>
      <c r="Z339"/>
      <c r="AA339"/>
      <c r="AB339"/>
      <c r="AC339"/>
      <c r="AD339"/>
      <c r="AE339"/>
      <c r="AF339"/>
      <c r="AG339"/>
      <c r="AH339"/>
      <c r="AI339"/>
      <c r="AJ339"/>
      <c r="AK339"/>
      <c r="AL339"/>
      <c r="AM339"/>
      <c r="AN339"/>
      <c r="AO339"/>
      <c r="AP339"/>
      <c r="AQ339"/>
      <c r="AR339"/>
      <c r="AS339"/>
      <c r="AT339"/>
      <c r="AU339"/>
      <c r="AV339" s="1" t="s">
        <v>38</v>
      </c>
      <c r="BG339" s="7" t="s">
        <v>1242</v>
      </c>
    </row>
    <row r="340" spans="1:59" s="1" customFormat="1" ht="90" x14ac:dyDescent="0.45">
      <c r="A340" s="5">
        <v>339</v>
      </c>
      <c r="B340" s="1" t="s">
        <v>10958</v>
      </c>
      <c r="C340" s="6"/>
      <c r="J340" s="1" t="s">
        <v>7557</v>
      </c>
      <c r="K340" s="2" t="s">
        <v>10317</v>
      </c>
      <c r="P340" s="7" t="s">
        <v>1241</v>
      </c>
      <c r="Q340"/>
      <c r="R340"/>
      <c r="S340"/>
      <c r="T340"/>
      <c r="U340"/>
      <c r="V340"/>
      <c r="W340"/>
      <c r="X340"/>
      <c r="Y340"/>
      <c r="Z340"/>
      <c r="AA340"/>
      <c r="AB340"/>
      <c r="AC340"/>
      <c r="AD340"/>
      <c r="AE340"/>
      <c r="AF340"/>
      <c r="AG340"/>
      <c r="AH340"/>
      <c r="AI340"/>
      <c r="AJ340"/>
      <c r="AK340"/>
      <c r="AL340"/>
      <c r="AM340"/>
      <c r="AN340"/>
      <c r="AO340"/>
      <c r="AP340"/>
      <c r="AQ340"/>
      <c r="AR340"/>
      <c r="AS340"/>
      <c r="AT340"/>
      <c r="AU340"/>
      <c r="AV340" s="1" t="s">
        <v>38</v>
      </c>
      <c r="BG340" s="7" t="s">
        <v>1242</v>
      </c>
    </row>
    <row r="341" spans="1:59" s="1" customFormat="1" ht="54" x14ac:dyDescent="0.45">
      <c r="A341" s="5">
        <v>340</v>
      </c>
      <c r="B341" s="1" t="s">
        <v>10959</v>
      </c>
      <c r="C341" s="6"/>
      <c r="J341" s="1" t="s">
        <v>7557</v>
      </c>
      <c r="K341" s="2" t="s">
        <v>10318</v>
      </c>
      <c r="P341" s="7" t="s">
        <v>1241</v>
      </c>
      <c r="Q341"/>
      <c r="R341"/>
      <c r="S341"/>
      <c r="T341"/>
      <c r="U341"/>
      <c r="V341"/>
      <c r="W341"/>
      <c r="X341"/>
      <c r="Y341"/>
      <c r="Z341"/>
      <c r="AA341"/>
      <c r="AB341"/>
      <c r="AC341"/>
      <c r="AD341"/>
      <c r="AE341"/>
      <c r="AF341"/>
      <c r="AG341"/>
      <c r="AH341"/>
      <c r="AI341"/>
      <c r="AJ341"/>
      <c r="AK341"/>
      <c r="AL341"/>
      <c r="AM341"/>
      <c r="AN341"/>
      <c r="AO341"/>
      <c r="AP341"/>
      <c r="AQ341"/>
      <c r="AR341"/>
      <c r="AS341"/>
      <c r="AT341"/>
      <c r="AU341"/>
      <c r="AV341" s="1" t="s">
        <v>38</v>
      </c>
      <c r="BG341" s="7" t="s">
        <v>1242</v>
      </c>
    </row>
    <row r="342" spans="1:59" s="1" customFormat="1" ht="36" x14ac:dyDescent="0.45">
      <c r="A342" s="5">
        <v>341</v>
      </c>
      <c r="B342" s="1" t="s">
        <v>10960</v>
      </c>
      <c r="C342" s="6"/>
      <c r="J342" s="1" t="s">
        <v>7557</v>
      </c>
      <c r="K342" s="2" t="s">
        <v>10319</v>
      </c>
      <c r="P342" s="7" t="s">
        <v>1241</v>
      </c>
      <c r="Q342"/>
      <c r="R342"/>
      <c r="S342"/>
      <c r="T342"/>
      <c r="U342"/>
      <c r="V342"/>
      <c r="W342"/>
      <c r="X342"/>
      <c r="Y342"/>
      <c r="Z342"/>
      <c r="AA342"/>
      <c r="AB342"/>
      <c r="AC342"/>
      <c r="AD342"/>
      <c r="AE342"/>
      <c r="AF342"/>
      <c r="AG342"/>
      <c r="AH342"/>
      <c r="AI342"/>
      <c r="AJ342"/>
      <c r="AK342"/>
      <c r="AL342"/>
      <c r="AM342"/>
      <c r="AN342"/>
      <c r="AO342"/>
      <c r="AP342"/>
      <c r="AQ342"/>
      <c r="AR342"/>
      <c r="AS342"/>
      <c r="AT342"/>
      <c r="AU342"/>
      <c r="AV342" s="1" t="s">
        <v>38</v>
      </c>
      <c r="BG342" s="7" t="s">
        <v>1242</v>
      </c>
    </row>
    <row r="343" spans="1:59" s="1" customFormat="1" ht="126" x14ac:dyDescent="0.45">
      <c r="A343" s="5">
        <v>342</v>
      </c>
      <c r="B343" s="1" t="s">
        <v>10961</v>
      </c>
      <c r="C343" s="6"/>
      <c r="J343" s="1" t="s">
        <v>7557</v>
      </c>
      <c r="K343" s="2" t="s">
        <v>10320</v>
      </c>
      <c r="P343" s="7" t="s">
        <v>1241</v>
      </c>
      <c r="Q343"/>
      <c r="R343"/>
      <c r="S343"/>
      <c r="T343"/>
      <c r="U343"/>
      <c r="V343"/>
      <c r="W343"/>
      <c r="X343"/>
      <c r="Y343"/>
      <c r="Z343"/>
      <c r="AA343"/>
      <c r="AB343"/>
      <c r="AC343"/>
      <c r="AD343"/>
      <c r="AE343"/>
      <c r="AF343"/>
      <c r="AG343"/>
      <c r="AH343"/>
      <c r="AI343"/>
      <c r="AJ343"/>
      <c r="AK343"/>
      <c r="AL343"/>
      <c r="AM343"/>
      <c r="AN343"/>
      <c r="AO343"/>
      <c r="AP343"/>
      <c r="AQ343"/>
      <c r="AR343"/>
      <c r="AS343"/>
      <c r="AT343"/>
      <c r="AU343"/>
      <c r="AV343" s="1" t="s">
        <v>38</v>
      </c>
      <c r="BG343" s="7" t="s">
        <v>1242</v>
      </c>
    </row>
    <row r="344" spans="1:59" s="1" customFormat="1" ht="90" x14ac:dyDescent="0.45">
      <c r="A344" s="5">
        <v>343</v>
      </c>
      <c r="B344" s="1" t="s">
        <v>10962</v>
      </c>
      <c r="C344" s="6"/>
      <c r="J344" s="1" t="s">
        <v>7557</v>
      </c>
      <c r="K344" s="11" t="s">
        <v>11859</v>
      </c>
      <c r="P344" s="7" t="s">
        <v>1241</v>
      </c>
      <c r="Q344"/>
      <c r="R344"/>
      <c r="S344"/>
      <c r="T344"/>
      <c r="U344"/>
      <c r="V344"/>
      <c r="W344"/>
      <c r="X344"/>
      <c r="Y344"/>
      <c r="Z344"/>
      <c r="AA344"/>
      <c r="AB344"/>
      <c r="AC344"/>
      <c r="AD344"/>
      <c r="AE344"/>
      <c r="AF344"/>
      <c r="AG344"/>
      <c r="AH344"/>
      <c r="AI344"/>
      <c r="AJ344"/>
      <c r="AK344"/>
      <c r="AL344"/>
      <c r="AM344"/>
      <c r="AN344"/>
      <c r="AO344"/>
      <c r="AP344"/>
      <c r="AQ344"/>
      <c r="AR344"/>
      <c r="AS344"/>
      <c r="AT344"/>
      <c r="AU344"/>
      <c r="AV344" s="1" t="s">
        <v>38</v>
      </c>
      <c r="BG344" s="7" t="s">
        <v>1242</v>
      </c>
    </row>
    <row r="345" spans="1:59" s="1" customFormat="1" ht="36" x14ac:dyDescent="0.45">
      <c r="A345" s="5">
        <v>344</v>
      </c>
      <c r="B345" s="1" t="s">
        <v>10963</v>
      </c>
      <c r="C345" s="6"/>
      <c r="J345" s="1" t="s">
        <v>7557</v>
      </c>
      <c r="K345" s="2" t="s">
        <v>10321</v>
      </c>
      <c r="P345" s="7" t="s">
        <v>1241</v>
      </c>
      <c r="Q345"/>
      <c r="R345"/>
      <c r="S345"/>
      <c r="T345"/>
      <c r="U345"/>
      <c r="V345"/>
      <c r="W345"/>
      <c r="X345"/>
      <c r="Y345"/>
      <c r="Z345"/>
      <c r="AA345"/>
      <c r="AB345"/>
      <c r="AC345"/>
      <c r="AD345"/>
      <c r="AE345"/>
      <c r="AF345"/>
      <c r="AG345"/>
      <c r="AH345"/>
      <c r="AI345"/>
      <c r="AJ345"/>
      <c r="AK345"/>
      <c r="AL345"/>
      <c r="AM345"/>
      <c r="AN345"/>
      <c r="AO345"/>
      <c r="AP345"/>
      <c r="AQ345"/>
      <c r="AR345"/>
      <c r="AS345"/>
      <c r="AT345"/>
      <c r="AU345"/>
      <c r="AV345" s="1" t="s">
        <v>38</v>
      </c>
      <c r="BG345" s="7" t="s">
        <v>1242</v>
      </c>
    </row>
    <row r="346" spans="1:59" s="1" customFormat="1" ht="126" x14ac:dyDescent="0.45">
      <c r="A346" s="5">
        <v>345</v>
      </c>
      <c r="B346" s="1" t="s">
        <v>10964</v>
      </c>
      <c r="C346" s="6"/>
      <c r="J346" s="1" t="s">
        <v>7557</v>
      </c>
      <c r="K346" s="2" t="s">
        <v>11726</v>
      </c>
      <c r="P346" s="7" t="s">
        <v>1241</v>
      </c>
      <c r="Q346"/>
      <c r="R346"/>
      <c r="S346"/>
      <c r="T346"/>
      <c r="U346"/>
      <c r="V346"/>
      <c r="W346"/>
      <c r="X346"/>
      <c r="Y346"/>
      <c r="Z346"/>
      <c r="AA346"/>
      <c r="AB346"/>
      <c r="AC346"/>
      <c r="AD346"/>
      <c r="AE346"/>
      <c r="AF346"/>
      <c r="AG346"/>
      <c r="AH346"/>
      <c r="AI346"/>
      <c r="AJ346"/>
      <c r="AK346"/>
      <c r="AL346"/>
      <c r="AM346"/>
      <c r="AN346"/>
      <c r="AO346"/>
      <c r="AP346"/>
      <c r="AQ346"/>
      <c r="AR346"/>
      <c r="AS346"/>
      <c r="AT346"/>
      <c r="AU346"/>
      <c r="AV346" s="1" t="s">
        <v>38</v>
      </c>
      <c r="BG346" s="7" t="s">
        <v>1242</v>
      </c>
    </row>
    <row r="347" spans="1:59" s="1" customFormat="1" ht="90" x14ac:dyDescent="0.45">
      <c r="A347" s="5">
        <v>346</v>
      </c>
      <c r="B347" s="1" t="s">
        <v>10965</v>
      </c>
      <c r="C347" s="6"/>
      <c r="J347" s="1" t="s">
        <v>7557</v>
      </c>
      <c r="K347" s="2" t="s">
        <v>10322</v>
      </c>
      <c r="P347" s="7" t="s">
        <v>1241</v>
      </c>
      <c r="Q347"/>
      <c r="R347"/>
      <c r="S347"/>
      <c r="T347"/>
      <c r="U347"/>
      <c r="V347"/>
      <c r="W347"/>
      <c r="X347"/>
      <c r="Y347"/>
      <c r="Z347"/>
      <c r="AA347"/>
      <c r="AB347"/>
      <c r="AC347"/>
      <c r="AD347"/>
      <c r="AE347"/>
      <c r="AF347"/>
      <c r="AG347"/>
      <c r="AH347"/>
      <c r="AI347"/>
      <c r="AJ347"/>
      <c r="AK347"/>
      <c r="AL347"/>
      <c r="AM347"/>
      <c r="AN347"/>
      <c r="AO347"/>
      <c r="AP347"/>
      <c r="AQ347"/>
      <c r="AR347"/>
      <c r="AS347"/>
      <c r="AT347"/>
      <c r="AU347"/>
      <c r="AV347" s="1" t="s">
        <v>38</v>
      </c>
      <c r="BG347" s="7" t="s">
        <v>1242</v>
      </c>
    </row>
    <row r="348" spans="1:59" s="1" customFormat="1" ht="72" x14ac:dyDescent="0.45">
      <c r="A348" s="5">
        <v>347</v>
      </c>
      <c r="B348" s="1" t="s">
        <v>10966</v>
      </c>
      <c r="C348" s="6"/>
      <c r="J348" s="1" t="s">
        <v>7557</v>
      </c>
      <c r="K348" s="2" t="s">
        <v>10323</v>
      </c>
      <c r="P348" s="7" t="s">
        <v>1241</v>
      </c>
      <c r="Q348"/>
      <c r="R348"/>
      <c r="S348"/>
      <c r="T348"/>
      <c r="U348"/>
      <c r="V348"/>
      <c r="W348"/>
      <c r="X348"/>
      <c r="Y348"/>
      <c r="Z348"/>
      <c r="AA348"/>
      <c r="AB348"/>
      <c r="AC348"/>
      <c r="AD348"/>
      <c r="AE348"/>
      <c r="AF348"/>
      <c r="AG348"/>
      <c r="AH348"/>
      <c r="AI348"/>
      <c r="AJ348"/>
      <c r="AK348"/>
      <c r="AL348"/>
      <c r="AM348"/>
      <c r="AN348"/>
      <c r="AO348"/>
      <c r="AP348"/>
      <c r="AQ348"/>
      <c r="AR348"/>
      <c r="AS348"/>
      <c r="AT348"/>
      <c r="AU348"/>
      <c r="AV348" s="1" t="s">
        <v>38</v>
      </c>
      <c r="BG348" s="7" t="s">
        <v>1242</v>
      </c>
    </row>
    <row r="349" spans="1:59" s="1" customFormat="1" ht="90" x14ac:dyDescent="0.45">
      <c r="A349" s="5">
        <v>348</v>
      </c>
      <c r="B349" s="1" t="s">
        <v>10967</v>
      </c>
      <c r="C349" s="6"/>
      <c r="J349" s="1" t="s">
        <v>7557</v>
      </c>
      <c r="K349" s="11" t="s">
        <v>11860</v>
      </c>
      <c r="P349" s="7" t="s">
        <v>1241</v>
      </c>
      <c r="Q349"/>
      <c r="R349"/>
      <c r="S349"/>
      <c r="T349"/>
      <c r="U349"/>
      <c r="V349"/>
      <c r="W349"/>
      <c r="X349"/>
      <c r="Y349"/>
      <c r="Z349"/>
      <c r="AA349"/>
      <c r="AB349"/>
      <c r="AC349"/>
      <c r="AD349"/>
      <c r="AE349"/>
      <c r="AF349"/>
      <c r="AG349"/>
      <c r="AH349"/>
      <c r="AI349"/>
      <c r="AJ349"/>
      <c r="AK349"/>
      <c r="AL349"/>
      <c r="AM349"/>
      <c r="AN349"/>
      <c r="AO349"/>
      <c r="AP349"/>
      <c r="AQ349"/>
      <c r="AR349"/>
      <c r="AS349"/>
      <c r="AT349"/>
      <c r="AU349"/>
      <c r="AV349" s="1" t="s">
        <v>38</v>
      </c>
      <c r="BG349" s="7" t="s">
        <v>1242</v>
      </c>
    </row>
    <row r="350" spans="1:59" s="1" customFormat="1" ht="144" x14ac:dyDescent="0.45">
      <c r="A350" s="5">
        <v>349</v>
      </c>
      <c r="B350" s="1" t="s">
        <v>10968</v>
      </c>
      <c r="C350" s="6"/>
      <c r="J350" s="1" t="s">
        <v>7557</v>
      </c>
      <c r="K350" s="2" t="s">
        <v>10324</v>
      </c>
      <c r="P350" s="7" t="s">
        <v>1241</v>
      </c>
      <c r="Q350"/>
      <c r="R350"/>
      <c r="S350"/>
      <c r="T350"/>
      <c r="U350"/>
      <c r="V350"/>
      <c r="W350"/>
      <c r="X350"/>
      <c r="Y350"/>
      <c r="Z350"/>
      <c r="AA350"/>
      <c r="AB350"/>
      <c r="AC350"/>
      <c r="AD350"/>
      <c r="AE350"/>
      <c r="AF350"/>
      <c r="AG350"/>
      <c r="AH350"/>
      <c r="AI350"/>
      <c r="AJ350"/>
      <c r="AK350"/>
      <c r="AL350"/>
      <c r="AM350"/>
      <c r="AN350"/>
      <c r="AO350"/>
      <c r="AP350"/>
      <c r="AQ350"/>
      <c r="AR350"/>
      <c r="AS350"/>
      <c r="AT350"/>
      <c r="AU350"/>
      <c r="AV350" s="1" t="s">
        <v>38</v>
      </c>
      <c r="BG350" s="7" t="s">
        <v>1242</v>
      </c>
    </row>
    <row r="351" spans="1:59" s="1" customFormat="1" ht="72" x14ac:dyDescent="0.45">
      <c r="A351" s="5">
        <v>350</v>
      </c>
      <c r="B351" s="1" t="s">
        <v>10969</v>
      </c>
      <c r="C351" s="6"/>
      <c r="J351" s="1" t="s">
        <v>7557</v>
      </c>
      <c r="K351" s="2" t="s">
        <v>10325</v>
      </c>
      <c r="P351" s="7" t="s">
        <v>1241</v>
      </c>
      <c r="Q351"/>
      <c r="R351"/>
      <c r="S351"/>
      <c r="T351"/>
      <c r="U351"/>
      <c r="V351"/>
      <c r="W351"/>
      <c r="X351"/>
      <c r="Y351"/>
      <c r="Z351"/>
      <c r="AA351"/>
      <c r="AB351"/>
      <c r="AC351"/>
      <c r="AD351"/>
      <c r="AE351"/>
      <c r="AF351"/>
      <c r="AG351"/>
      <c r="AH351"/>
      <c r="AI351"/>
      <c r="AJ351"/>
      <c r="AK351"/>
      <c r="AL351"/>
      <c r="AM351"/>
      <c r="AN351"/>
      <c r="AO351"/>
      <c r="AP351"/>
      <c r="AQ351"/>
      <c r="AR351"/>
      <c r="AS351"/>
      <c r="AT351"/>
      <c r="AU351"/>
      <c r="AV351" s="1" t="s">
        <v>38</v>
      </c>
      <c r="BG351" s="7" t="s">
        <v>1242</v>
      </c>
    </row>
    <row r="352" spans="1:59" s="1" customFormat="1" ht="36" x14ac:dyDescent="0.45">
      <c r="A352" s="5">
        <v>351</v>
      </c>
      <c r="B352" s="1" t="s">
        <v>10970</v>
      </c>
      <c r="C352" s="6"/>
      <c r="J352" s="1" t="s">
        <v>7557</v>
      </c>
      <c r="K352" s="2" t="s">
        <v>10326</v>
      </c>
      <c r="P352" s="7" t="s">
        <v>1241</v>
      </c>
      <c r="Q352"/>
      <c r="R352"/>
      <c r="S352"/>
      <c r="T352"/>
      <c r="U352"/>
      <c r="V352"/>
      <c r="W352"/>
      <c r="X352"/>
      <c r="Y352"/>
      <c r="Z352"/>
      <c r="AA352"/>
      <c r="AB352"/>
      <c r="AC352"/>
      <c r="AD352"/>
      <c r="AE352"/>
      <c r="AF352"/>
      <c r="AG352"/>
      <c r="AH352"/>
      <c r="AI352"/>
      <c r="AJ352"/>
      <c r="AK352"/>
      <c r="AL352"/>
      <c r="AM352"/>
      <c r="AN352"/>
      <c r="AO352"/>
      <c r="AP352"/>
      <c r="AQ352"/>
      <c r="AR352"/>
      <c r="AS352"/>
      <c r="AT352"/>
      <c r="AU352"/>
      <c r="AV352" s="1" t="s">
        <v>38</v>
      </c>
      <c r="BG352" s="7" t="s">
        <v>1242</v>
      </c>
    </row>
    <row r="353" spans="1:59" s="1" customFormat="1" ht="36" x14ac:dyDescent="0.45">
      <c r="A353" s="5">
        <v>352</v>
      </c>
      <c r="B353" s="1" t="s">
        <v>10971</v>
      </c>
      <c r="C353" s="6"/>
      <c r="J353" s="1" t="s">
        <v>7557</v>
      </c>
      <c r="K353" s="2" t="s">
        <v>10327</v>
      </c>
      <c r="P353" s="7" t="s">
        <v>1241</v>
      </c>
      <c r="Q353"/>
      <c r="R353"/>
      <c r="S353"/>
      <c r="T353"/>
      <c r="U353"/>
      <c r="V353"/>
      <c r="W353"/>
      <c r="X353"/>
      <c r="Y353"/>
      <c r="Z353"/>
      <c r="AA353"/>
      <c r="AB353"/>
      <c r="AC353"/>
      <c r="AD353"/>
      <c r="AE353"/>
      <c r="AF353"/>
      <c r="AG353"/>
      <c r="AH353"/>
      <c r="AI353"/>
      <c r="AJ353"/>
      <c r="AK353"/>
      <c r="AL353"/>
      <c r="AM353"/>
      <c r="AN353"/>
      <c r="AO353"/>
      <c r="AP353"/>
      <c r="AQ353"/>
      <c r="AR353"/>
      <c r="AS353"/>
      <c r="AT353"/>
      <c r="AU353"/>
      <c r="AV353" s="1" t="s">
        <v>38</v>
      </c>
      <c r="BG353" s="7" t="s">
        <v>1242</v>
      </c>
    </row>
    <row r="354" spans="1:59" s="1" customFormat="1" ht="108" x14ac:dyDescent="0.45">
      <c r="A354" s="5">
        <v>353</v>
      </c>
      <c r="B354" s="1" t="s">
        <v>10972</v>
      </c>
      <c r="C354" s="6"/>
      <c r="J354" s="1" t="s">
        <v>7557</v>
      </c>
      <c r="K354" s="11" t="s">
        <v>11861</v>
      </c>
      <c r="P354" s="7" t="s">
        <v>1241</v>
      </c>
      <c r="Q354"/>
      <c r="R354"/>
      <c r="S354"/>
      <c r="T354"/>
      <c r="U354"/>
      <c r="V354"/>
      <c r="W354"/>
      <c r="X354"/>
      <c r="Y354"/>
      <c r="Z354"/>
      <c r="AA354"/>
      <c r="AB354"/>
      <c r="AC354"/>
      <c r="AD354"/>
      <c r="AE354"/>
      <c r="AF354"/>
      <c r="AG354"/>
      <c r="AH354"/>
      <c r="AI354"/>
      <c r="AJ354"/>
      <c r="AK354"/>
      <c r="AL354"/>
      <c r="AM354"/>
      <c r="AN354"/>
      <c r="AO354"/>
      <c r="AP354"/>
      <c r="AQ354"/>
      <c r="AR354"/>
      <c r="AS354"/>
      <c r="AT354"/>
      <c r="AU354"/>
      <c r="AV354" s="1" t="s">
        <v>38</v>
      </c>
      <c r="BG354" s="7" t="s">
        <v>1242</v>
      </c>
    </row>
    <row r="355" spans="1:59" s="1" customFormat="1" ht="90" x14ac:dyDescent="0.45">
      <c r="A355" s="5">
        <v>354</v>
      </c>
      <c r="B355" s="1" t="s">
        <v>10973</v>
      </c>
      <c r="C355" s="6"/>
      <c r="J355" s="1" t="s">
        <v>7557</v>
      </c>
      <c r="K355" s="11" t="s">
        <v>11862</v>
      </c>
      <c r="P355" s="7" t="s">
        <v>1241</v>
      </c>
      <c r="Q355"/>
      <c r="R355"/>
      <c r="S355"/>
      <c r="T355"/>
      <c r="U355"/>
      <c r="V355"/>
      <c r="W355"/>
      <c r="X355"/>
      <c r="Y355"/>
      <c r="Z355"/>
      <c r="AA355"/>
      <c r="AB355"/>
      <c r="AC355"/>
      <c r="AD355"/>
      <c r="AE355"/>
      <c r="AF355"/>
      <c r="AG355"/>
      <c r="AH355"/>
      <c r="AI355"/>
      <c r="AJ355"/>
      <c r="AK355"/>
      <c r="AL355"/>
      <c r="AM355"/>
      <c r="AN355"/>
      <c r="AO355"/>
      <c r="AP355"/>
      <c r="AQ355"/>
      <c r="AR355"/>
      <c r="AS355"/>
      <c r="AT355"/>
      <c r="AU355"/>
      <c r="AV355" s="1" t="s">
        <v>38</v>
      </c>
      <c r="BG355" s="7" t="s">
        <v>1242</v>
      </c>
    </row>
    <row r="356" spans="1:59" s="1" customFormat="1" ht="126" x14ac:dyDescent="0.45">
      <c r="A356" s="5">
        <v>355</v>
      </c>
      <c r="B356" s="1" t="s">
        <v>10974</v>
      </c>
      <c r="C356" s="6"/>
      <c r="J356" s="1" t="s">
        <v>7557</v>
      </c>
      <c r="K356" s="2" t="s">
        <v>10328</v>
      </c>
      <c r="P356" s="7" t="s">
        <v>1241</v>
      </c>
      <c r="Q356"/>
      <c r="R356"/>
      <c r="S356"/>
      <c r="T356"/>
      <c r="U356"/>
      <c r="V356"/>
      <c r="W356"/>
      <c r="X356"/>
      <c r="Y356"/>
      <c r="Z356"/>
      <c r="AA356"/>
      <c r="AB356"/>
      <c r="AC356"/>
      <c r="AD356"/>
      <c r="AE356"/>
      <c r="AF356"/>
      <c r="AG356"/>
      <c r="AH356"/>
      <c r="AI356"/>
      <c r="AJ356"/>
      <c r="AK356"/>
      <c r="AL356"/>
      <c r="AM356"/>
      <c r="AN356"/>
      <c r="AO356"/>
      <c r="AP356"/>
      <c r="AQ356"/>
      <c r="AR356"/>
      <c r="AS356"/>
      <c r="AT356"/>
      <c r="AU356"/>
      <c r="AV356" s="1" t="s">
        <v>38</v>
      </c>
      <c r="BG356" s="7" t="s">
        <v>1242</v>
      </c>
    </row>
    <row r="357" spans="1:59" s="1" customFormat="1" ht="72" x14ac:dyDescent="0.45">
      <c r="A357" s="5">
        <v>356</v>
      </c>
      <c r="B357" s="1" t="s">
        <v>10975</v>
      </c>
      <c r="C357" s="6"/>
      <c r="J357" s="1" t="s">
        <v>7557</v>
      </c>
      <c r="K357" s="2" t="s">
        <v>10329</v>
      </c>
      <c r="P357" s="7" t="s">
        <v>1241</v>
      </c>
      <c r="Q357"/>
      <c r="R357"/>
      <c r="S357"/>
      <c r="T357"/>
      <c r="U357"/>
      <c r="V357"/>
      <c r="W357"/>
      <c r="X357"/>
      <c r="Y357"/>
      <c r="Z357"/>
      <c r="AA357"/>
      <c r="AB357"/>
      <c r="AC357"/>
      <c r="AD357"/>
      <c r="AE357"/>
      <c r="AF357"/>
      <c r="AG357"/>
      <c r="AH357"/>
      <c r="AI357"/>
      <c r="AJ357"/>
      <c r="AK357"/>
      <c r="AL357"/>
      <c r="AM357"/>
      <c r="AN357"/>
      <c r="AO357"/>
      <c r="AP357"/>
      <c r="AQ357"/>
      <c r="AR357"/>
      <c r="AS357"/>
      <c r="AT357"/>
      <c r="AU357"/>
      <c r="AV357" s="1" t="s">
        <v>38</v>
      </c>
      <c r="BG357" s="7" t="s">
        <v>1242</v>
      </c>
    </row>
    <row r="358" spans="1:59" s="1" customFormat="1" ht="126" x14ac:dyDescent="0.45">
      <c r="A358" s="5">
        <v>357</v>
      </c>
      <c r="B358" s="1" t="s">
        <v>10976</v>
      </c>
      <c r="C358" s="6"/>
      <c r="J358" s="1" t="s">
        <v>7557</v>
      </c>
      <c r="K358" s="11" t="s">
        <v>11863</v>
      </c>
      <c r="P358" s="7" t="s">
        <v>1241</v>
      </c>
      <c r="Q358"/>
      <c r="R358"/>
      <c r="S358"/>
      <c r="T358"/>
      <c r="U358"/>
      <c r="V358"/>
      <c r="W358"/>
      <c r="X358"/>
      <c r="Y358"/>
      <c r="Z358"/>
      <c r="AA358"/>
      <c r="AB358"/>
      <c r="AC358"/>
      <c r="AD358"/>
      <c r="AE358"/>
      <c r="AF358"/>
      <c r="AG358"/>
      <c r="AH358"/>
      <c r="AI358"/>
      <c r="AJ358"/>
      <c r="AK358"/>
      <c r="AL358"/>
      <c r="AM358"/>
      <c r="AN358"/>
      <c r="AO358"/>
      <c r="AP358"/>
      <c r="AQ358"/>
      <c r="AR358"/>
      <c r="AS358"/>
      <c r="AT358"/>
      <c r="AU358"/>
      <c r="AV358" s="1" t="s">
        <v>38</v>
      </c>
      <c r="BG358" s="7" t="s">
        <v>1242</v>
      </c>
    </row>
    <row r="359" spans="1:59" s="1" customFormat="1" ht="126" x14ac:dyDescent="0.45">
      <c r="A359" s="5">
        <v>358</v>
      </c>
      <c r="B359" s="1" t="s">
        <v>10977</v>
      </c>
      <c r="C359" s="6"/>
      <c r="J359" s="1" t="s">
        <v>7557</v>
      </c>
      <c r="K359" s="11" t="s">
        <v>11864</v>
      </c>
      <c r="P359" s="7" t="s">
        <v>1241</v>
      </c>
      <c r="Q359"/>
      <c r="R359"/>
      <c r="S359"/>
      <c r="T359"/>
      <c r="U359"/>
      <c r="V359"/>
      <c r="W359"/>
      <c r="X359"/>
      <c r="Y359"/>
      <c r="Z359"/>
      <c r="AA359"/>
      <c r="AB359"/>
      <c r="AC359"/>
      <c r="AD359"/>
      <c r="AE359"/>
      <c r="AF359"/>
      <c r="AG359"/>
      <c r="AH359"/>
      <c r="AI359"/>
      <c r="AJ359"/>
      <c r="AK359"/>
      <c r="AL359"/>
      <c r="AM359"/>
      <c r="AN359"/>
      <c r="AO359"/>
      <c r="AP359"/>
      <c r="AQ359"/>
      <c r="AR359"/>
      <c r="AS359"/>
      <c r="AT359"/>
      <c r="AU359"/>
      <c r="AV359" s="1" t="s">
        <v>38</v>
      </c>
      <c r="BG359" s="7" t="s">
        <v>1242</v>
      </c>
    </row>
    <row r="360" spans="1:59" s="1" customFormat="1" ht="252" x14ac:dyDescent="0.45">
      <c r="A360" s="5">
        <v>359</v>
      </c>
      <c r="B360" s="1" t="s">
        <v>10978</v>
      </c>
      <c r="C360" s="6"/>
      <c r="J360" s="1" t="s">
        <v>7557</v>
      </c>
      <c r="K360" s="11" t="s">
        <v>11865</v>
      </c>
      <c r="P360" s="7" t="s">
        <v>1241</v>
      </c>
      <c r="Q360"/>
      <c r="R360"/>
      <c r="S360"/>
      <c r="T360"/>
      <c r="U360"/>
      <c r="V360"/>
      <c r="W360"/>
      <c r="X360"/>
      <c r="Y360"/>
      <c r="Z360"/>
      <c r="AA360"/>
      <c r="AB360"/>
      <c r="AC360"/>
      <c r="AD360"/>
      <c r="AE360"/>
      <c r="AF360"/>
      <c r="AG360"/>
      <c r="AH360"/>
      <c r="AI360"/>
      <c r="AJ360"/>
      <c r="AK360"/>
      <c r="AL360"/>
      <c r="AM360"/>
      <c r="AN360"/>
      <c r="AO360"/>
      <c r="AP360"/>
      <c r="AQ360"/>
      <c r="AR360"/>
      <c r="AS360"/>
      <c r="AT360"/>
      <c r="AU360"/>
      <c r="AV360" s="1" t="s">
        <v>38</v>
      </c>
      <c r="BG360" s="7" t="s">
        <v>1242</v>
      </c>
    </row>
    <row r="361" spans="1:59" s="1" customFormat="1" ht="306" x14ac:dyDescent="0.45">
      <c r="A361" s="5">
        <v>360</v>
      </c>
      <c r="B361" s="1" t="s">
        <v>10979</v>
      </c>
      <c r="C361" s="6"/>
      <c r="J361" s="1" t="s">
        <v>7557</v>
      </c>
      <c r="K361" s="11" t="s">
        <v>11866</v>
      </c>
      <c r="P361" s="7" t="s">
        <v>1241</v>
      </c>
      <c r="Q361"/>
      <c r="R361"/>
      <c r="S361"/>
      <c r="T361"/>
      <c r="U361"/>
      <c r="V361"/>
      <c r="W361"/>
      <c r="X361"/>
      <c r="Y361"/>
      <c r="Z361"/>
      <c r="AA361"/>
      <c r="AB361"/>
      <c r="AC361"/>
      <c r="AD361"/>
      <c r="AE361"/>
      <c r="AF361"/>
      <c r="AG361"/>
      <c r="AH361"/>
      <c r="AI361"/>
      <c r="AJ361"/>
      <c r="AK361"/>
      <c r="AL361"/>
      <c r="AM361"/>
      <c r="AN361"/>
      <c r="AO361"/>
      <c r="AP361"/>
      <c r="AQ361"/>
      <c r="AR361"/>
      <c r="AS361"/>
      <c r="AT361"/>
      <c r="AU361"/>
      <c r="AV361" s="1" t="s">
        <v>38</v>
      </c>
      <c r="BG361" s="7" t="s">
        <v>1242</v>
      </c>
    </row>
    <row r="362" spans="1:59" s="1" customFormat="1" ht="54" x14ac:dyDescent="0.45">
      <c r="A362" s="5">
        <v>361</v>
      </c>
      <c r="B362" s="1" t="s">
        <v>10980</v>
      </c>
      <c r="C362" s="6"/>
      <c r="J362" s="1" t="s">
        <v>7557</v>
      </c>
      <c r="K362" s="2" t="s">
        <v>10331</v>
      </c>
      <c r="P362" s="7" t="s">
        <v>1241</v>
      </c>
      <c r="Q362"/>
      <c r="R362"/>
      <c r="S362"/>
      <c r="T362"/>
      <c r="U362"/>
      <c r="V362"/>
      <c r="W362"/>
      <c r="X362"/>
      <c r="Y362"/>
      <c r="Z362"/>
      <c r="AA362"/>
      <c r="AB362"/>
      <c r="AC362"/>
      <c r="AD362"/>
      <c r="AE362"/>
      <c r="AF362"/>
      <c r="AG362"/>
      <c r="AH362"/>
      <c r="AI362"/>
      <c r="AJ362"/>
      <c r="AK362"/>
      <c r="AL362"/>
      <c r="AM362"/>
      <c r="AN362"/>
      <c r="AO362"/>
      <c r="AP362"/>
      <c r="AQ362"/>
      <c r="AR362"/>
      <c r="AS362"/>
      <c r="AT362"/>
      <c r="AU362"/>
      <c r="AV362" s="1" t="s">
        <v>38</v>
      </c>
      <c r="BG362" s="7" t="s">
        <v>1242</v>
      </c>
    </row>
    <row r="363" spans="1:59" s="1" customFormat="1" ht="36" x14ac:dyDescent="0.45">
      <c r="A363" s="5">
        <v>362</v>
      </c>
      <c r="B363" s="1" t="s">
        <v>10981</v>
      </c>
      <c r="C363" s="6"/>
      <c r="J363" s="1" t="s">
        <v>7557</v>
      </c>
      <c r="K363" s="2" t="s">
        <v>10332</v>
      </c>
      <c r="P363" s="7" t="s">
        <v>1241</v>
      </c>
      <c r="Q363"/>
      <c r="R363"/>
      <c r="S363"/>
      <c r="T363"/>
      <c r="U363"/>
      <c r="V363"/>
      <c r="W363"/>
      <c r="X363"/>
      <c r="Y363"/>
      <c r="Z363"/>
      <c r="AA363"/>
      <c r="AB363"/>
      <c r="AC363"/>
      <c r="AD363"/>
      <c r="AE363"/>
      <c r="AF363"/>
      <c r="AG363"/>
      <c r="AH363"/>
      <c r="AI363"/>
      <c r="AJ363"/>
      <c r="AK363"/>
      <c r="AL363"/>
      <c r="AM363"/>
      <c r="AN363"/>
      <c r="AO363"/>
      <c r="AP363"/>
      <c r="AQ363"/>
      <c r="AR363"/>
      <c r="AS363"/>
      <c r="AT363"/>
      <c r="AU363"/>
      <c r="AV363" s="1" t="s">
        <v>38</v>
      </c>
      <c r="BG363" s="7" t="s">
        <v>1242</v>
      </c>
    </row>
    <row r="364" spans="1:59" s="1" customFormat="1" ht="126" x14ac:dyDescent="0.45">
      <c r="A364" s="5">
        <v>363</v>
      </c>
      <c r="B364" s="1" t="s">
        <v>10982</v>
      </c>
      <c r="C364" s="6"/>
      <c r="J364" s="1" t="s">
        <v>7557</v>
      </c>
      <c r="K364" s="11" t="s">
        <v>11867</v>
      </c>
      <c r="P364" s="7" t="s">
        <v>1241</v>
      </c>
      <c r="Q364"/>
      <c r="R364"/>
      <c r="S364"/>
      <c r="T364"/>
      <c r="U364"/>
      <c r="V364"/>
      <c r="W364"/>
      <c r="X364"/>
      <c r="Y364"/>
      <c r="Z364"/>
      <c r="AA364"/>
      <c r="AB364"/>
      <c r="AC364"/>
      <c r="AD364"/>
      <c r="AE364"/>
      <c r="AF364"/>
      <c r="AG364"/>
      <c r="AH364"/>
      <c r="AI364"/>
      <c r="AJ364"/>
      <c r="AK364"/>
      <c r="AL364"/>
      <c r="AM364"/>
      <c r="AN364"/>
      <c r="AO364"/>
      <c r="AP364"/>
      <c r="AQ364"/>
      <c r="AR364"/>
      <c r="AS364"/>
      <c r="AT364"/>
      <c r="AU364"/>
      <c r="AV364" s="1" t="s">
        <v>38</v>
      </c>
      <c r="BG364" s="7" t="s">
        <v>1242</v>
      </c>
    </row>
    <row r="365" spans="1:59" s="1" customFormat="1" ht="90" x14ac:dyDescent="0.45">
      <c r="A365" s="5">
        <v>364</v>
      </c>
      <c r="B365" s="1" t="s">
        <v>10983</v>
      </c>
      <c r="C365" s="6"/>
      <c r="J365" s="1" t="s">
        <v>7557</v>
      </c>
      <c r="K365" s="11" t="s">
        <v>11868</v>
      </c>
      <c r="P365" s="7" t="s">
        <v>1241</v>
      </c>
      <c r="Q365"/>
      <c r="R365"/>
      <c r="S365"/>
      <c r="T365"/>
      <c r="U365"/>
      <c r="V365"/>
      <c r="W365"/>
      <c r="X365"/>
      <c r="Y365"/>
      <c r="Z365"/>
      <c r="AA365"/>
      <c r="AB365"/>
      <c r="AC365"/>
      <c r="AD365"/>
      <c r="AE365"/>
      <c r="AF365"/>
      <c r="AG365"/>
      <c r="AH365"/>
      <c r="AI365"/>
      <c r="AJ365"/>
      <c r="AK365"/>
      <c r="AL365"/>
      <c r="AM365"/>
      <c r="AN365"/>
      <c r="AO365"/>
      <c r="AP365"/>
      <c r="AQ365"/>
      <c r="AR365"/>
      <c r="AS365"/>
      <c r="AT365"/>
      <c r="AU365"/>
      <c r="AV365" s="1" t="s">
        <v>38</v>
      </c>
      <c r="BG365" s="7" t="s">
        <v>1242</v>
      </c>
    </row>
    <row r="366" spans="1:59" s="1" customFormat="1" ht="144" x14ac:dyDescent="0.45">
      <c r="A366" s="5">
        <v>365</v>
      </c>
      <c r="B366" s="1" t="s">
        <v>10984</v>
      </c>
      <c r="C366" s="6"/>
      <c r="J366" s="1" t="s">
        <v>7557</v>
      </c>
      <c r="K366" s="11" t="s">
        <v>11869</v>
      </c>
      <c r="P366" s="7" t="s">
        <v>1241</v>
      </c>
      <c r="Q366"/>
      <c r="R366"/>
      <c r="S366"/>
      <c r="T366"/>
      <c r="U366"/>
      <c r="V366"/>
      <c r="W366"/>
      <c r="X366"/>
      <c r="Y366"/>
      <c r="Z366"/>
      <c r="AA366"/>
      <c r="AB366"/>
      <c r="AC366"/>
      <c r="AD366"/>
      <c r="AE366"/>
      <c r="AF366"/>
      <c r="AG366"/>
      <c r="AH366"/>
      <c r="AI366"/>
      <c r="AJ366"/>
      <c r="AK366"/>
      <c r="AL366"/>
      <c r="AM366"/>
      <c r="AN366"/>
      <c r="AO366"/>
      <c r="AP366"/>
      <c r="AQ366"/>
      <c r="AR366"/>
      <c r="AS366"/>
      <c r="AT366"/>
      <c r="AU366"/>
      <c r="AV366" s="1" t="s">
        <v>38</v>
      </c>
      <c r="BG366" s="7" t="s">
        <v>1242</v>
      </c>
    </row>
    <row r="367" spans="1:59" s="1" customFormat="1" ht="144" x14ac:dyDescent="0.45">
      <c r="A367" s="5">
        <v>366</v>
      </c>
      <c r="B367" s="1" t="s">
        <v>10985</v>
      </c>
      <c r="C367" s="6"/>
      <c r="J367" s="1" t="s">
        <v>7557</v>
      </c>
      <c r="K367" s="11" t="s">
        <v>11870</v>
      </c>
      <c r="P367" s="7" t="s">
        <v>1241</v>
      </c>
      <c r="Q367"/>
      <c r="R367"/>
      <c r="S367"/>
      <c r="T367"/>
      <c r="U367"/>
      <c r="V367"/>
      <c r="W367"/>
      <c r="X367"/>
      <c r="Y367"/>
      <c r="Z367"/>
      <c r="AA367"/>
      <c r="AB367"/>
      <c r="AC367"/>
      <c r="AD367"/>
      <c r="AE367"/>
      <c r="AF367"/>
      <c r="AG367"/>
      <c r="AH367"/>
      <c r="AI367"/>
      <c r="AJ367"/>
      <c r="AK367"/>
      <c r="AL367"/>
      <c r="AM367"/>
      <c r="AN367"/>
      <c r="AO367"/>
      <c r="AP367"/>
      <c r="AQ367"/>
      <c r="AR367"/>
      <c r="AS367"/>
      <c r="AT367"/>
      <c r="AU367"/>
      <c r="AV367" s="1" t="s">
        <v>38</v>
      </c>
      <c r="BG367" s="7" t="s">
        <v>1242</v>
      </c>
    </row>
    <row r="368" spans="1:59" s="1" customFormat="1" ht="108" x14ac:dyDescent="0.45">
      <c r="A368" s="5">
        <v>367</v>
      </c>
      <c r="B368" s="1" t="s">
        <v>10986</v>
      </c>
      <c r="C368" s="6"/>
      <c r="J368" s="1" t="s">
        <v>7557</v>
      </c>
      <c r="K368" s="11" t="s">
        <v>11871</v>
      </c>
      <c r="P368" s="7" t="s">
        <v>1241</v>
      </c>
      <c r="Q368"/>
      <c r="R368"/>
      <c r="S368"/>
      <c r="T368"/>
      <c r="U368"/>
      <c r="V368"/>
      <c r="W368"/>
      <c r="X368"/>
      <c r="Y368"/>
      <c r="Z368"/>
      <c r="AA368"/>
      <c r="AB368"/>
      <c r="AC368"/>
      <c r="AD368"/>
      <c r="AE368"/>
      <c r="AF368"/>
      <c r="AG368"/>
      <c r="AH368"/>
      <c r="AI368"/>
      <c r="AJ368"/>
      <c r="AK368"/>
      <c r="AL368"/>
      <c r="AM368"/>
      <c r="AN368"/>
      <c r="AO368"/>
      <c r="AP368"/>
      <c r="AQ368"/>
      <c r="AR368"/>
      <c r="AS368"/>
      <c r="AT368"/>
      <c r="AU368"/>
      <c r="AV368" s="1" t="s">
        <v>38</v>
      </c>
      <c r="BG368" s="7" t="s">
        <v>1242</v>
      </c>
    </row>
    <row r="369" spans="1:59" s="1" customFormat="1" ht="108" x14ac:dyDescent="0.45">
      <c r="A369" s="5">
        <v>368</v>
      </c>
      <c r="B369" s="1" t="s">
        <v>10987</v>
      </c>
      <c r="C369" s="6"/>
      <c r="J369" s="1" t="s">
        <v>7557</v>
      </c>
      <c r="K369" s="11" t="s">
        <v>11872</v>
      </c>
      <c r="P369" s="7" t="s">
        <v>1241</v>
      </c>
      <c r="Q369"/>
      <c r="R369"/>
      <c r="S369"/>
      <c r="T369"/>
      <c r="U369"/>
      <c r="V369"/>
      <c r="W369"/>
      <c r="X369"/>
      <c r="Y369"/>
      <c r="Z369"/>
      <c r="AA369"/>
      <c r="AB369"/>
      <c r="AC369"/>
      <c r="AD369"/>
      <c r="AE369"/>
      <c r="AF369"/>
      <c r="AG369"/>
      <c r="AH369"/>
      <c r="AI369"/>
      <c r="AJ369"/>
      <c r="AK369"/>
      <c r="AL369"/>
      <c r="AM369"/>
      <c r="AN369"/>
      <c r="AO369"/>
      <c r="AP369"/>
      <c r="AQ369"/>
      <c r="AR369"/>
      <c r="AS369"/>
      <c r="AT369"/>
      <c r="AU369"/>
      <c r="AV369" s="1" t="s">
        <v>38</v>
      </c>
      <c r="BG369" s="7" t="s">
        <v>1242</v>
      </c>
    </row>
    <row r="370" spans="1:59" s="1" customFormat="1" ht="252" x14ac:dyDescent="0.45">
      <c r="A370" s="5">
        <v>369</v>
      </c>
      <c r="B370" s="1" t="s">
        <v>10988</v>
      </c>
      <c r="C370" s="6"/>
      <c r="J370" s="1" t="s">
        <v>7557</v>
      </c>
      <c r="K370" s="2" t="s">
        <v>10659</v>
      </c>
      <c r="P370" s="7" t="s">
        <v>1241</v>
      </c>
      <c r="Q370"/>
      <c r="R370"/>
      <c r="S370"/>
      <c r="T370"/>
      <c r="U370"/>
      <c r="V370"/>
      <c r="W370"/>
      <c r="X370"/>
      <c r="Y370"/>
      <c r="Z370"/>
      <c r="AA370"/>
      <c r="AB370"/>
      <c r="AC370"/>
      <c r="AD370"/>
      <c r="AE370"/>
      <c r="AF370"/>
      <c r="AG370"/>
      <c r="AH370"/>
      <c r="AI370"/>
      <c r="AJ370"/>
      <c r="AK370"/>
      <c r="AL370"/>
      <c r="AM370"/>
      <c r="AN370"/>
      <c r="AO370"/>
      <c r="AP370"/>
      <c r="AQ370"/>
      <c r="AR370"/>
      <c r="AS370"/>
      <c r="AT370"/>
      <c r="AU370"/>
      <c r="AV370" s="1" t="s">
        <v>38</v>
      </c>
      <c r="BG370" s="7" t="s">
        <v>1242</v>
      </c>
    </row>
    <row r="371" spans="1:59" s="1" customFormat="1" ht="36" x14ac:dyDescent="0.45">
      <c r="A371" s="5">
        <v>370</v>
      </c>
      <c r="B371" s="1" t="s">
        <v>10989</v>
      </c>
      <c r="C371" s="6"/>
      <c r="J371" s="1" t="s">
        <v>7557</v>
      </c>
      <c r="K371" s="2" t="s">
        <v>10333</v>
      </c>
      <c r="P371" s="7" t="s">
        <v>1241</v>
      </c>
      <c r="Q371"/>
      <c r="R371"/>
      <c r="S371"/>
      <c r="T371"/>
      <c r="U371"/>
      <c r="V371"/>
      <c r="W371"/>
      <c r="X371"/>
      <c r="Y371"/>
      <c r="Z371"/>
      <c r="AA371"/>
      <c r="AB371"/>
      <c r="AC371"/>
      <c r="AD371"/>
      <c r="AE371"/>
      <c r="AF371"/>
      <c r="AG371"/>
      <c r="AH371"/>
      <c r="AI371"/>
      <c r="AJ371"/>
      <c r="AK371"/>
      <c r="AL371"/>
      <c r="AM371"/>
      <c r="AN371"/>
      <c r="AO371"/>
      <c r="AP371"/>
      <c r="AQ371"/>
      <c r="AR371"/>
      <c r="AS371"/>
      <c r="AT371"/>
      <c r="AU371"/>
      <c r="AV371" s="1" t="s">
        <v>38</v>
      </c>
      <c r="BG371" s="7" t="s">
        <v>1242</v>
      </c>
    </row>
    <row r="372" spans="1:59" s="1" customFormat="1" ht="126" x14ac:dyDescent="0.45">
      <c r="A372" s="5">
        <v>371</v>
      </c>
      <c r="B372" s="1" t="s">
        <v>10990</v>
      </c>
      <c r="C372" s="6"/>
      <c r="J372" s="1" t="s">
        <v>7557</v>
      </c>
      <c r="K372" s="11" t="s">
        <v>11873</v>
      </c>
      <c r="P372" s="7" t="s">
        <v>1241</v>
      </c>
      <c r="Q372"/>
      <c r="R372"/>
      <c r="S372"/>
      <c r="T372"/>
      <c r="U372"/>
      <c r="V372"/>
      <c r="W372"/>
      <c r="X372"/>
      <c r="Y372"/>
      <c r="Z372"/>
      <c r="AA372"/>
      <c r="AB372"/>
      <c r="AC372"/>
      <c r="AD372"/>
      <c r="AE372"/>
      <c r="AF372"/>
      <c r="AG372"/>
      <c r="AH372"/>
      <c r="AI372"/>
      <c r="AJ372"/>
      <c r="AK372"/>
      <c r="AL372"/>
      <c r="AM372"/>
      <c r="AN372"/>
      <c r="AO372"/>
      <c r="AP372"/>
      <c r="AQ372"/>
      <c r="AR372"/>
      <c r="AS372"/>
      <c r="AT372"/>
      <c r="AU372"/>
      <c r="AV372" s="1" t="s">
        <v>38</v>
      </c>
      <c r="BG372" s="7" t="s">
        <v>1242</v>
      </c>
    </row>
    <row r="373" spans="1:59" s="1" customFormat="1" ht="126" x14ac:dyDescent="0.45">
      <c r="A373" s="5">
        <v>372</v>
      </c>
      <c r="B373" s="1" t="s">
        <v>10991</v>
      </c>
      <c r="C373" s="6"/>
      <c r="J373" s="1" t="s">
        <v>7557</v>
      </c>
      <c r="K373" s="11" t="s">
        <v>11874</v>
      </c>
      <c r="P373" s="7" t="s">
        <v>1241</v>
      </c>
      <c r="Q373"/>
      <c r="R373"/>
      <c r="S373"/>
      <c r="T373"/>
      <c r="U373"/>
      <c r="V373"/>
      <c r="W373"/>
      <c r="X373"/>
      <c r="Y373"/>
      <c r="Z373"/>
      <c r="AA373"/>
      <c r="AB373"/>
      <c r="AC373"/>
      <c r="AD373"/>
      <c r="AE373"/>
      <c r="AF373"/>
      <c r="AG373"/>
      <c r="AH373"/>
      <c r="AI373"/>
      <c r="AJ373"/>
      <c r="AK373"/>
      <c r="AL373"/>
      <c r="AM373"/>
      <c r="AN373"/>
      <c r="AO373"/>
      <c r="AP373"/>
      <c r="AQ373"/>
      <c r="AR373"/>
      <c r="AS373"/>
      <c r="AT373"/>
      <c r="AU373"/>
      <c r="AV373" s="1" t="s">
        <v>38</v>
      </c>
      <c r="BG373" s="7" t="s">
        <v>1242</v>
      </c>
    </row>
    <row r="374" spans="1:59" s="1" customFormat="1" ht="108" x14ac:dyDescent="0.45">
      <c r="A374" s="5">
        <v>373</v>
      </c>
      <c r="B374" s="1" t="s">
        <v>10992</v>
      </c>
      <c r="C374" s="6"/>
      <c r="J374" s="1" t="s">
        <v>7557</v>
      </c>
      <c r="K374" s="2" t="s">
        <v>10334</v>
      </c>
      <c r="P374" s="7" t="s">
        <v>1241</v>
      </c>
      <c r="Q374"/>
      <c r="R374"/>
      <c r="S374"/>
      <c r="T374"/>
      <c r="U374"/>
      <c r="V374"/>
      <c r="W374"/>
      <c r="X374"/>
      <c r="Y374"/>
      <c r="Z374"/>
      <c r="AA374"/>
      <c r="AB374"/>
      <c r="AC374"/>
      <c r="AD374"/>
      <c r="AE374"/>
      <c r="AF374"/>
      <c r="AG374"/>
      <c r="AH374"/>
      <c r="AI374"/>
      <c r="AJ374"/>
      <c r="AK374"/>
      <c r="AL374"/>
      <c r="AM374"/>
      <c r="AN374"/>
      <c r="AO374"/>
      <c r="AP374"/>
      <c r="AQ374"/>
      <c r="AR374"/>
      <c r="AS374"/>
      <c r="AT374"/>
      <c r="AU374"/>
      <c r="AV374" s="1" t="s">
        <v>38</v>
      </c>
      <c r="BG374" s="7" t="s">
        <v>1242</v>
      </c>
    </row>
    <row r="375" spans="1:59" s="1" customFormat="1" ht="54" x14ac:dyDescent="0.45">
      <c r="A375" s="5">
        <v>374</v>
      </c>
      <c r="B375" s="1" t="s">
        <v>10993</v>
      </c>
      <c r="C375" s="6"/>
      <c r="J375" s="1" t="s">
        <v>7557</v>
      </c>
      <c r="K375" s="2" t="s">
        <v>10335</v>
      </c>
      <c r="P375" s="7" t="s">
        <v>1241</v>
      </c>
      <c r="Q375"/>
      <c r="R375"/>
      <c r="S375"/>
      <c r="T375"/>
      <c r="U375"/>
      <c r="V375"/>
      <c r="W375"/>
      <c r="X375"/>
      <c r="Y375"/>
      <c r="Z375"/>
      <c r="AA375"/>
      <c r="AB375"/>
      <c r="AC375"/>
      <c r="AD375"/>
      <c r="AE375"/>
      <c r="AF375"/>
      <c r="AG375"/>
      <c r="AH375"/>
      <c r="AI375"/>
      <c r="AJ375"/>
      <c r="AK375"/>
      <c r="AL375"/>
      <c r="AM375"/>
      <c r="AN375"/>
      <c r="AO375"/>
      <c r="AP375"/>
      <c r="AQ375"/>
      <c r="AR375"/>
      <c r="AS375"/>
      <c r="AT375"/>
      <c r="AU375"/>
      <c r="AV375" s="1" t="s">
        <v>38</v>
      </c>
      <c r="BG375" s="7" t="s">
        <v>1242</v>
      </c>
    </row>
    <row r="376" spans="1:59" s="1" customFormat="1" ht="144" x14ac:dyDescent="0.45">
      <c r="A376" s="5">
        <v>375</v>
      </c>
      <c r="B376" s="1" t="s">
        <v>10994</v>
      </c>
      <c r="C376" s="6"/>
      <c r="J376" s="1" t="s">
        <v>7557</v>
      </c>
      <c r="K376" s="11" t="s">
        <v>11875</v>
      </c>
      <c r="P376" s="7" t="s">
        <v>1241</v>
      </c>
      <c r="Q376"/>
      <c r="R376"/>
      <c r="S376"/>
      <c r="T376"/>
      <c r="U376"/>
      <c r="V376"/>
      <c r="W376"/>
      <c r="X376"/>
      <c r="Y376"/>
      <c r="Z376"/>
      <c r="AA376"/>
      <c r="AB376"/>
      <c r="AC376"/>
      <c r="AD376"/>
      <c r="AE376"/>
      <c r="AF376"/>
      <c r="AG376"/>
      <c r="AH376"/>
      <c r="AI376"/>
      <c r="AJ376"/>
      <c r="AK376"/>
      <c r="AL376"/>
      <c r="AM376"/>
      <c r="AN376"/>
      <c r="AO376"/>
      <c r="AP376"/>
      <c r="AQ376"/>
      <c r="AR376"/>
      <c r="AS376"/>
      <c r="AT376"/>
      <c r="AU376"/>
      <c r="AV376" s="1" t="s">
        <v>38</v>
      </c>
      <c r="BG376" s="7" t="s">
        <v>1242</v>
      </c>
    </row>
    <row r="377" spans="1:59" s="1" customFormat="1" ht="144" x14ac:dyDescent="0.45">
      <c r="A377" s="5">
        <v>376</v>
      </c>
      <c r="B377" s="1" t="s">
        <v>10995</v>
      </c>
      <c r="C377" s="6"/>
      <c r="J377" s="1" t="s">
        <v>7557</v>
      </c>
      <c r="K377" s="11" t="s">
        <v>11876</v>
      </c>
      <c r="P377" s="7" t="s">
        <v>1241</v>
      </c>
      <c r="Q377"/>
      <c r="R377"/>
      <c r="S377"/>
      <c r="T377"/>
      <c r="U377"/>
      <c r="V377"/>
      <c r="W377"/>
      <c r="X377"/>
      <c r="Y377"/>
      <c r="Z377"/>
      <c r="AA377"/>
      <c r="AB377"/>
      <c r="AC377"/>
      <c r="AD377"/>
      <c r="AE377"/>
      <c r="AF377"/>
      <c r="AG377"/>
      <c r="AH377"/>
      <c r="AI377"/>
      <c r="AJ377"/>
      <c r="AK377"/>
      <c r="AL377"/>
      <c r="AM377"/>
      <c r="AN377"/>
      <c r="AO377"/>
      <c r="AP377"/>
      <c r="AQ377"/>
      <c r="AR377"/>
      <c r="AS377"/>
      <c r="AT377"/>
      <c r="AU377"/>
      <c r="AV377" s="1" t="s">
        <v>38</v>
      </c>
      <c r="BG377" s="7" t="s">
        <v>1242</v>
      </c>
    </row>
    <row r="378" spans="1:59" s="1" customFormat="1" ht="126" x14ac:dyDescent="0.45">
      <c r="A378" s="5">
        <v>377</v>
      </c>
      <c r="B378" s="1" t="s">
        <v>10996</v>
      </c>
      <c r="C378" s="6"/>
      <c r="J378" s="1" t="s">
        <v>7557</v>
      </c>
      <c r="K378" s="11" t="s">
        <v>11877</v>
      </c>
      <c r="P378" s="7" t="s">
        <v>1241</v>
      </c>
      <c r="Q378"/>
      <c r="R378"/>
      <c r="S378"/>
      <c r="T378"/>
      <c r="U378"/>
      <c r="V378"/>
      <c r="W378"/>
      <c r="X378"/>
      <c r="Y378"/>
      <c r="Z378"/>
      <c r="AA378"/>
      <c r="AB378"/>
      <c r="AC378"/>
      <c r="AD378"/>
      <c r="AE378"/>
      <c r="AF378"/>
      <c r="AG378"/>
      <c r="AH378"/>
      <c r="AI378"/>
      <c r="AJ378"/>
      <c r="AK378"/>
      <c r="AL378"/>
      <c r="AM378"/>
      <c r="AN378"/>
      <c r="AO378"/>
      <c r="AP378"/>
      <c r="AQ378"/>
      <c r="AR378"/>
      <c r="AS378"/>
      <c r="AT378"/>
      <c r="AU378"/>
      <c r="AV378" s="1" t="s">
        <v>38</v>
      </c>
      <c r="BG378" s="7" t="s">
        <v>1242</v>
      </c>
    </row>
    <row r="379" spans="1:59" s="1" customFormat="1" ht="162" x14ac:dyDescent="0.45">
      <c r="A379" s="5">
        <v>378</v>
      </c>
      <c r="B379" s="1" t="s">
        <v>10997</v>
      </c>
      <c r="C379" s="6"/>
      <c r="J379" s="1" t="s">
        <v>7557</v>
      </c>
      <c r="K379" s="11" t="s">
        <v>11878</v>
      </c>
      <c r="P379" s="7" t="s">
        <v>1241</v>
      </c>
      <c r="Q379"/>
      <c r="R379"/>
      <c r="S379"/>
      <c r="T379"/>
      <c r="U379"/>
      <c r="V379"/>
      <c r="W379"/>
      <c r="X379"/>
      <c r="Y379"/>
      <c r="Z379"/>
      <c r="AA379"/>
      <c r="AB379"/>
      <c r="AC379"/>
      <c r="AD379"/>
      <c r="AE379"/>
      <c r="AF379"/>
      <c r="AG379"/>
      <c r="AH379"/>
      <c r="AI379"/>
      <c r="AJ379"/>
      <c r="AK379"/>
      <c r="AL379"/>
      <c r="AM379"/>
      <c r="AN379"/>
      <c r="AO379"/>
      <c r="AP379"/>
      <c r="AQ379"/>
      <c r="AR379"/>
      <c r="AS379"/>
      <c r="AT379"/>
      <c r="AU379"/>
      <c r="AV379" s="1" t="s">
        <v>38</v>
      </c>
      <c r="BG379" s="7" t="s">
        <v>1242</v>
      </c>
    </row>
    <row r="380" spans="1:59" s="1" customFormat="1" ht="144" x14ac:dyDescent="0.45">
      <c r="A380" s="5">
        <v>379</v>
      </c>
      <c r="B380" s="1" t="s">
        <v>10998</v>
      </c>
      <c r="C380" s="6"/>
      <c r="J380" s="1" t="s">
        <v>7557</v>
      </c>
      <c r="K380" s="11" t="s">
        <v>11879</v>
      </c>
      <c r="P380" s="7" t="s">
        <v>1241</v>
      </c>
      <c r="Q380"/>
      <c r="R380"/>
      <c r="S380"/>
      <c r="T380"/>
      <c r="U380"/>
      <c r="V380"/>
      <c r="W380"/>
      <c r="X380"/>
      <c r="Y380"/>
      <c r="Z380"/>
      <c r="AA380"/>
      <c r="AB380"/>
      <c r="AC380"/>
      <c r="AD380"/>
      <c r="AE380"/>
      <c r="AF380"/>
      <c r="AG380"/>
      <c r="AH380"/>
      <c r="AI380"/>
      <c r="AJ380"/>
      <c r="AK380"/>
      <c r="AL380"/>
      <c r="AM380"/>
      <c r="AN380"/>
      <c r="AO380"/>
      <c r="AP380"/>
      <c r="AQ380"/>
      <c r="AR380"/>
      <c r="AS380"/>
      <c r="AT380"/>
      <c r="AU380"/>
      <c r="AV380" s="1" t="s">
        <v>38</v>
      </c>
      <c r="BG380" s="7" t="s">
        <v>1242</v>
      </c>
    </row>
    <row r="381" spans="1:59" s="1" customFormat="1" ht="180" x14ac:dyDescent="0.45">
      <c r="A381" s="5">
        <v>380</v>
      </c>
      <c r="B381" s="1" t="s">
        <v>10999</v>
      </c>
      <c r="C381" s="6"/>
      <c r="J381" s="1" t="s">
        <v>7557</v>
      </c>
      <c r="K381" s="11" t="s">
        <v>11880</v>
      </c>
      <c r="P381" s="7" t="s">
        <v>1241</v>
      </c>
      <c r="Q381"/>
      <c r="R381"/>
      <c r="S381"/>
      <c r="T381"/>
      <c r="U381"/>
      <c r="V381"/>
      <c r="W381"/>
      <c r="X381"/>
      <c r="Y381"/>
      <c r="Z381"/>
      <c r="AA381"/>
      <c r="AB381"/>
      <c r="AC381"/>
      <c r="AD381"/>
      <c r="AE381"/>
      <c r="AF381"/>
      <c r="AG381"/>
      <c r="AH381"/>
      <c r="AI381"/>
      <c r="AJ381"/>
      <c r="AK381"/>
      <c r="AL381"/>
      <c r="AM381"/>
      <c r="AN381"/>
      <c r="AO381"/>
      <c r="AP381"/>
      <c r="AQ381"/>
      <c r="AR381"/>
      <c r="AS381"/>
      <c r="AT381"/>
      <c r="AU381"/>
      <c r="AV381" s="1" t="s">
        <v>38</v>
      </c>
      <c r="BG381" s="7" t="s">
        <v>1242</v>
      </c>
    </row>
    <row r="382" spans="1:59" s="1" customFormat="1" ht="144" x14ac:dyDescent="0.45">
      <c r="A382" s="5">
        <v>381</v>
      </c>
      <c r="B382" s="1" t="s">
        <v>11000</v>
      </c>
      <c r="C382" s="6"/>
      <c r="J382" s="1" t="s">
        <v>7557</v>
      </c>
      <c r="K382" s="11" t="s">
        <v>11881</v>
      </c>
      <c r="P382" s="7" t="s">
        <v>1241</v>
      </c>
      <c r="Q382"/>
      <c r="R382"/>
      <c r="S382"/>
      <c r="T382"/>
      <c r="U382"/>
      <c r="V382"/>
      <c r="W382"/>
      <c r="X382"/>
      <c r="Y382"/>
      <c r="Z382"/>
      <c r="AA382"/>
      <c r="AB382"/>
      <c r="AC382"/>
      <c r="AD382"/>
      <c r="AE382"/>
      <c r="AF382"/>
      <c r="AG382"/>
      <c r="AH382"/>
      <c r="AI382"/>
      <c r="AJ382"/>
      <c r="AK382"/>
      <c r="AL382"/>
      <c r="AM382"/>
      <c r="AN382"/>
      <c r="AO382"/>
      <c r="AP382"/>
      <c r="AQ382"/>
      <c r="AR382"/>
      <c r="AS382"/>
      <c r="AT382"/>
      <c r="AU382"/>
      <c r="AV382" s="1" t="s">
        <v>38</v>
      </c>
      <c r="BG382" s="7" t="s">
        <v>1242</v>
      </c>
    </row>
    <row r="383" spans="1:59" s="1" customFormat="1" ht="126" x14ac:dyDescent="0.45">
      <c r="A383" s="5">
        <v>382</v>
      </c>
      <c r="B383" s="1" t="s">
        <v>11001</v>
      </c>
      <c r="C383" s="6"/>
      <c r="J383" s="1" t="s">
        <v>7557</v>
      </c>
      <c r="K383" s="11" t="s">
        <v>11882</v>
      </c>
      <c r="P383" s="7" t="s">
        <v>1241</v>
      </c>
      <c r="Q383"/>
      <c r="R383"/>
      <c r="S383"/>
      <c r="T383"/>
      <c r="U383"/>
      <c r="V383"/>
      <c r="W383"/>
      <c r="X383"/>
      <c r="Y383"/>
      <c r="Z383"/>
      <c r="AA383"/>
      <c r="AB383"/>
      <c r="AC383"/>
      <c r="AD383"/>
      <c r="AE383"/>
      <c r="AF383"/>
      <c r="AG383"/>
      <c r="AH383"/>
      <c r="AI383"/>
      <c r="AJ383"/>
      <c r="AK383"/>
      <c r="AL383"/>
      <c r="AM383"/>
      <c r="AN383"/>
      <c r="AO383"/>
      <c r="AP383"/>
      <c r="AQ383"/>
      <c r="AR383"/>
      <c r="AS383"/>
      <c r="AT383"/>
      <c r="AU383"/>
      <c r="AV383" s="1" t="s">
        <v>38</v>
      </c>
      <c r="BG383" s="7" t="s">
        <v>1242</v>
      </c>
    </row>
    <row r="384" spans="1:59" s="1" customFormat="1" ht="144" x14ac:dyDescent="0.45">
      <c r="A384" s="5">
        <v>383</v>
      </c>
      <c r="B384" s="1" t="s">
        <v>11002</v>
      </c>
      <c r="C384" s="6"/>
      <c r="J384" s="1" t="s">
        <v>7557</v>
      </c>
      <c r="K384" s="11" t="s">
        <v>11883</v>
      </c>
      <c r="P384" s="7" t="s">
        <v>1241</v>
      </c>
      <c r="Q384"/>
      <c r="R384"/>
      <c r="S384"/>
      <c r="T384"/>
      <c r="U384"/>
      <c r="V384"/>
      <c r="W384"/>
      <c r="X384"/>
      <c r="Y384"/>
      <c r="Z384"/>
      <c r="AA384"/>
      <c r="AB384"/>
      <c r="AC384"/>
      <c r="AD384"/>
      <c r="AE384"/>
      <c r="AF384"/>
      <c r="AG384"/>
      <c r="AH384"/>
      <c r="AI384"/>
      <c r="AJ384"/>
      <c r="AK384"/>
      <c r="AL384"/>
      <c r="AM384"/>
      <c r="AN384"/>
      <c r="AO384"/>
      <c r="AP384"/>
      <c r="AQ384"/>
      <c r="AR384"/>
      <c r="AS384"/>
      <c r="AT384"/>
      <c r="AU384"/>
      <c r="AV384" s="1" t="s">
        <v>38</v>
      </c>
      <c r="BG384" s="7" t="s">
        <v>1242</v>
      </c>
    </row>
    <row r="385" spans="1:59" s="1" customFormat="1" ht="108" x14ac:dyDescent="0.45">
      <c r="A385" s="5">
        <v>384</v>
      </c>
      <c r="B385" s="1" t="s">
        <v>11003</v>
      </c>
      <c r="C385" s="6"/>
      <c r="J385" s="1" t="s">
        <v>7557</v>
      </c>
      <c r="K385" s="11" t="s">
        <v>11884</v>
      </c>
      <c r="P385" s="7" t="s">
        <v>1241</v>
      </c>
      <c r="Q385"/>
      <c r="R385"/>
      <c r="S385"/>
      <c r="T385"/>
      <c r="U385"/>
      <c r="V385"/>
      <c r="W385"/>
      <c r="X385"/>
      <c r="Y385"/>
      <c r="Z385"/>
      <c r="AA385"/>
      <c r="AB385"/>
      <c r="AC385"/>
      <c r="AD385"/>
      <c r="AE385"/>
      <c r="AF385"/>
      <c r="AG385"/>
      <c r="AH385"/>
      <c r="AI385"/>
      <c r="AJ385"/>
      <c r="AK385"/>
      <c r="AL385"/>
      <c r="AM385"/>
      <c r="AN385"/>
      <c r="AO385"/>
      <c r="AP385"/>
      <c r="AQ385"/>
      <c r="AR385"/>
      <c r="AS385"/>
      <c r="AT385"/>
      <c r="AU385"/>
      <c r="AV385" s="1" t="s">
        <v>38</v>
      </c>
      <c r="BG385" s="7" t="s">
        <v>1242</v>
      </c>
    </row>
    <row r="386" spans="1:59" s="1" customFormat="1" ht="126" x14ac:dyDescent="0.45">
      <c r="A386" s="5">
        <v>385</v>
      </c>
      <c r="B386" s="1" t="s">
        <v>11004</v>
      </c>
      <c r="C386" s="6"/>
      <c r="J386" s="1" t="s">
        <v>7557</v>
      </c>
      <c r="K386" s="11" t="s">
        <v>11885</v>
      </c>
      <c r="P386" s="7" t="s">
        <v>1241</v>
      </c>
      <c r="Q386"/>
      <c r="R386"/>
      <c r="S386"/>
      <c r="T386"/>
      <c r="U386"/>
      <c r="V386"/>
      <c r="W386"/>
      <c r="X386"/>
      <c r="Y386"/>
      <c r="Z386"/>
      <c r="AA386"/>
      <c r="AB386"/>
      <c r="AC386"/>
      <c r="AD386"/>
      <c r="AE386"/>
      <c r="AF386"/>
      <c r="AG386"/>
      <c r="AH386"/>
      <c r="AI386"/>
      <c r="AJ386"/>
      <c r="AK386"/>
      <c r="AL386"/>
      <c r="AM386"/>
      <c r="AN386"/>
      <c r="AO386"/>
      <c r="AP386"/>
      <c r="AQ386"/>
      <c r="AR386"/>
      <c r="AS386"/>
      <c r="AT386"/>
      <c r="AU386"/>
      <c r="AV386" s="1" t="s">
        <v>38</v>
      </c>
      <c r="BG386" s="7" t="s">
        <v>1242</v>
      </c>
    </row>
    <row r="387" spans="1:59" s="1" customFormat="1" ht="234" x14ac:dyDescent="0.45">
      <c r="A387" s="5">
        <v>386</v>
      </c>
      <c r="B387" s="1" t="s">
        <v>11005</v>
      </c>
      <c r="C387" s="6"/>
      <c r="J387" s="1" t="s">
        <v>7557</v>
      </c>
      <c r="K387" s="11" t="s">
        <v>11886</v>
      </c>
      <c r="P387" s="7" t="s">
        <v>1241</v>
      </c>
      <c r="Q387"/>
      <c r="R387"/>
      <c r="S387"/>
      <c r="T387"/>
      <c r="U387"/>
      <c r="V387"/>
      <c r="W387"/>
      <c r="X387"/>
      <c r="Y387"/>
      <c r="Z387"/>
      <c r="AA387"/>
      <c r="AB387"/>
      <c r="AC387"/>
      <c r="AD387"/>
      <c r="AE387"/>
      <c r="AF387"/>
      <c r="AG387"/>
      <c r="AH387"/>
      <c r="AI387"/>
      <c r="AJ387"/>
      <c r="AK387"/>
      <c r="AL387"/>
      <c r="AM387"/>
      <c r="AN387"/>
      <c r="AO387"/>
      <c r="AP387"/>
      <c r="AQ387"/>
      <c r="AR387"/>
      <c r="AS387"/>
      <c r="AT387"/>
      <c r="AU387"/>
      <c r="AV387" s="1" t="s">
        <v>38</v>
      </c>
      <c r="BG387" s="7" t="s">
        <v>1242</v>
      </c>
    </row>
    <row r="388" spans="1:59" s="1" customFormat="1" ht="126" x14ac:dyDescent="0.45">
      <c r="A388" s="5">
        <v>387</v>
      </c>
      <c r="B388" s="1" t="s">
        <v>11006</v>
      </c>
      <c r="C388" s="6"/>
      <c r="J388" s="1" t="s">
        <v>7557</v>
      </c>
      <c r="K388" s="11" t="s">
        <v>11887</v>
      </c>
      <c r="P388" s="7" t="s">
        <v>1241</v>
      </c>
      <c r="Q388"/>
      <c r="R388"/>
      <c r="S388"/>
      <c r="T388"/>
      <c r="U388"/>
      <c r="V388"/>
      <c r="W388"/>
      <c r="X388"/>
      <c r="Y388"/>
      <c r="Z388"/>
      <c r="AA388"/>
      <c r="AB388"/>
      <c r="AC388"/>
      <c r="AD388"/>
      <c r="AE388"/>
      <c r="AF388"/>
      <c r="AG388"/>
      <c r="AH388"/>
      <c r="AI388"/>
      <c r="AJ388"/>
      <c r="AK388"/>
      <c r="AL388"/>
      <c r="AM388"/>
      <c r="AN388"/>
      <c r="AO388"/>
      <c r="AP388"/>
      <c r="AQ388"/>
      <c r="AR388"/>
      <c r="AS388"/>
      <c r="AT388"/>
      <c r="AU388"/>
      <c r="AV388" s="1" t="s">
        <v>38</v>
      </c>
      <c r="BG388" s="7" t="s">
        <v>1242</v>
      </c>
    </row>
    <row r="389" spans="1:59" s="1" customFormat="1" ht="108" x14ac:dyDescent="0.45">
      <c r="A389" s="5">
        <v>388</v>
      </c>
      <c r="B389" s="1" t="s">
        <v>11007</v>
      </c>
      <c r="C389" s="6"/>
      <c r="J389" s="1" t="s">
        <v>7557</v>
      </c>
      <c r="K389" s="11" t="s">
        <v>11888</v>
      </c>
      <c r="P389" s="7" t="s">
        <v>1241</v>
      </c>
      <c r="Q389"/>
      <c r="R389"/>
      <c r="S389"/>
      <c r="T389"/>
      <c r="U389"/>
      <c r="V389"/>
      <c r="W389"/>
      <c r="X389"/>
      <c r="Y389"/>
      <c r="Z389"/>
      <c r="AA389"/>
      <c r="AB389"/>
      <c r="AC389"/>
      <c r="AD389"/>
      <c r="AE389"/>
      <c r="AF389"/>
      <c r="AG389"/>
      <c r="AH389"/>
      <c r="AI389"/>
      <c r="AJ389"/>
      <c r="AK389"/>
      <c r="AL389"/>
      <c r="AM389"/>
      <c r="AN389"/>
      <c r="AO389"/>
      <c r="AP389"/>
      <c r="AQ389"/>
      <c r="AR389"/>
      <c r="AS389"/>
      <c r="AT389"/>
      <c r="AU389"/>
      <c r="AV389" s="1" t="s">
        <v>38</v>
      </c>
      <c r="BG389" s="7" t="s">
        <v>1242</v>
      </c>
    </row>
    <row r="390" spans="1:59" s="1" customFormat="1" ht="90" x14ac:dyDescent="0.45">
      <c r="A390" s="5">
        <v>389</v>
      </c>
      <c r="B390" s="1" t="s">
        <v>11008</v>
      </c>
      <c r="C390" s="6"/>
      <c r="J390" s="1" t="s">
        <v>7557</v>
      </c>
      <c r="K390" s="2" t="s">
        <v>10336</v>
      </c>
      <c r="P390" s="7" t="s">
        <v>1241</v>
      </c>
      <c r="Q390"/>
      <c r="R390"/>
      <c r="S390"/>
      <c r="T390"/>
      <c r="U390"/>
      <c r="V390"/>
      <c r="W390"/>
      <c r="X390"/>
      <c r="Y390"/>
      <c r="Z390"/>
      <c r="AA390"/>
      <c r="AB390"/>
      <c r="AC390"/>
      <c r="AD390"/>
      <c r="AE390"/>
      <c r="AF390"/>
      <c r="AG390"/>
      <c r="AH390"/>
      <c r="AI390"/>
      <c r="AJ390"/>
      <c r="AK390"/>
      <c r="AL390"/>
      <c r="AM390"/>
      <c r="AN390"/>
      <c r="AO390"/>
      <c r="AP390"/>
      <c r="AQ390"/>
      <c r="AR390"/>
      <c r="AS390"/>
      <c r="AT390"/>
      <c r="AU390"/>
      <c r="AV390" s="1" t="s">
        <v>38</v>
      </c>
      <c r="BG390" s="7" t="s">
        <v>1242</v>
      </c>
    </row>
    <row r="391" spans="1:59" s="1" customFormat="1" ht="180" x14ac:dyDescent="0.45">
      <c r="A391" s="5">
        <v>390</v>
      </c>
      <c r="B391" s="1" t="s">
        <v>11009</v>
      </c>
      <c r="C391" s="6"/>
      <c r="J391" s="1" t="s">
        <v>7557</v>
      </c>
      <c r="K391" s="11" t="s">
        <v>11889</v>
      </c>
      <c r="P391" s="7" t="s">
        <v>1241</v>
      </c>
      <c r="Q391"/>
      <c r="R391"/>
      <c r="S391"/>
      <c r="T391"/>
      <c r="U391"/>
      <c r="V391"/>
      <c r="W391"/>
      <c r="X391"/>
      <c r="Y391"/>
      <c r="Z391"/>
      <c r="AA391"/>
      <c r="AB391"/>
      <c r="AC391"/>
      <c r="AD391"/>
      <c r="AE391"/>
      <c r="AF391"/>
      <c r="AG391"/>
      <c r="AH391"/>
      <c r="AI391"/>
      <c r="AJ391"/>
      <c r="AK391"/>
      <c r="AL391"/>
      <c r="AM391"/>
      <c r="AN391"/>
      <c r="AO391"/>
      <c r="AP391"/>
      <c r="AQ391"/>
      <c r="AR391"/>
      <c r="AS391"/>
      <c r="AT391"/>
      <c r="AU391"/>
      <c r="AV391" s="1" t="s">
        <v>38</v>
      </c>
      <c r="BG391" s="7" t="s">
        <v>1242</v>
      </c>
    </row>
    <row r="392" spans="1:59" s="1" customFormat="1" ht="409.6" x14ac:dyDescent="0.45">
      <c r="A392" s="5">
        <v>391</v>
      </c>
      <c r="B392" s="1" t="s">
        <v>11010</v>
      </c>
      <c r="C392" s="6"/>
      <c r="J392" s="1" t="s">
        <v>7557</v>
      </c>
      <c r="K392" s="11" t="s">
        <v>11890</v>
      </c>
      <c r="P392" s="7" t="s">
        <v>1241</v>
      </c>
      <c r="Q392"/>
      <c r="R392"/>
      <c r="S392"/>
      <c r="T392"/>
      <c r="U392"/>
      <c r="V392"/>
      <c r="W392"/>
      <c r="X392"/>
      <c r="Y392"/>
      <c r="Z392"/>
      <c r="AA392"/>
      <c r="AB392"/>
      <c r="AC392"/>
      <c r="AD392"/>
      <c r="AE392"/>
      <c r="AF392"/>
      <c r="AG392"/>
      <c r="AH392"/>
      <c r="AI392"/>
      <c r="AJ392"/>
      <c r="AK392"/>
      <c r="AL392"/>
      <c r="AM392"/>
      <c r="AN392"/>
      <c r="AO392"/>
      <c r="AP392"/>
      <c r="AQ392"/>
      <c r="AR392"/>
      <c r="AS392"/>
      <c r="AT392"/>
      <c r="AU392"/>
      <c r="AV392" s="1" t="s">
        <v>38</v>
      </c>
      <c r="BG392" s="7" t="s">
        <v>1242</v>
      </c>
    </row>
    <row r="393" spans="1:59" s="1" customFormat="1" ht="144" x14ac:dyDescent="0.45">
      <c r="A393" s="5">
        <v>392</v>
      </c>
      <c r="B393" s="1" t="s">
        <v>11011</v>
      </c>
      <c r="C393" s="6"/>
      <c r="J393" s="1" t="s">
        <v>7557</v>
      </c>
      <c r="K393" s="11" t="s">
        <v>11891</v>
      </c>
      <c r="P393" s="7" t="s">
        <v>1241</v>
      </c>
      <c r="Q393"/>
      <c r="R393"/>
      <c r="S393"/>
      <c r="T393"/>
      <c r="U393"/>
      <c r="V393"/>
      <c r="W393"/>
      <c r="X393"/>
      <c r="Y393"/>
      <c r="Z393"/>
      <c r="AA393"/>
      <c r="AB393"/>
      <c r="AC393"/>
      <c r="AD393"/>
      <c r="AE393"/>
      <c r="AF393"/>
      <c r="AG393"/>
      <c r="AH393"/>
      <c r="AI393"/>
      <c r="AJ393"/>
      <c r="AK393"/>
      <c r="AL393"/>
      <c r="AM393"/>
      <c r="AN393"/>
      <c r="AO393"/>
      <c r="AP393"/>
      <c r="AQ393"/>
      <c r="AR393"/>
      <c r="AS393"/>
      <c r="AT393"/>
      <c r="AU393"/>
      <c r="AV393" s="1" t="s">
        <v>38</v>
      </c>
      <c r="BG393" s="7" t="s">
        <v>1242</v>
      </c>
    </row>
    <row r="394" spans="1:59" s="1" customFormat="1" ht="126" x14ac:dyDescent="0.45">
      <c r="A394" s="5">
        <v>393</v>
      </c>
      <c r="B394" s="1" t="s">
        <v>11012</v>
      </c>
      <c r="C394" s="6"/>
      <c r="J394" s="1" t="s">
        <v>7557</v>
      </c>
      <c r="K394" s="11" t="s">
        <v>11892</v>
      </c>
      <c r="P394" s="7" t="s">
        <v>1241</v>
      </c>
      <c r="Q394"/>
      <c r="R394"/>
      <c r="S394"/>
      <c r="T394"/>
      <c r="U394"/>
      <c r="V394"/>
      <c r="W394"/>
      <c r="X394"/>
      <c r="Y394"/>
      <c r="Z394"/>
      <c r="AA394"/>
      <c r="AB394"/>
      <c r="AC394"/>
      <c r="AD394"/>
      <c r="AE394"/>
      <c r="AF394"/>
      <c r="AG394"/>
      <c r="AH394"/>
      <c r="AI394"/>
      <c r="AJ394"/>
      <c r="AK394"/>
      <c r="AL394"/>
      <c r="AM394"/>
      <c r="AN394"/>
      <c r="AO394"/>
      <c r="AP394"/>
      <c r="AQ394"/>
      <c r="AR394"/>
      <c r="AS394"/>
      <c r="AT394"/>
      <c r="AU394"/>
      <c r="AV394" s="1" t="s">
        <v>38</v>
      </c>
      <c r="BG394" s="7" t="s">
        <v>1242</v>
      </c>
    </row>
    <row r="395" spans="1:59" s="1" customFormat="1" ht="198" x14ac:dyDescent="0.45">
      <c r="A395" s="5">
        <v>394</v>
      </c>
      <c r="B395" s="1" t="s">
        <v>11013</v>
      </c>
      <c r="C395" s="6"/>
      <c r="J395" s="1" t="s">
        <v>7557</v>
      </c>
      <c r="K395" s="11" t="s">
        <v>11893</v>
      </c>
      <c r="P395" s="7" t="s">
        <v>1241</v>
      </c>
      <c r="Q395"/>
      <c r="R395"/>
      <c r="S395"/>
      <c r="T395"/>
      <c r="U395"/>
      <c r="V395"/>
      <c r="W395"/>
      <c r="X395"/>
      <c r="Y395"/>
      <c r="Z395"/>
      <c r="AA395"/>
      <c r="AB395"/>
      <c r="AC395"/>
      <c r="AD395"/>
      <c r="AE395"/>
      <c r="AF395"/>
      <c r="AG395"/>
      <c r="AH395"/>
      <c r="AI395"/>
      <c r="AJ395"/>
      <c r="AK395"/>
      <c r="AL395"/>
      <c r="AM395"/>
      <c r="AN395"/>
      <c r="AO395"/>
      <c r="AP395"/>
      <c r="AQ395"/>
      <c r="AR395"/>
      <c r="AS395"/>
      <c r="AT395"/>
      <c r="AU395"/>
      <c r="AV395" s="1" t="s">
        <v>38</v>
      </c>
      <c r="BG395" s="7" t="s">
        <v>1242</v>
      </c>
    </row>
    <row r="396" spans="1:59" s="1" customFormat="1" ht="216" x14ac:dyDescent="0.45">
      <c r="A396" s="5">
        <v>395</v>
      </c>
      <c r="B396" s="1" t="s">
        <v>11014</v>
      </c>
      <c r="C396" s="6"/>
      <c r="J396" s="1" t="s">
        <v>7557</v>
      </c>
      <c r="K396" s="11" t="s">
        <v>11894</v>
      </c>
      <c r="P396" s="7" t="s">
        <v>1241</v>
      </c>
      <c r="Q396"/>
      <c r="R396"/>
      <c r="S396"/>
      <c r="T396"/>
      <c r="U396"/>
      <c r="V396"/>
      <c r="W396"/>
      <c r="X396"/>
      <c r="Y396"/>
      <c r="Z396"/>
      <c r="AA396"/>
      <c r="AB396"/>
      <c r="AC396"/>
      <c r="AD396"/>
      <c r="AE396"/>
      <c r="AF396"/>
      <c r="AG396"/>
      <c r="AH396"/>
      <c r="AI396"/>
      <c r="AJ396"/>
      <c r="AK396"/>
      <c r="AL396"/>
      <c r="AM396"/>
      <c r="AN396"/>
      <c r="AO396"/>
      <c r="AP396"/>
      <c r="AQ396"/>
      <c r="AR396"/>
      <c r="AS396"/>
      <c r="AT396"/>
      <c r="AU396"/>
      <c r="AV396" s="1" t="s">
        <v>38</v>
      </c>
      <c r="BG396" s="7" t="s">
        <v>1242</v>
      </c>
    </row>
    <row r="397" spans="1:59" s="1" customFormat="1" ht="126" x14ac:dyDescent="0.45">
      <c r="A397" s="5">
        <v>396</v>
      </c>
      <c r="B397" s="1" t="s">
        <v>11015</v>
      </c>
      <c r="C397" s="6"/>
      <c r="J397" s="1" t="s">
        <v>7557</v>
      </c>
      <c r="K397" s="11" t="s">
        <v>11895</v>
      </c>
      <c r="P397" s="7" t="s">
        <v>1241</v>
      </c>
      <c r="Q397"/>
      <c r="R397"/>
      <c r="S397"/>
      <c r="T397"/>
      <c r="U397"/>
      <c r="V397"/>
      <c r="W397"/>
      <c r="X397"/>
      <c r="Y397"/>
      <c r="Z397"/>
      <c r="AA397"/>
      <c r="AB397"/>
      <c r="AC397"/>
      <c r="AD397"/>
      <c r="AE397"/>
      <c r="AF397"/>
      <c r="AG397"/>
      <c r="AH397"/>
      <c r="AI397"/>
      <c r="AJ397"/>
      <c r="AK397"/>
      <c r="AL397"/>
      <c r="AM397"/>
      <c r="AN397"/>
      <c r="AO397"/>
      <c r="AP397"/>
      <c r="AQ397"/>
      <c r="AR397"/>
      <c r="AS397"/>
      <c r="AT397"/>
      <c r="AU397"/>
      <c r="AV397" s="1" t="s">
        <v>38</v>
      </c>
      <c r="BG397" s="7" t="s">
        <v>1242</v>
      </c>
    </row>
    <row r="398" spans="1:59" s="1" customFormat="1" ht="108" x14ac:dyDescent="0.45">
      <c r="A398" s="5">
        <v>397</v>
      </c>
      <c r="B398" s="1" t="s">
        <v>11016</v>
      </c>
      <c r="C398" s="6"/>
      <c r="J398" s="1" t="s">
        <v>7557</v>
      </c>
      <c r="K398" s="11" t="s">
        <v>11896</v>
      </c>
      <c r="P398" s="7" t="s">
        <v>1241</v>
      </c>
      <c r="Q398"/>
      <c r="R398"/>
      <c r="S398"/>
      <c r="T398"/>
      <c r="U398"/>
      <c r="V398"/>
      <c r="W398"/>
      <c r="X398"/>
      <c r="Y398"/>
      <c r="Z398"/>
      <c r="AA398"/>
      <c r="AB398"/>
      <c r="AC398"/>
      <c r="AD398"/>
      <c r="AE398"/>
      <c r="AF398"/>
      <c r="AG398"/>
      <c r="AH398"/>
      <c r="AI398"/>
      <c r="AJ398"/>
      <c r="AK398"/>
      <c r="AL398"/>
      <c r="AM398"/>
      <c r="AN398"/>
      <c r="AO398"/>
      <c r="AP398"/>
      <c r="AQ398"/>
      <c r="AR398"/>
      <c r="AS398"/>
      <c r="AT398"/>
      <c r="AU398"/>
      <c r="AV398" s="1" t="s">
        <v>38</v>
      </c>
      <c r="BG398" s="7" t="s">
        <v>1242</v>
      </c>
    </row>
    <row r="399" spans="1:59" s="1" customFormat="1" ht="162" x14ac:dyDescent="0.45">
      <c r="A399" s="5">
        <v>398</v>
      </c>
      <c r="B399" s="1" t="s">
        <v>11017</v>
      </c>
      <c r="C399" s="6"/>
      <c r="J399" s="1" t="s">
        <v>7557</v>
      </c>
      <c r="K399" s="11" t="s">
        <v>11897</v>
      </c>
      <c r="P399" s="7" t="s">
        <v>1241</v>
      </c>
      <c r="Q399"/>
      <c r="R399"/>
      <c r="S399"/>
      <c r="T399"/>
      <c r="U399"/>
      <c r="V399"/>
      <c r="W399"/>
      <c r="X399"/>
      <c r="Y399"/>
      <c r="Z399"/>
      <c r="AA399"/>
      <c r="AB399"/>
      <c r="AC399"/>
      <c r="AD399"/>
      <c r="AE399"/>
      <c r="AF399"/>
      <c r="AG399"/>
      <c r="AH399"/>
      <c r="AI399"/>
      <c r="AJ399"/>
      <c r="AK399"/>
      <c r="AL399"/>
      <c r="AM399"/>
      <c r="AN399"/>
      <c r="AO399"/>
      <c r="AP399"/>
      <c r="AQ399"/>
      <c r="AR399"/>
      <c r="AS399"/>
      <c r="AT399"/>
      <c r="AU399"/>
      <c r="AV399" s="1" t="s">
        <v>38</v>
      </c>
      <c r="BG399" s="7" t="s">
        <v>1242</v>
      </c>
    </row>
    <row r="400" spans="1:59" s="1" customFormat="1" ht="180" x14ac:dyDescent="0.45">
      <c r="A400" s="5">
        <v>399</v>
      </c>
      <c r="B400" s="1" t="s">
        <v>11018</v>
      </c>
      <c r="C400" s="6"/>
      <c r="J400" s="1" t="s">
        <v>7557</v>
      </c>
      <c r="K400" s="11" t="s">
        <v>11898</v>
      </c>
      <c r="P400" s="7" t="s">
        <v>1241</v>
      </c>
      <c r="Q400"/>
      <c r="R400"/>
      <c r="S400"/>
      <c r="T400"/>
      <c r="U400"/>
      <c r="V400"/>
      <c r="W400"/>
      <c r="X400"/>
      <c r="Y400"/>
      <c r="Z400"/>
      <c r="AA400"/>
      <c r="AB400"/>
      <c r="AC400"/>
      <c r="AD400"/>
      <c r="AE400"/>
      <c r="AF400"/>
      <c r="AG400"/>
      <c r="AH400"/>
      <c r="AI400"/>
      <c r="AJ400"/>
      <c r="AK400"/>
      <c r="AL400"/>
      <c r="AM400"/>
      <c r="AN400"/>
      <c r="AO400"/>
      <c r="AP400"/>
      <c r="AQ400"/>
      <c r="AR400"/>
      <c r="AS400"/>
      <c r="AT400"/>
      <c r="AU400"/>
      <c r="AV400" s="1" t="s">
        <v>38</v>
      </c>
      <c r="BG400" s="7" t="s">
        <v>1242</v>
      </c>
    </row>
    <row r="401" spans="1:59" s="1" customFormat="1" ht="162" x14ac:dyDescent="0.45">
      <c r="A401" s="5">
        <v>400</v>
      </c>
      <c r="B401" s="1" t="s">
        <v>11019</v>
      </c>
      <c r="C401" s="6"/>
      <c r="J401" s="1" t="s">
        <v>7557</v>
      </c>
      <c r="K401" s="11" t="s">
        <v>11899</v>
      </c>
      <c r="P401" s="7" t="s">
        <v>1241</v>
      </c>
      <c r="Q401"/>
      <c r="R401"/>
      <c r="S401"/>
      <c r="T401"/>
      <c r="U401"/>
      <c r="V401"/>
      <c r="W401"/>
      <c r="X401"/>
      <c r="Y401"/>
      <c r="Z401"/>
      <c r="AA401"/>
      <c r="AB401"/>
      <c r="AC401"/>
      <c r="AD401"/>
      <c r="AE401"/>
      <c r="AF401"/>
      <c r="AG401"/>
      <c r="AH401"/>
      <c r="AI401"/>
      <c r="AJ401"/>
      <c r="AK401"/>
      <c r="AL401"/>
      <c r="AM401"/>
      <c r="AN401"/>
      <c r="AO401"/>
      <c r="AP401"/>
      <c r="AQ401"/>
      <c r="AR401"/>
      <c r="AS401"/>
      <c r="AT401"/>
      <c r="AU401"/>
      <c r="AV401" s="1" t="s">
        <v>38</v>
      </c>
      <c r="BG401" s="7" t="s">
        <v>1242</v>
      </c>
    </row>
    <row r="402" spans="1:59" s="1" customFormat="1" ht="126" x14ac:dyDescent="0.45">
      <c r="A402" s="5">
        <v>401</v>
      </c>
      <c r="B402" s="1" t="s">
        <v>11020</v>
      </c>
      <c r="C402" s="6"/>
      <c r="J402" s="1" t="s">
        <v>7557</v>
      </c>
      <c r="K402" s="11" t="s">
        <v>11900</v>
      </c>
      <c r="P402" s="7" t="s">
        <v>1241</v>
      </c>
      <c r="Q402"/>
      <c r="R402"/>
      <c r="S402"/>
      <c r="T402"/>
      <c r="U402"/>
      <c r="V402"/>
      <c r="W402"/>
      <c r="X402"/>
      <c r="Y402"/>
      <c r="Z402"/>
      <c r="AA402"/>
      <c r="AB402"/>
      <c r="AC402"/>
      <c r="AD402"/>
      <c r="AE402"/>
      <c r="AF402"/>
      <c r="AG402"/>
      <c r="AH402"/>
      <c r="AI402"/>
      <c r="AJ402"/>
      <c r="AK402"/>
      <c r="AL402"/>
      <c r="AM402"/>
      <c r="AN402"/>
      <c r="AO402"/>
      <c r="AP402"/>
      <c r="AQ402"/>
      <c r="AR402"/>
      <c r="AS402"/>
      <c r="AT402"/>
      <c r="AU402"/>
      <c r="AV402" s="1" t="s">
        <v>38</v>
      </c>
      <c r="BG402" s="7" t="s">
        <v>1242</v>
      </c>
    </row>
    <row r="403" spans="1:59" s="1" customFormat="1" ht="162" x14ac:dyDescent="0.45">
      <c r="A403" s="5">
        <v>402</v>
      </c>
      <c r="B403" s="1" t="s">
        <v>11021</v>
      </c>
      <c r="C403" s="6"/>
      <c r="J403" s="1" t="s">
        <v>7557</v>
      </c>
      <c r="K403" s="11" t="s">
        <v>11901</v>
      </c>
      <c r="P403" s="7" t="s">
        <v>1241</v>
      </c>
      <c r="Q403"/>
      <c r="R403"/>
      <c r="S403"/>
      <c r="T403"/>
      <c r="U403"/>
      <c r="V403"/>
      <c r="W403"/>
      <c r="X403"/>
      <c r="Y403"/>
      <c r="Z403"/>
      <c r="AA403"/>
      <c r="AB403"/>
      <c r="AC403"/>
      <c r="AD403"/>
      <c r="AE403"/>
      <c r="AF403"/>
      <c r="AG403"/>
      <c r="AH403"/>
      <c r="AI403"/>
      <c r="AJ403"/>
      <c r="AK403"/>
      <c r="AL403"/>
      <c r="AM403"/>
      <c r="AN403"/>
      <c r="AO403"/>
      <c r="AP403"/>
      <c r="AQ403"/>
      <c r="AR403"/>
      <c r="AS403"/>
      <c r="AT403"/>
      <c r="AU403"/>
      <c r="AV403" s="1" t="s">
        <v>38</v>
      </c>
      <c r="BG403" s="7" t="s">
        <v>1242</v>
      </c>
    </row>
    <row r="404" spans="1:59" s="1" customFormat="1" ht="144" x14ac:dyDescent="0.45">
      <c r="A404" s="5">
        <v>403</v>
      </c>
      <c r="B404" s="1" t="s">
        <v>11022</v>
      </c>
      <c r="C404" s="6"/>
      <c r="J404" s="1" t="s">
        <v>7557</v>
      </c>
      <c r="K404" s="11" t="s">
        <v>11902</v>
      </c>
      <c r="P404" s="7" t="s">
        <v>1241</v>
      </c>
      <c r="Q404"/>
      <c r="R404"/>
      <c r="S404"/>
      <c r="T404"/>
      <c r="U404"/>
      <c r="V404"/>
      <c r="W404"/>
      <c r="X404"/>
      <c r="Y404"/>
      <c r="Z404"/>
      <c r="AA404"/>
      <c r="AB404"/>
      <c r="AC404"/>
      <c r="AD404"/>
      <c r="AE404"/>
      <c r="AF404"/>
      <c r="AG404"/>
      <c r="AH404"/>
      <c r="AI404"/>
      <c r="AJ404"/>
      <c r="AK404"/>
      <c r="AL404"/>
      <c r="AM404"/>
      <c r="AN404"/>
      <c r="AO404"/>
      <c r="AP404"/>
      <c r="AQ404"/>
      <c r="AR404"/>
      <c r="AS404"/>
      <c r="AT404"/>
      <c r="AU404"/>
      <c r="AV404" s="1" t="s">
        <v>38</v>
      </c>
      <c r="BG404" s="7" t="s">
        <v>1242</v>
      </c>
    </row>
    <row r="405" spans="1:59" s="1" customFormat="1" ht="144" x14ac:dyDescent="0.45">
      <c r="A405" s="5">
        <v>404</v>
      </c>
      <c r="B405" s="1" t="s">
        <v>11023</v>
      </c>
      <c r="C405" s="6"/>
      <c r="J405" s="1" t="s">
        <v>7557</v>
      </c>
      <c r="K405" s="11" t="s">
        <v>11903</v>
      </c>
      <c r="P405" s="7" t="s">
        <v>1241</v>
      </c>
      <c r="Q405"/>
      <c r="R405"/>
      <c r="S405"/>
      <c r="T405"/>
      <c r="U405"/>
      <c r="V405"/>
      <c r="W405"/>
      <c r="X405"/>
      <c r="Y405"/>
      <c r="Z405"/>
      <c r="AA405"/>
      <c r="AB405"/>
      <c r="AC405"/>
      <c r="AD405"/>
      <c r="AE405"/>
      <c r="AF405"/>
      <c r="AG405"/>
      <c r="AH405"/>
      <c r="AI405"/>
      <c r="AJ405"/>
      <c r="AK405"/>
      <c r="AL405"/>
      <c r="AM405"/>
      <c r="AN405"/>
      <c r="AO405"/>
      <c r="AP405"/>
      <c r="AQ405"/>
      <c r="AR405"/>
      <c r="AS405"/>
      <c r="AT405"/>
      <c r="AU405"/>
      <c r="AV405" s="1" t="s">
        <v>38</v>
      </c>
      <c r="BG405" s="7" t="s">
        <v>1242</v>
      </c>
    </row>
    <row r="406" spans="1:59" s="1" customFormat="1" ht="270" x14ac:dyDescent="0.45">
      <c r="A406" s="5">
        <v>405</v>
      </c>
      <c r="B406" s="1" t="s">
        <v>11024</v>
      </c>
      <c r="C406" s="6"/>
      <c r="J406" s="1" t="s">
        <v>7557</v>
      </c>
      <c r="K406" s="2" t="s">
        <v>11723</v>
      </c>
      <c r="P406" s="7" t="s">
        <v>1241</v>
      </c>
      <c r="Q406"/>
      <c r="R406"/>
      <c r="S406"/>
      <c r="T406"/>
      <c r="U406"/>
      <c r="V406"/>
      <c r="W406"/>
      <c r="X406"/>
      <c r="Y406"/>
      <c r="Z406"/>
      <c r="AA406"/>
      <c r="AB406"/>
      <c r="AC406"/>
      <c r="AD406"/>
      <c r="AE406"/>
      <c r="AF406"/>
      <c r="AG406"/>
      <c r="AH406"/>
      <c r="AI406"/>
      <c r="AJ406"/>
      <c r="AK406"/>
      <c r="AL406"/>
      <c r="AM406"/>
      <c r="AN406"/>
      <c r="AO406"/>
      <c r="AP406"/>
      <c r="AQ406"/>
      <c r="AR406"/>
      <c r="AS406"/>
      <c r="AT406"/>
      <c r="AU406"/>
      <c r="AV406" s="1" t="s">
        <v>38</v>
      </c>
      <c r="BG406" s="7" t="s">
        <v>1242</v>
      </c>
    </row>
    <row r="407" spans="1:59" s="1" customFormat="1" ht="90" x14ac:dyDescent="0.45">
      <c r="A407" s="5">
        <v>406</v>
      </c>
      <c r="B407" s="1" t="s">
        <v>11025</v>
      </c>
      <c r="C407" s="6"/>
      <c r="J407" s="1" t="s">
        <v>7557</v>
      </c>
      <c r="K407" s="11" t="s">
        <v>11904</v>
      </c>
      <c r="P407" s="7" t="s">
        <v>1241</v>
      </c>
      <c r="Q407"/>
      <c r="R407"/>
      <c r="S407"/>
      <c r="T407"/>
      <c r="U407"/>
      <c r="V407"/>
      <c r="W407"/>
      <c r="X407"/>
      <c r="Y407"/>
      <c r="Z407"/>
      <c r="AA407"/>
      <c r="AB407"/>
      <c r="AC407"/>
      <c r="AD407"/>
      <c r="AE407"/>
      <c r="AF407"/>
      <c r="AG407"/>
      <c r="AH407"/>
      <c r="AI407"/>
      <c r="AJ407"/>
      <c r="AK407"/>
      <c r="AL407"/>
      <c r="AM407"/>
      <c r="AN407"/>
      <c r="AO407"/>
      <c r="AP407"/>
      <c r="AQ407"/>
      <c r="AR407"/>
      <c r="AS407"/>
      <c r="AT407"/>
      <c r="AU407"/>
      <c r="AV407" s="1" t="s">
        <v>38</v>
      </c>
      <c r="BG407" s="7" t="s">
        <v>1242</v>
      </c>
    </row>
    <row r="408" spans="1:59" s="1" customFormat="1" ht="90" x14ac:dyDescent="0.45">
      <c r="A408" s="5">
        <v>407</v>
      </c>
      <c r="B408" s="1" t="s">
        <v>11026</v>
      </c>
      <c r="C408" s="6"/>
      <c r="J408" s="1" t="s">
        <v>7557</v>
      </c>
      <c r="K408" s="2" t="s">
        <v>10341</v>
      </c>
      <c r="P408" s="7" t="s">
        <v>1241</v>
      </c>
      <c r="Q408"/>
      <c r="R408"/>
      <c r="S408"/>
      <c r="T408"/>
      <c r="U408"/>
      <c r="V408"/>
      <c r="W408"/>
      <c r="X408"/>
      <c r="Y408"/>
      <c r="Z408"/>
      <c r="AA408"/>
      <c r="AB408"/>
      <c r="AC408"/>
      <c r="AD408"/>
      <c r="AE408"/>
      <c r="AF408"/>
      <c r="AG408"/>
      <c r="AH408"/>
      <c r="AI408"/>
      <c r="AJ408"/>
      <c r="AK408"/>
      <c r="AL408"/>
      <c r="AM408"/>
      <c r="AN408"/>
      <c r="AO408"/>
      <c r="AP408"/>
      <c r="AQ408"/>
      <c r="AR408"/>
      <c r="AS408"/>
      <c r="AT408"/>
      <c r="AU408"/>
      <c r="AV408" s="1" t="s">
        <v>38</v>
      </c>
      <c r="BG408" s="7" t="s">
        <v>1242</v>
      </c>
    </row>
    <row r="409" spans="1:59" s="1" customFormat="1" ht="162" x14ac:dyDescent="0.45">
      <c r="A409" s="5">
        <v>408</v>
      </c>
      <c r="B409" s="1" t="s">
        <v>11027</v>
      </c>
      <c r="C409" s="6"/>
      <c r="J409" s="1" t="s">
        <v>7557</v>
      </c>
      <c r="K409" s="11" t="s">
        <v>11905</v>
      </c>
      <c r="P409" s="7" t="s">
        <v>1241</v>
      </c>
      <c r="Q409"/>
      <c r="R409"/>
      <c r="S409"/>
      <c r="T409"/>
      <c r="U409"/>
      <c r="V409"/>
      <c r="W409"/>
      <c r="X409"/>
      <c r="Y409"/>
      <c r="Z409"/>
      <c r="AA409"/>
      <c r="AB409"/>
      <c r="AC409"/>
      <c r="AD409"/>
      <c r="AE409"/>
      <c r="AF409"/>
      <c r="AG409"/>
      <c r="AH409"/>
      <c r="AI409"/>
      <c r="AJ409"/>
      <c r="AK409"/>
      <c r="AL409"/>
      <c r="AM409"/>
      <c r="AN409"/>
      <c r="AO409"/>
      <c r="AP409"/>
      <c r="AQ409"/>
      <c r="AR409"/>
      <c r="AS409"/>
      <c r="AT409"/>
      <c r="AU409"/>
      <c r="AV409" s="1" t="s">
        <v>38</v>
      </c>
      <c r="BG409" s="7" t="s">
        <v>1242</v>
      </c>
    </row>
    <row r="410" spans="1:59" s="1" customFormat="1" ht="126" x14ac:dyDescent="0.45">
      <c r="A410" s="5">
        <v>409</v>
      </c>
      <c r="B410" s="1" t="s">
        <v>11028</v>
      </c>
      <c r="C410" s="6"/>
      <c r="J410" s="1" t="s">
        <v>7557</v>
      </c>
      <c r="K410" s="11" t="s">
        <v>11906</v>
      </c>
      <c r="P410" s="7" t="s">
        <v>1241</v>
      </c>
      <c r="Q410"/>
      <c r="R410"/>
      <c r="S410"/>
      <c r="T410"/>
      <c r="U410"/>
      <c r="V410"/>
      <c r="W410"/>
      <c r="X410"/>
      <c r="Y410"/>
      <c r="Z410"/>
      <c r="AA410"/>
      <c r="AB410"/>
      <c r="AC410"/>
      <c r="AD410"/>
      <c r="AE410"/>
      <c r="AF410"/>
      <c r="AG410"/>
      <c r="AH410"/>
      <c r="AI410"/>
      <c r="AJ410"/>
      <c r="AK410"/>
      <c r="AL410"/>
      <c r="AM410"/>
      <c r="AN410"/>
      <c r="AO410"/>
      <c r="AP410"/>
      <c r="AQ410"/>
      <c r="AR410"/>
      <c r="AS410"/>
      <c r="AT410"/>
      <c r="AU410"/>
      <c r="AV410" s="1" t="s">
        <v>38</v>
      </c>
      <c r="BG410" s="7" t="s">
        <v>1242</v>
      </c>
    </row>
    <row r="411" spans="1:59" s="1" customFormat="1" ht="72" x14ac:dyDescent="0.45">
      <c r="A411" s="5">
        <v>410</v>
      </c>
      <c r="B411" s="1" t="s">
        <v>11029</v>
      </c>
      <c r="C411" s="6"/>
      <c r="J411" s="1" t="s">
        <v>7557</v>
      </c>
      <c r="K411" s="2" t="s">
        <v>10342</v>
      </c>
      <c r="P411" s="7" t="s">
        <v>1241</v>
      </c>
      <c r="Q411"/>
      <c r="R411"/>
      <c r="S411"/>
      <c r="T411"/>
      <c r="U411"/>
      <c r="V411"/>
      <c r="W411"/>
      <c r="X411"/>
      <c r="Y411"/>
      <c r="Z411"/>
      <c r="AA411"/>
      <c r="AB411"/>
      <c r="AC411"/>
      <c r="AD411"/>
      <c r="AE411"/>
      <c r="AF411"/>
      <c r="AG411"/>
      <c r="AH411"/>
      <c r="AI411"/>
      <c r="AJ411"/>
      <c r="AK411"/>
      <c r="AL411"/>
      <c r="AM411"/>
      <c r="AN411"/>
      <c r="AO411"/>
      <c r="AP411"/>
      <c r="AQ411"/>
      <c r="AR411"/>
      <c r="AS411"/>
      <c r="AT411"/>
      <c r="AU411"/>
      <c r="AV411" s="1" t="s">
        <v>38</v>
      </c>
      <c r="BG411" s="7" t="s">
        <v>1242</v>
      </c>
    </row>
    <row r="412" spans="1:59" s="1" customFormat="1" ht="108" x14ac:dyDescent="0.45">
      <c r="A412" s="5">
        <v>411</v>
      </c>
      <c r="B412" s="1" t="s">
        <v>11030</v>
      </c>
      <c r="C412" s="6"/>
      <c r="J412" s="1" t="s">
        <v>7557</v>
      </c>
      <c r="K412" s="11" t="s">
        <v>11907</v>
      </c>
      <c r="P412" s="7" t="s">
        <v>1241</v>
      </c>
      <c r="Q412"/>
      <c r="R412"/>
      <c r="S412"/>
      <c r="T412"/>
      <c r="U412"/>
      <c r="V412"/>
      <c r="W412"/>
      <c r="X412"/>
      <c r="Y412"/>
      <c r="Z412"/>
      <c r="AA412"/>
      <c r="AB412"/>
      <c r="AC412"/>
      <c r="AD412"/>
      <c r="AE412"/>
      <c r="AF412"/>
      <c r="AG412"/>
      <c r="AH412"/>
      <c r="AI412"/>
      <c r="AJ412"/>
      <c r="AK412"/>
      <c r="AL412"/>
      <c r="AM412"/>
      <c r="AN412"/>
      <c r="AO412"/>
      <c r="AP412"/>
      <c r="AQ412"/>
      <c r="AR412"/>
      <c r="AS412"/>
      <c r="AT412"/>
      <c r="AU412"/>
      <c r="AV412" s="1" t="s">
        <v>38</v>
      </c>
      <c r="BG412" s="7" t="s">
        <v>1242</v>
      </c>
    </row>
    <row r="413" spans="1:59" s="1" customFormat="1" ht="162" x14ac:dyDescent="0.45">
      <c r="A413" s="5">
        <v>412</v>
      </c>
      <c r="B413" s="1" t="s">
        <v>11031</v>
      </c>
      <c r="C413" s="6"/>
      <c r="J413" s="1" t="s">
        <v>7557</v>
      </c>
      <c r="K413" s="11" t="s">
        <v>11908</v>
      </c>
      <c r="P413" s="7" t="s">
        <v>1241</v>
      </c>
      <c r="Q413"/>
      <c r="R413"/>
      <c r="S413"/>
      <c r="T413"/>
      <c r="U413"/>
      <c r="V413"/>
      <c r="W413"/>
      <c r="X413"/>
      <c r="Y413"/>
      <c r="Z413"/>
      <c r="AA413"/>
      <c r="AB413"/>
      <c r="AC413"/>
      <c r="AD413"/>
      <c r="AE413"/>
      <c r="AF413"/>
      <c r="AG413"/>
      <c r="AH413"/>
      <c r="AI413"/>
      <c r="AJ413"/>
      <c r="AK413"/>
      <c r="AL413"/>
      <c r="AM413"/>
      <c r="AN413"/>
      <c r="AO413"/>
      <c r="AP413"/>
      <c r="AQ413"/>
      <c r="AR413"/>
      <c r="AS413"/>
      <c r="AT413"/>
      <c r="AU413"/>
      <c r="AV413" s="1" t="s">
        <v>38</v>
      </c>
      <c r="BG413" s="7" t="s">
        <v>1242</v>
      </c>
    </row>
    <row r="414" spans="1:59" s="1" customFormat="1" ht="126" x14ac:dyDescent="0.45">
      <c r="A414" s="5">
        <v>413</v>
      </c>
      <c r="B414" s="1" t="s">
        <v>11032</v>
      </c>
      <c r="C414" s="6"/>
      <c r="J414" s="1" t="s">
        <v>7557</v>
      </c>
      <c r="K414" s="11" t="s">
        <v>11909</v>
      </c>
      <c r="P414" s="7" t="s">
        <v>1241</v>
      </c>
      <c r="Q414"/>
      <c r="R414"/>
      <c r="S414"/>
      <c r="T414"/>
      <c r="U414"/>
      <c r="V414"/>
      <c r="W414"/>
      <c r="X414"/>
      <c r="Y414"/>
      <c r="Z414"/>
      <c r="AA414"/>
      <c r="AB414"/>
      <c r="AC414"/>
      <c r="AD414"/>
      <c r="AE414"/>
      <c r="AF414"/>
      <c r="AG414"/>
      <c r="AH414"/>
      <c r="AI414"/>
      <c r="AJ414"/>
      <c r="AK414"/>
      <c r="AL414"/>
      <c r="AM414"/>
      <c r="AN414"/>
      <c r="AO414"/>
      <c r="AP414"/>
      <c r="AQ414"/>
      <c r="AR414"/>
      <c r="AS414"/>
      <c r="AT414"/>
      <c r="AU414"/>
      <c r="AV414" s="1" t="s">
        <v>38</v>
      </c>
      <c r="BG414" s="7" t="s">
        <v>1242</v>
      </c>
    </row>
    <row r="415" spans="1:59" s="1" customFormat="1" ht="180" x14ac:dyDescent="0.45">
      <c r="A415" s="5">
        <v>414</v>
      </c>
      <c r="B415" s="1" t="s">
        <v>11033</v>
      </c>
      <c r="C415" s="6"/>
      <c r="J415" s="1" t="s">
        <v>7557</v>
      </c>
      <c r="K415" s="11" t="s">
        <v>11910</v>
      </c>
      <c r="P415" s="7" t="s">
        <v>1241</v>
      </c>
      <c r="Q415"/>
      <c r="R415"/>
      <c r="S415"/>
      <c r="T415"/>
      <c r="U415"/>
      <c r="V415"/>
      <c r="W415"/>
      <c r="X415"/>
      <c r="Y415"/>
      <c r="Z415"/>
      <c r="AA415"/>
      <c r="AB415"/>
      <c r="AC415"/>
      <c r="AD415"/>
      <c r="AE415"/>
      <c r="AF415"/>
      <c r="AG415"/>
      <c r="AH415"/>
      <c r="AI415"/>
      <c r="AJ415"/>
      <c r="AK415"/>
      <c r="AL415"/>
      <c r="AM415"/>
      <c r="AN415"/>
      <c r="AO415"/>
      <c r="AP415"/>
      <c r="AQ415"/>
      <c r="AR415"/>
      <c r="AS415"/>
      <c r="AT415"/>
      <c r="AU415"/>
      <c r="AV415" s="1" t="s">
        <v>38</v>
      </c>
      <c r="BG415" s="7" t="s">
        <v>1242</v>
      </c>
    </row>
    <row r="416" spans="1:59" s="1" customFormat="1" ht="90" x14ac:dyDescent="0.45">
      <c r="A416" s="5">
        <v>415</v>
      </c>
      <c r="B416" s="1" t="s">
        <v>11034</v>
      </c>
      <c r="C416" s="6"/>
      <c r="J416" s="1" t="s">
        <v>7557</v>
      </c>
      <c r="K416" s="2" t="s">
        <v>10343</v>
      </c>
      <c r="P416" s="7" t="s">
        <v>1241</v>
      </c>
      <c r="Q416"/>
      <c r="R416"/>
      <c r="S416"/>
      <c r="T416"/>
      <c r="U416"/>
      <c r="V416"/>
      <c r="W416"/>
      <c r="X416"/>
      <c r="Y416"/>
      <c r="Z416"/>
      <c r="AA416"/>
      <c r="AB416"/>
      <c r="AC416"/>
      <c r="AD416"/>
      <c r="AE416"/>
      <c r="AF416"/>
      <c r="AG416"/>
      <c r="AH416"/>
      <c r="AI416"/>
      <c r="AJ416"/>
      <c r="AK416"/>
      <c r="AL416"/>
      <c r="AM416"/>
      <c r="AN416"/>
      <c r="AO416"/>
      <c r="AP416"/>
      <c r="AQ416"/>
      <c r="AR416"/>
      <c r="AS416"/>
      <c r="AT416"/>
      <c r="AU416"/>
      <c r="AV416" s="1" t="s">
        <v>38</v>
      </c>
      <c r="BG416" s="7" t="s">
        <v>1242</v>
      </c>
    </row>
    <row r="417" spans="1:59" s="1" customFormat="1" ht="144" x14ac:dyDescent="0.45">
      <c r="A417" s="5">
        <v>416</v>
      </c>
      <c r="B417" s="1" t="s">
        <v>11035</v>
      </c>
      <c r="C417" s="6"/>
      <c r="J417" s="1" t="s">
        <v>7557</v>
      </c>
      <c r="K417" s="11" t="s">
        <v>11911</v>
      </c>
      <c r="P417" s="7" t="s">
        <v>1241</v>
      </c>
      <c r="Q417"/>
      <c r="R417"/>
      <c r="S417"/>
      <c r="T417"/>
      <c r="U417"/>
      <c r="V417"/>
      <c r="W417"/>
      <c r="X417"/>
      <c r="Y417"/>
      <c r="Z417"/>
      <c r="AA417"/>
      <c r="AB417"/>
      <c r="AC417"/>
      <c r="AD417"/>
      <c r="AE417"/>
      <c r="AF417"/>
      <c r="AG417"/>
      <c r="AH417"/>
      <c r="AI417"/>
      <c r="AJ417"/>
      <c r="AK417"/>
      <c r="AL417"/>
      <c r="AM417"/>
      <c r="AN417"/>
      <c r="AO417"/>
      <c r="AP417"/>
      <c r="AQ417"/>
      <c r="AR417"/>
      <c r="AS417"/>
      <c r="AT417"/>
      <c r="AU417"/>
      <c r="AV417" s="1" t="s">
        <v>38</v>
      </c>
      <c r="BG417" s="7" t="s">
        <v>1242</v>
      </c>
    </row>
    <row r="418" spans="1:59" s="1" customFormat="1" ht="108" x14ac:dyDescent="0.45">
      <c r="A418" s="5">
        <v>417</v>
      </c>
      <c r="B418" s="1" t="s">
        <v>11036</v>
      </c>
      <c r="C418" s="6"/>
      <c r="J418" s="1" t="s">
        <v>7557</v>
      </c>
      <c r="K418" s="11" t="s">
        <v>11912</v>
      </c>
      <c r="P418" s="7" t="s">
        <v>1241</v>
      </c>
      <c r="Q418"/>
      <c r="R418"/>
      <c r="S418"/>
      <c r="T418"/>
      <c r="U418"/>
      <c r="V418"/>
      <c r="W418"/>
      <c r="X418"/>
      <c r="Y418"/>
      <c r="Z418"/>
      <c r="AA418"/>
      <c r="AB418"/>
      <c r="AC418"/>
      <c r="AD418"/>
      <c r="AE418"/>
      <c r="AF418"/>
      <c r="AG418"/>
      <c r="AH418"/>
      <c r="AI418"/>
      <c r="AJ418"/>
      <c r="AK418"/>
      <c r="AL418"/>
      <c r="AM418"/>
      <c r="AN418"/>
      <c r="AO418"/>
      <c r="AP418"/>
      <c r="AQ418"/>
      <c r="AR418"/>
      <c r="AS418"/>
      <c r="AT418"/>
      <c r="AU418"/>
      <c r="AV418" s="1" t="s">
        <v>38</v>
      </c>
      <c r="BG418" s="7" t="s">
        <v>1242</v>
      </c>
    </row>
    <row r="419" spans="1:59" s="1" customFormat="1" ht="90" x14ac:dyDescent="0.45">
      <c r="A419" s="5">
        <v>418</v>
      </c>
      <c r="B419" s="1" t="s">
        <v>11037</v>
      </c>
      <c r="C419" s="6"/>
      <c r="J419" s="1" t="s">
        <v>7557</v>
      </c>
      <c r="K419" s="11" t="s">
        <v>11913</v>
      </c>
      <c r="P419" s="7" t="s">
        <v>1241</v>
      </c>
      <c r="Q419"/>
      <c r="R419"/>
      <c r="S419"/>
      <c r="T419"/>
      <c r="U419"/>
      <c r="V419"/>
      <c r="W419"/>
      <c r="X419"/>
      <c r="Y419"/>
      <c r="Z419"/>
      <c r="AA419"/>
      <c r="AB419"/>
      <c r="AC419"/>
      <c r="AD419"/>
      <c r="AE419"/>
      <c r="AF419"/>
      <c r="AG419"/>
      <c r="AH419"/>
      <c r="AI419"/>
      <c r="AJ419"/>
      <c r="AK419"/>
      <c r="AL419"/>
      <c r="AM419"/>
      <c r="AN419"/>
      <c r="AO419"/>
      <c r="AP419"/>
      <c r="AQ419"/>
      <c r="AR419"/>
      <c r="AS419"/>
      <c r="AT419"/>
      <c r="AU419"/>
      <c r="AV419" s="1" t="s">
        <v>38</v>
      </c>
      <c r="BG419" s="7" t="s">
        <v>1242</v>
      </c>
    </row>
    <row r="420" spans="1:59" s="1" customFormat="1" ht="144" x14ac:dyDescent="0.45">
      <c r="A420" s="5">
        <v>419</v>
      </c>
      <c r="B420" s="1" t="s">
        <v>11038</v>
      </c>
      <c r="C420" s="6"/>
      <c r="J420" s="1" t="s">
        <v>7557</v>
      </c>
      <c r="K420" s="11" t="s">
        <v>11914</v>
      </c>
      <c r="P420" s="7" t="s">
        <v>1241</v>
      </c>
      <c r="Q420"/>
      <c r="R420"/>
      <c r="S420"/>
      <c r="T420"/>
      <c r="U420"/>
      <c r="V420"/>
      <c r="W420"/>
      <c r="X420"/>
      <c r="Y420"/>
      <c r="Z420"/>
      <c r="AA420"/>
      <c r="AB420"/>
      <c r="AC420"/>
      <c r="AD420"/>
      <c r="AE420"/>
      <c r="AF420"/>
      <c r="AG420"/>
      <c r="AH420"/>
      <c r="AI420"/>
      <c r="AJ420"/>
      <c r="AK420"/>
      <c r="AL420"/>
      <c r="AM420"/>
      <c r="AN420"/>
      <c r="AO420"/>
      <c r="AP420"/>
      <c r="AQ420"/>
      <c r="AR420"/>
      <c r="AS420"/>
      <c r="AT420"/>
      <c r="AU420"/>
      <c r="AV420" s="1" t="s">
        <v>38</v>
      </c>
      <c r="BG420" s="7" t="s">
        <v>1242</v>
      </c>
    </row>
    <row r="421" spans="1:59" s="1" customFormat="1" ht="198" x14ac:dyDescent="0.45">
      <c r="A421" s="5">
        <v>420</v>
      </c>
      <c r="B421" s="1" t="s">
        <v>11039</v>
      </c>
      <c r="C421" s="6"/>
      <c r="J421" s="1" t="s">
        <v>7557</v>
      </c>
      <c r="K421" s="11" t="s">
        <v>11915</v>
      </c>
      <c r="P421" s="7" t="s">
        <v>1241</v>
      </c>
      <c r="Q421"/>
      <c r="R421"/>
      <c r="S421"/>
      <c r="T421"/>
      <c r="U421"/>
      <c r="V421"/>
      <c r="W421"/>
      <c r="X421"/>
      <c r="Y421"/>
      <c r="Z421"/>
      <c r="AA421"/>
      <c r="AB421"/>
      <c r="AC421"/>
      <c r="AD421"/>
      <c r="AE421"/>
      <c r="AF421"/>
      <c r="AG421"/>
      <c r="AH421"/>
      <c r="AI421"/>
      <c r="AJ421"/>
      <c r="AK421"/>
      <c r="AL421"/>
      <c r="AM421"/>
      <c r="AN421"/>
      <c r="AO421"/>
      <c r="AP421"/>
      <c r="AQ421"/>
      <c r="AR421"/>
      <c r="AS421"/>
      <c r="AT421"/>
      <c r="AU421"/>
      <c r="AV421" s="1" t="s">
        <v>38</v>
      </c>
      <c r="BG421" s="7" t="s">
        <v>1242</v>
      </c>
    </row>
    <row r="422" spans="1:59" s="1" customFormat="1" ht="72" x14ac:dyDescent="0.45">
      <c r="A422" s="5">
        <v>421</v>
      </c>
      <c r="B422" s="1" t="s">
        <v>11040</v>
      </c>
      <c r="C422" s="6"/>
      <c r="J422" s="1" t="s">
        <v>7557</v>
      </c>
      <c r="K422" s="2" t="s">
        <v>10344</v>
      </c>
      <c r="P422" s="7" t="s">
        <v>1241</v>
      </c>
      <c r="Q422"/>
      <c r="R422"/>
      <c r="S422"/>
      <c r="T422"/>
      <c r="U422"/>
      <c r="V422"/>
      <c r="W422"/>
      <c r="X422"/>
      <c r="Y422"/>
      <c r="Z422"/>
      <c r="AA422"/>
      <c r="AB422"/>
      <c r="AC422"/>
      <c r="AD422"/>
      <c r="AE422"/>
      <c r="AF422"/>
      <c r="AG422"/>
      <c r="AH422"/>
      <c r="AI422"/>
      <c r="AJ422"/>
      <c r="AK422"/>
      <c r="AL422"/>
      <c r="AM422"/>
      <c r="AN422"/>
      <c r="AO422"/>
      <c r="AP422"/>
      <c r="AQ422"/>
      <c r="AR422"/>
      <c r="AS422"/>
      <c r="AT422"/>
      <c r="AU422"/>
      <c r="AV422" s="1" t="s">
        <v>38</v>
      </c>
      <c r="BG422" s="7" t="s">
        <v>1242</v>
      </c>
    </row>
    <row r="423" spans="1:59" s="1" customFormat="1" ht="90" x14ac:dyDescent="0.45">
      <c r="A423" s="5">
        <v>422</v>
      </c>
      <c r="B423" s="1" t="s">
        <v>11041</v>
      </c>
      <c r="C423" s="6"/>
      <c r="J423" s="1" t="s">
        <v>7557</v>
      </c>
      <c r="K423" s="11" t="s">
        <v>11916</v>
      </c>
      <c r="P423" s="7" t="s">
        <v>1241</v>
      </c>
      <c r="Q423"/>
      <c r="R423"/>
      <c r="S423"/>
      <c r="T423"/>
      <c r="U423"/>
      <c r="V423"/>
      <c r="W423"/>
      <c r="X423"/>
      <c r="Y423"/>
      <c r="Z423"/>
      <c r="AA423"/>
      <c r="AB423"/>
      <c r="AC423"/>
      <c r="AD423"/>
      <c r="AE423"/>
      <c r="AF423"/>
      <c r="AG423"/>
      <c r="AH423"/>
      <c r="AI423"/>
      <c r="AJ423"/>
      <c r="AK423"/>
      <c r="AL423"/>
      <c r="AM423"/>
      <c r="AN423"/>
      <c r="AO423"/>
      <c r="AP423"/>
      <c r="AQ423"/>
      <c r="AR423"/>
      <c r="AS423"/>
      <c r="AT423"/>
      <c r="AU423"/>
      <c r="AV423" s="1" t="s">
        <v>38</v>
      </c>
      <c r="BG423" s="7" t="s">
        <v>1242</v>
      </c>
    </row>
    <row r="424" spans="1:59" s="1" customFormat="1" ht="90" x14ac:dyDescent="0.45">
      <c r="A424" s="5">
        <v>423</v>
      </c>
      <c r="B424" s="1" t="s">
        <v>11042</v>
      </c>
      <c r="C424" s="6"/>
      <c r="J424" s="1" t="s">
        <v>7557</v>
      </c>
      <c r="K424" s="11" t="s">
        <v>11917</v>
      </c>
      <c r="P424" s="7" t="s">
        <v>1241</v>
      </c>
      <c r="Q424"/>
      <c r="R424"/>
      <c r="S424"/>
      <c r="T424"/>
      <c r="U424"/>
      <c r="V424"/>
      <c r="W424"/>
      <c r="X424"/>
      <c r="Y424"/>
      <c r="Z424"/>
      <c r="AA424"/>
      <c r="AB424"/>
      <c r="AC424"/>
      <c r="AD424"/>
      <c r="AE424"/>
      <c r="AF424"/>
      <c r="AG424"/>
      <c r="AH424"/>
      <c r="AI424"/>
      <c r="AJ424"/>
      <c r="AK424"/>
      <c r="AL424"/>
      <c r="AM424"/>
      <c r="AN424"/>
      <c r="AO424"/>
      <c r="AP424"/>
      <c r="AQ424"/>
      <c r="AR424"/>
      <c r="AS424"/>
      <c r="AT424"/>
      <c r="AU424"/>
      <c r="AV424" s="1" t="s">
        <v>38</v>
      </c>
      <c r="BG424" s="7" t="s">
        <v>1242</v>
      </c>
    </row>
    <row r="425" spans="1:59" s="1" customFormat="1" ht="90" x14ac:dyDescent="0.45">
      <c r="A425" s="5">
        <v>424</v>
      </c>
      <c r="B425" s="1" t="s">
        <v>11043</v>
      </c>
      <c r="C425" s="6"/>
      <c r="J425" s="1" t="s">
        <v>7557</v>
      </c>
      <c r="K425" s="11" t="s">
        <v>11918</v>
      </c>
      <c r="P425" s="7" t="s">
        <v>1241</v>
      </c>
      <c r="Q425"/>
      <c r="R425"/>
      <c r="S425"/>
      <c r="T425"/>
      <c r="U425"/>
      <c r="V425"/>
      <c r="W425"/>
      <c r="X425"/>
      <c r="Y425"/>
      <c r="Z425"/>
      <c r="AA425"/>
      <c r="AB425"/>
      <c r="AC425"/>
      <c r="AD425"/>
      <c r="AE425"/>
      <c r="AF425"/>
      <c r="AG425"/>
      <c r="AH425"/>
      <c r="AI425"/>
      <c r="AJ425"/>
      <c r="AK425"/>
      <c r="AL425"/>
      <c r="AM425"/>
      <c r="AN425"/>
      <c r="AO425"/>
      <c r="AP425"/>
      <c r="AQ425"/>
      <c r="AR425"/>
      <c r="AS425"/>
      <c r="AT425"/>
      <c r="AU425"/>
      <c r="AV425" s="1" t="s">
        <v>38</v>
      </c>
      <c r="BG425" s="7" t="s">
        <v>1242</v>
      </c>
    </row>
    <row r="426" spans="1:59" s="1" customFormat="1" ht="126" x14ac:dyDescent="0.45">
      <c r="A426" s="5">
        <v>425</v>
      </c>
      <c r="B426" s="1" t="s">
        <v>11044</v>
      </c>
      <c r="C426" s="6"/>
      <c r="J426" s="1" t="s">
        <v>7557</v>
      </c>
      <c r="K426" s="11" t="s">
        <v>11919</v>
      </c>
      <c r="P426" s="7" t="s">
        <v>1241</v>
      </c>
      <c r="Q426"/>
      <c r="R426"/>
      <c r="S426"/>
      <c r="T426"/>
      <c r="U426"/>
      <c r="V426"/>
      <c r="W426"/>
      <c r="X426"/>
      <c r="Y426"/>
      <c r="Z426"/>
      <c r="AA426"/>
      <c r="AB426"/>
      <c r="AC426"/>
      <c r="AD426"/>
      <c r="AE426"/>
      <c r="AF426"/>
      <c r="AG426"/>
      <c r="AH426"/>
      <c r="AI426"/>
      <c r="AJ426"/>
      <c r="AK426"/>
      <c r="AL426"/>
      <c r="AM426"/>
      <c r="AN426"/>
      <c r="AO426"/>
      <c r="AP426"/>
      <c r="AQ426"/>
      <c r="AR426"/>
      <c r="AS426"/>
      <c r="AT426"/>
      <c r="AU426"/>
      <c r="AV426" s="1" t="s">
        <v>38</v>
      </c>
      <c r="BG426" s="7" t="s">
        <v>1242</v>
      </c>
    </row>
    <row r="427" spans="1:59" s="1" customFormat="1" ht="126" x14ac:dyDescent="0.45">
      <c r="A427" s="5">
        <v>426</v>
      </c>
      <c r="B427" s="1" t="s">
        <v>11045</v>
      </c>
      <c r="C427" s="6"/>
      <c r="J427" s="1" t="s">
        <v>7557</v>
      </c>
      <c r="K427" s="11" t="s">
        <v>11920</v>
      </c>
      <c r="P427" s="7" t="s">
        <v>1241</v>
      </c>
      <c r="Q427"/>
      <c r="R427"/>
      <c r="S427"/>
      <c r="T427"/>
      <c r="U427"/>
      <c r="V427"/>
      <c r="W427"/>
      <c r="X427"/>
      <c r="Y427"/>
      <c r="Z427"/>
      <c r="AA427"/>
      <c r="AB427"/>
      <c r="AC427"/>
      <c r="AD427"/>
      <c r="AE427"/>
      <c r="AF427"/>
      <c r="AG427"/>
      <c r="AH427"/>
      <c r="AI427"/>
      <c r="AJ427"/>
      <c r="AK427"/>
      <c r="AL427"/>
      <c r="AM427"/>
      <c r="AN427"/>
      <c r="AO427"/>
      <c r="AP427"/>
      <c r="AQ427"/>
      <c r="AR427"/>
      <c r="AS427"/>
      <c r="AT427"/>
      <c r="AU427"/>
      <c r="AV427" s="1" t="s">
        <v>38</v>
      </c>
      <c r="BG427" s="7" t="s">
        <v>1242</v>
      </c>
    </row>
    <row r="428" spans="1:59" s="1" customFormat="1" ht="72" x14ac:dyDescent="0.45">
      <c r="A428" s="5">
        <v>427</v>
      </c>
      <c r="B428" s="1" t="s">
        <v>11046</v>
      </c>
      <c r="C428" s="6"/>
      <c r="J428" s="1" t="s">
        <v>7557</v>
      </c>
      <c r="K428" s="11" t="s">
        <v>11921</v>
      </c>
      <c r="P428" s="7" t="s">
        <v>1241</v>
      </c>
      <c r="Q428"/>
      <c r="R428"/>
      <c r="S428"/>
      <c r="T428"/>
      <c r="U428"/>
      <c r="V428"/>
      <c r="W428"/>
      <c r="X428"/>
      <c r="Y428"/>
      <c r="Z428"/>
      <c r="AA428"/>
      <c r="AB428"/>
      <c r="AC428"/>
      <c r="AD428"/>
      <c r="AE428"/>
      <c r="AF428"/>
      <c r="AG428"/>
      <c r="AH428"/>
      <c r="AI428"/>
      <c r="AJ428"/>
      <c r="AK428"/>
      <c r="AL428"/>
      <c r="AM428"/>
      <c r="AN428"/>
      <c r="AO428"/>
      <c r="AP428"/>
      <c r="AQ428"/>
      <c r="AR428"/>
      <c r="AS428"/>
      <c r="AT428"/>
      <c r="AU428"/>
      <c r="AV428" s="1" t="s">
        <v>38</v>
      </c>
      <c r="BG428" s="7" t="s">
        <v>1242</v>
      </c>
    </row>
    <row r="429" spans="1:59" s="1" customFormat="1" ht="90" x14ac:dyDescent="0.45">
      <c r="A429" s="5">
        <v>428</v>
      </c>
      <c r="B429" s="1" t="s">
        <v>11047</v>
      </c>
      <c r="C429" s="6"/>
      <c r="J429" s="1" t="s">
        <v>7557</v>
      </c>
      <c r="K429" s="11" t="s">
        <v>11922</v>
      </c>
      <c r="P429" s="7" t="s">
        <v>1241</v>
      </c>
      <c r="Q429"/>
      <c r="R429"/>
      <c r="S429"/>
      <c r="T429"/>
      <c r="U429"/>
      <c r="V429"/>
      <c r="W429"/>
      <c r="X429"/>
      <c r="Y429"/>
      <c r="Z429"/>
      <c r="AA429"/>
      <c r="AB429"/>
      <c r="AC429"/>
      <c r="AD429"/>
      <c r="AE429"/>
      <c r="AF429"/>
      <c r="AG429"/>
      <c r="AH429"/>
      <c r="AI429"/>
      <c r="AJ429"/>
      <c r="AK429"/>
      <c r="AL429"/>
      <c r="AM429"/>
      <c r="AN429"/>
      <c r="AO429"/>
      <c r="AP429"/>
      <c r="AQ429"/>
      <c r="AR429"/>
      <c r="AS429"/>
      <c r="AT429"/>
      <c r="AU429"/>
      <c r="AV429" s="1" t="s">
        <v>38</v>
      </c>
      <c r="BG429" s="7" t="s">
        <v>1242</v>
      </c>
    </row>
    <row r="430" spans="1:59" s="1" customFormat="1" ht="90" x14ac:dyDescent="0.45">
      <c r="A430" s="5">
        <v>429</v>
      </c>
      <c r="B430" s="1" t="s">
        <v>11048</v>
      </c>
      <c r="C430" s="6"/>
      <c r="J430" s="1" t="s">
        <v>7557</v>
      </c>
      <c r="K430" s="11" t="s">
        <v>11923</v>
      </c>
      <c r="P430" s="7" t="s">
        <v>1241</v>
      </c>
      <c r="Q430"/>
      <c r="R430"/>
      <c r="S430"/>
      <c r="T430"/>
      <c r="U430"/>
      <c r="V430"/>
      <c r="W430"/>
      <c r="X430"/>
      <c r="Y430"/>
      <c r="Z430"/>
      <c r="AA430"/>
      <c r="AB430"/>
      <c r="AC430"/>
      <c r="AD430"/>
      <c r="AE430"/>
      <c r="AF430"/>
      <c r="AG430"/>
      <c r="AH430"/>
      <c r="AI430"/>
      <c r="AJ430"/>
      <c r="AK430"/>
      <c r="AL430"/>
      <c r="AM430"/>
      <c r="AN430"/>
      <c r="AO430"/>
      <c r="AP430"/>
      <c r="AQ430"/>
      <c r="AR430"/>
      <c r="AS430"/>
      <c r="AT430"/>
      <c r="AU430"/>
      <c r="AV430" s="1" t="s">
        <v>38</v>
      </c>
      <c r="BG430" s="7" t="s">
        <v>1242</v>
      </c>
    </row>
    <row r="431" spans="1:59" s="1" customFormat="1" ht="72" x14ac:dyDescent="0.45">
      <c r="A431" s="5">
        <v>430</v>
      </c>
      <c r="B431" s="1" t="s">
        <v>11049</v>
      </c>
      <c r="C431" s="6"/>
      <c r="J431" s="1" t="s">
        <v>7557</v>
      </c>
      <c r="K431" s="11" t="s">
        <v>11924</v>
      </c>
      <c r="P431" s="7" t="s">
        <v>1241</v>
      </c>
      <c r="Q431"/>
      <c r="R431"/>
      <c r="S431"/>
      <c r="T431"/>
      <c r="U431"/>
      <c r="V431"/>
      <c r="W431"/>
      <c r="X431"/>
      <c r="Y431"/>
      <c r="Z431"/>
      <c r="AA431"/>
      <c r="AB431"/>
      <c r="AC431"/>
      <c r="AD431"/>
      <c r="AE431"/>
      <c r="AF431"/>
      <c r="AG431"/>
      <c r="AH431"/>
      <c r="AI431"/>
      <c r="AJ431"/>
      <c r="AK431"/>
      <c r="AL431"/>
      <c r="AM431"/>
      <c r="AN431"/>
      <c r="AO431"/>
      <c r="AP431"/>
      <c r="AQ431"/>
      <c r="AR431"/>
      <c r="AS431"/>
      <c r="AT431"/>
      <c r="AU431"/>
      <c r="AV431" s="1" t="s">
        <v>38</v>
      </c>
      <c r="BG431" s="7" t="s">
        <v>1242</v>
      </c>
    </row>
    <row r="432" spans="1:59" s="1" customFormat="1" ht="90" x14ac:dyDescent="0.45">
      <c r="A432" s="5">
        <v>431</v>
      </c>
      <c r="B432" s="1" t="s">
        <v>11050</v>
      </c>
      <c r="C432" s="6"/>
      <c r="J432" s="1" t="s">
        <v>7557</v>
      </c>
      <c r="K432" s="11" t="s">
        <v>11925</v>
      </c>
      <c r="P432" s="7" t="s">
        <v>1241</v>
      </c>
      <c r="Q432"/>
      <c r="R432"/>
      <c r="S432"/>
      <c r="T432"/>
      <c r="U432"/>
      <c r="V432"/>
      <c r="W432"/>
      <c r="X432"/>
      <c r="Y432"/>
      <c r="Z432"/>
      <c r="AA432"/>
      <c r="AB432"/>
      <c r="AC432"/>
      <c r="AD432"/>
      <c r="AE432"/>
      <c r="AF432"/>
      <c r="AG432"/>
      <c r="AH432"/>
      <c r="AI432"/>
      <c r="AJ432"/>
      <c r="AK432"/>
      <c r="AL432"/>
      <c r="AM432"/>
      <c r="AN432"/>
      <c r="AO432"/>
      <c r="AP432"/>
      <c r="AQ432"/>
      <c r="AR432"/>
      <c r="AS432"/>
      <c r="AT432"/>
      <c r="AU432"/>
      <c r="AV432" s="1" t="s">
        <v>38</v>
      </c>
      <c r="BG432" s="7" t="s">
        <v>1242</v>
      </c>
    </row>
    <row r="433" spans="1:59" s="1" customFormat="1" ht="126" x14ac:dyDescent="0.45">
      <c r="A433" s="5">
        <v>432</v>
      </c>
      <c r="B433" s="1" t="s">
        <v>11051</v>
      </c>
      <c r="C433" s="6"/>
      <c r="J433" s="1" t="s">
        <v>7557</v>
      </c>
      <c r="K433" s="11" t="s">
        <v>11926</v>
      </c>
      <c r="P433" s="7" t="s">
        <v>1241</v>
      </c>
      <c r="Q433"/>
      <c r="R433"/>
      <c r="S433"/>
      <c r="T433"/>
      <c r="U433"/>
      <c r="V433"/>
      <c r="W433"/>
      <c r="X433"/>
      <c r="Y433"/>
      <c r="Z433"/>
      <c r="AA433"/>
      <c r="AB433"/>
      <c r="AC433"/>
      <c r="AD433"/>
      <c r="AE433"/>
      <c r="AF433"/>
      <c r="AG433"/>
      <c r="AH433"/>
      <c r="AI433"/>
      <c r="AJ433"/>
      <c r="AK433"/>
      <c r="AL433"/>
      <c r="AM433"/>
      <c r="AN433"/>
      <c r="AO433"/>
      <c r="AP433"/>
      <c r="AQ433"/>
      <c r="AR433"/>
      <c r="AS433"/>
      <c r="AT433"/>
      <c r="AU433"/>
      <c r="AV433" s="1" t="s">
        <v>38</v>
      </c>
      <c r="BG433" s="7" t="s">
        <v>1242</v>
      </c>
    </row>
    <row r="434" spans="1:59" s="1" customFormat="1" ht="54" x14ac:dyDescent="0.45">
      <c r="A434" s="5">
        <v>433</v>
      </c>
      <c r="B434" s="1" t="s">
        <v>11052</v>
      </c>
      <c r="C434" s="6"/>
      <c r="J434" s="1" t="s">
        <v>7557</v>
      </c>
      <c r="K434" s="2" t="s">
        <v>10345</v>
      </c>
      <c r="P434" s="7" t="s">
        <v>1241</v>
      </c>
      <c r="Q434"/>
      <c r="R434"/>
      <c r="S434"/>
      <c r="T434"/>
      <c r="U434"/>
      <c r="V434"/>
      <c r="W434"/>
      <c r="X434"/>
      <c r="Y434"/>
      <c r="Z434"/>
      <c r="AA434"/>
      <c r="AB434"/>
      <c r="AC434"/>
      <c r="AD434"/>
      <c r="AE434"/>
      <c r="AF434"/>
      <c r="AG434"/>
      <c r="AH434"/>
      <c r="AI434"/>
      <c r="AJ434"/>
      <c r="AK434"/>
      <c r="AL434"/>
      <c r="AM434"/>
      <c r="AN434"/>
      <c r="AO434"/>
      <c r="AP434"/>
      <c r="AQ434"/>
      <c r="AR434"/>
      <c r="AS434"/>
      <c r="AT434"/>
      <c r="AU434"/>
      <c r="AV434" s="1" t="s">
        <v>38</v>
      </c>
      <c r="BG434" s="7" t="s">
        <v>1242</v>
      </c>
    </row>
    <row r="435" spans="1:59" s="1" customFormat="1" ht="90" x14ac:dyDescent="0.45">
      <c r="A435" s="5">
        <v>434</v>
      </c>
      <c r="B435" s="1" t="s">
        <v>11053</v>
      </c>
      <c r="C435" s="6"/>
      <c r="J435" s="1" t="s">
        <v>7557</v>
      </c>
      <c r="K435" s="11" t="s">
        <v>11927</v>
      </c>
      <c r="P435" s="7" t="s">
        <v>1241</v>
      </c>
      <c r="Q435"/>
      <c r="R435"/>
      <c r="S435"/>
      <c r="T435"/>
      <c r="U435"/>
      <c r="V435"/>
      <c r="W435"/>
      <c r="X435"/>
      <c r="Y435"/>
      <c r="Z435"/>
      <c r="AA435"/>
      <c r="AB435"/>
      <c r="AC435"/>
      <c r="AD435"/>
      <c r="AE435"/>
      <c r="AF435"/>
      <c r="AG435"/>
      <c r="AH435"/>
      <c r="AI435"/>
      <c r="AJ435"/>
      <c r="AK435"/>
      <c r="AL435"/>
      <c r="AM435"/>
      <c r="AN435"/>
      <c r="AO435"/>
      <c r="AP435"/>
      <c r="AQ435"/>
      <c r="AR435"/>
      <c r="AS435"/>
      <c r="AT435"/>
      <c r="AU435"/>
      <c r="AV435" s="1" t="s">
        <v>38</v>
      </c>
      <c r="BG435" s="7" t="s">
        <v>1242</v>
      </c>
    </row>
    <row r="436" spans="1:59" s="1" customFormat="1" ht="108" x14ac:dyDescent="0.45">
      <c r="A436" s="5">
        <v>435</v>
      </c>
      <c r="B436" s="1" t="s">
        <v>11054</v>
      </c>
      <c r="C436" s="6"/>
      <c r="J436" s="1" t="s">
        <v>7557</v>
      </c>
      <c r="K436" s="11" t="s">
        <v>11928</v>
      </c>
      <c r="P436" s="7" t="s">
        <v>1241</v>
      </c>
      <c r="Q436"/>
      <c r="R436"/>
      <c r="S436"/>
      <c r="T436"/>
      <c r="U436"/>
      <c r="V436"/>
      <c r="W436"/>
      <c r="X436"/>
      <c r="Y436"/>
      <c r="Z436"/>
      <c r="AA436"/>
      <c r="AB436"/>
      <c r="AC436"/>
      <c r="AD436"/>
      <c r="AE436"/>
      <c r="AF436"/>
      <c r="AG436"/>
      <c r="AH436"/>
      <c r="AI436"/>
      <c r="AJ436"/>
      <c r="AK436"/>
      <c r="AL436"/>
      <c r="AM436"/>
      <c r="AN436"/>
      <c r="AO436"/>
      <c r="AP436"/>
      <c r="AQ436"/>
      <c r="AR436"/>
      <c r="AS436"/>
      <c r="AT436"/>
      <c r="AU436"/>
      <c r="AV436" s="1" t="s">
        <v>38</v>
      </c>
      <c r="BG436" s="7" t="s">
        <v>1242</v>
      </c>
    </row>
    <row r="437" spans="1:59" s="1" customFormat="1" ht="126" x14ac:dyDescent="0.45">
      <c r="A437" s="5">
        <v>436</v>
      </c>
      <c r="B437" s="1" t="s">
        <v>11055</v>
      </c>
      <c r="C437" s="6"/>
      <c r="J437" s="1" t="s">
        <v>7557</v>
      </c>
      <c r="K437" s="11" t="s">
        <v>11929</v>
      </c>
      <c r="P437" s="7" t="s">
        <v>1241</v>
      </c>
      <c r="Q437"/>
      <c r="R437"/>
      <c r="S437"/>
      <c r="T437"/>
      <c r="U437"/>
      <c r="V437"/>
      <c r="W437"/>
      <c r="X437"/>
      <c r="Y437"/>
      <c r="Z437"/>
      <c r="AA437"/>
      <c r="AB437"/>
      <c r="AC437"/>
      <c r="AD437"/>
      <c r="AE437"/>
      <c r="AF437"/>
      <c r="AG437"/>
      <c r="AH437"/>
      <c r="AI437"/>
      <c r="AJ437"/>
      <c r="AK437"/>
      <c r="AL437"/>
      <c r="AM437"/>
      <c r="AN437"/>
      <c r="AO437"/>
      <c r="AP437"/>
      <c r="AQ437"/>
      <c r="AR437"/>
      <c r="AS437"/>
      <c r="AT437"/>
      <c r="AU437"/>
      <c r="AV437" s="1" t="s">
        <v>38</v>
      </c>
      <c r="BG437" s="7" t="s">
        <v>1242</v>
      </c>
    </row>
    <row r="438" spans="1:59" s="1" customFormat="1" ht="108" x14ac:dyDescent="0.45">
      <c r="A438" s="5">
        <v>437</v>
      </c>
      <c r="B438" s="1" t="s">
        <v>11056</v>
      </c>
      <c r="C438" s="6"/>
      <c r="J438" s="1" t="s">
        <v>7557</v>
      </c>
      <c r="K438" s="11" t="s">
        <v>11930</v>
      </c>
      <c r="P438" s="7" t="s">
        <v>1241</v>
      </c>
      <c r="Q438"/>
      <c r="R438"/>
      <c r="S438"/>
      <c r="T438"/>
      <c r="U438"/>
      <c r="V438"/>
      <c r="W438"/>
      <c r="X438"/>
      <c r="Y438"/>
      <c r="Z438"/>
      <c r="AA438"/>
      <c r="AB438"/>
      <c r="AC438"/>
      <c r="AD438"/>
      <c r="AE438"/>
      <c r="AF438"/>
      <c r="AG438"/>
      <c r="AH438"/>
      <c r="AI438"/>
      <c r="AJ438"/>
      <c r="AK438"/>
      <c r="AL438"/>
      <c r="AM438"/>
      <c r="AN438"/>
      <c r="AO438"/>
      <c r="AP438"/>
      <c r="AQ438"/>
      <c r="AR438"/>
      <c r="AS438"/>
      <c r="AT438"/>
      <c r="AU438"/>
      <c r="AV438" s="1" t="s">
        <v>38</v>
      </c>
      <c r="BG438" s="7" t="s">
        <v>1242</v>
      </c>
    </row>
    <row r="439" spans="1:59" s="1" customFormat="1" ht="108" x14ac:dyDescent="0.45">
      <c r="A439" s="5">
        <v>438</v>
      </c>
      <c r="B439" s="1" t="s">
        <v>11057</v>
      </c>
      <c r="C439" s="6"/>
      <c r="J439" s="1" t="s">
        <v>7557</v>
      </c>
      <c r="K439" s="11" t="s">
        <v>11931</v>
      </c>
      <c r="P439" s="7" t="s">
        <v>1241</v>
      </c>
      <c r="Q439"/>
      <c r="R439"/>
      <c r="S439"/>
      <c r="T439"/>
      <c r="U439"/>
      <c r="V439"/>
      <c r="W439"/>
      <c r="X439"/>
      <c r="Y439"/>
      <c r="Z439"/>
      <c r="AA439"/>
      <c r="AB439"/>
      <c r="AC439"/>
      <c r="AD439"/>
      <c r="AE439"/>
      <c r="AF439"/>
      <c r="AG439"/>
      <c r="AH439"/>
      <c r="AI439"/>
      <c r="AJ439"/>
      <c r="AK439"/>
      <c r="AL439"/>
      <c r="AM439"/>
      <c r="AN439"/>
      <c r="AO439"/>
      <c r="AP439"/>
      <c r="AQ439"/>
      <c r="AR439"/>
      <c r="AS439"/>
      <c r="AT439"/>
      <c r="AU439"/>
      <c r="AV439" s="1" t="s">
        <v>38</v>
      </c>
      <c r="BG439" s="7" t="s">
        <v>1242</v>
      </c>
    </row>
    <row r="440" spans="1:59" s="1" customFormat="1" ht="126" x14ac:dyDescent="0.45">
      <c r="A440" s="5">
        <v>439</v>
      </c>
      <c r="B440" s="1" t="s">
        <v>11058</v>
      </c>
      <c r="C440" s="6"/>
      <c r="J440" s="1" t="s">
        <v>7557</v>
      </c>
      <c r="K440" s="11" t="s">
        <v>11932</v>
      </c>
      <c r="P440" s="7" t="s">
        <v>1241</v>
      </c>
      <c r="Q440"/>
      <c r="R440"/>
      <c r="S440"/>
      <c r="T440"/>
      <c r="U440"/>
      <c r="V440"/>
      <c r="W440"/>
      <c r="X440"/>
      <c r="Y440"/>
      <c r="Z440"/>
      <c r="AA440"/>
      <c r="AB440"/>
      <c r="AC440"/>
      <c r="AD440"/>
      <c r="AE440"/>
      <c r="AF440"/>
      <c r="AG440"/>
      <c r="AH440"/>
      <c r="AI440"/>
      <c r="AJ440"/>
      <c r="AK440"/>
      <c r="AL440"/>
      <c r="AM440"/>
      <c r="AN440"/>
      <c r="AO440"/>
      <c r="AP440"/>
      <c r="AQ440"/>
      <c r="AR440"/>
      <c r="AS440"/>
      <c r="AT440"/>
      <c r="AU440"/>
      <c r="AV440" s="1" t="s">
        <v>38</v>
      </c>
      <c r="BG440" s="7" t="s">
        <v>1242</v>
      </c>
    </row>
    <row r="441" spans="1:59" s="1" customFormat="1" ht="90" x14ac:dyDescent="0.45">
      <c r="A441" s="5">
        <v>440</v>
      </c>
      <c r="B441" s="1" t="s">
        <v>11059</v>
      </c>
      <c r="C441" s="6"/>
      <c r="J441" s="1" t="s">
        <v>7557</v>
      </c>
      <c r="K441" s="11" t="s">
        <v>11933</v>
      </c>
      <c r="P441" s="7" t="s">
        <v>1241</v>
      </c>
      <c r="Q441"/>
      <c r="R441"/>
      <c r="S441"/>
      <c r="T441"/>
      <c r="U441"/>
      <c r="V441"/>
      <c r="W441"/>
      <c r="X441"/>
      <c r="Y441"/>
      <c r="Z441"/>
      <c r="AA441"/>
      <c r="AB441"/>
      <c r="AC441"/>
      <c r="AD441"/>
      <c r="AE441"/>
      <c r="AF441"/>
      <c r="AG441"/>
      <c r="AH441"/>
      <c r="AI441"/>
      <c r="AJ441"/>
      <c r="AK441"/>
      <c r="AL441"/>
      <c r="AM441"/>
      <c r="AN441"/>
      <c r="AO441"/>
      <c r="AP441"/>
      <c r="AQ441"/>
      <c r="AR441"/>
      <c r="AS441"/>
      <c r="AT441"/>
      <c r="AU441"/>
      <c r="AV441" s="1" t="s">
        <v>38</v>
      </c>
      <c r="BG441" s="7" t="s">
        <v>1242</v>
      </c>
    </row>
    <row r="442" spans="1:59" s="1" customFormat="1" ht="126" x14ac:dyDescent="0.45">
      <c r="A442" s="5">
        <v>441</v>
      </c>
      <c r="B442" s="1" t="s">
        <v>11060</v>
      </c>
      <c r="C442" s="6"/>
      <c r="J442" s="1" t="s">
        <v>7557</v>
      </c>
      <c r="K442" s="11" t="s">
        <v>11934</v>
      </c>
      <c r="P442" s="7" t="s">
        <v>1241</v>
      </c>
      <c r="Q442"/>
      <c r="R442"/>
      <c r="S442"/>
      <c r="T442"/>
      <c r="U442"/>
      <c r="V442"/>
      <c r="W442"/>
      <c r="X442"/>
      <c r="Y442"/>
      <c r="Z442"/>
      <c r="AA442"/>
      <c r="AB442"/>
      <c r="AC442"/>
      <c r="AD442"/>
      <c r="AE442"/>
      <c r="AF442"/>
      <c r="AG442"/>
      <c r="AH442"/>
      <c r="AI442"/>
      <c r="AJ442"/>
      <c r="AK442"/>
      <c r="AL442"/>
      <c r="AM442"/>
      <c r="AN442"/>
      <c r="AO442"/>
      <c r="AP442"/>
      <c r="AQ442"/>
      <c r="AR442"/>
      <c r="AS442"/>
      <c r="AT442"/>
      <c r="AU442"/>
      <c r="AV442" s="1" t="s">
        <v>38</v>
      </c>
      <c r="BG442" s="7" t="s">
        <v>1242</v>
      </c>
    </row>
    <row r="443" spans="1:59" s="1" customFormat="1" ht="108" x14ac:dyDescent="0.45">
      <c r="A443" s="5">
        <v>442</v>
      </c>
      <c r="B443" s="1" t="s">
        <v>11676</v>
      </c>
      <c r="C443" s="6"/>
      <c r="J443" s="1" t="s">
        <v>7557</v>
      </c>
      <c r="K443" s="11" t="s">
        <v>11935</v>
      </c>
      <c r="P443" s="7" t="s">
        <v>1241</v>
      </c>
      <c r="Q443"/>
      <c r="R443"/>
      <c r="S443"/>
      <c r="T443"/>
      <c r="U443"/>
      <c r="V443"/>
      <c r="W443"/>
      <c r="X443"/>
      <c r="Y443"/>
      <c r="Z443"/>
      <c r="AA443"/>
      <c r="AB443"/>
      <c r="AC443"/>
      <c r="AD443"/>
      <c r="AE443"/>
      <c r="AF443"/>
      <c r="AG443"/>
      <c r="AH443"/>
      <c r="AI443"/>
      <c r="AJ443"/>
      <c r="AK443"/>
      <c r="AL443"/>
      <c r="AM443"/>
      <c r="AN443"/>
      <c r="AO443"/>
      <c r="AP443"/>
      <c r="AQ443"/>
      <c r="AR443"/>
      <c r="AS443"/>
      <c r="AT443"/>
      <c r="AU443"/>
      <c r="AV443" s="1" t="s">
        <v>38</v>
      </c>
      <c r="BG443" s="7" t="s">
        <v>1242</v>
      </c>
    </row>
    <row r="444" spans="1:59" s="1" customFormat="1" ht="90" x14ac:dyDescent="0.45">
      <c r="A444" s="5">
        <v>443</v>
      </c>
      <c r="B444" s="1" t="s">
        <v>11061</v>
      </c>
      <c r="C444" s="6"/>
      <c r="J444" s="1" t="s">
        <v>7557</v>
      </c>
      <c r="K444" s="2" t="s">
        <v>10346</v>
      </c>
      <c r="P444" s="7" t="s">
        <v>1241</v>
      </c>
      <c r="Q444"/>
      <c r="R444"/>
      <c r="S444"/>
      <c r="T444"/>
      <c r="U444"/>
      <c r="V444"/>
      <c r="W444"/>
      <c r="X444"/>
      <c r="Y444"/>
      <c r="Z444"/>
      <c r="AA444"/>
      <c r="AB444"/>
      <c r="AC444"/>
      <c r="AD444"/>
      <c r="AE444"/>
      <c r="AF444"/>
      <c r="AG444"/>
      <c r="AH444"/>
      <c r="AI444"/>
      <c r="AJ444"/>
      <c r="AK444"/>
      <c r="AL444"/>
      <c r="AM444"/>
      <c r="AN444"/>
      <c r="AO444"/>
      <c r="AP444"/>
      <c r="AQ444"/>
      <c r="AR444"/>
      <c r="AS444"/>
      <c r="AT444"/>
      <c r="AU444"/>
      <c r="AV444" s="1" t="s">
        <v>38</v>
      </c>
      <c r="BG444" s="7" t="s">
        <v>1242</v>
      </c>
    </row>
    <row r="445" spans="1:59" s="1" customFormat="1" ht="108" x14ac:dyDescent="0.45">
      <c r="A445" s="5">
        <v>444</v>
      </c>
      <c r="B445" s="1" t="s">
        <v>11062</v>
      </c>
      <c r="C445" s="6"/>
      <c r="J445" s="1" t="s">
        <v>7557</v>
      </c>
      <c r="K445" s="11" t="s">
        <v>11936</v>
      </c>
      <c r="P445" s="7" t="s">
        <v>1241</v>
      </c>
      <c r="Q445"/>
      <c r="R445"/>
      <c r="S445"/>
      <c r="T445"/>
      <c r="U445"/>
      <c r="V445"/>
      <c r="W445"/>
      <c r="X445"/>
      <c r="Y445"/>
      <c r="Z445"/>
      <c r="AA445"/>
      <c r="AB445"/>
      <c r="AC445"/>
      <c r="AD445"/>
      <c r="AE445"/>
      <c r="AF445"/>
      <c r="AG445"/>
      <c r="AH445"/>
      <c r="AI445"/>
      <c r="AJ445"/>
      <c r="AK445"/>
      <c r="AL445"/>
      <c r="AM445"/>
      <c r="AN445"/>
      <c r="AO445"/>
      <c r="AP445"/>
      <c r="AQ445"/>
      <c r="AR445"/>
      <c r="AS445"/>
      <c r="AT445"/>
      <c r="AU445"/>
      <c r="AV445" s="1" t="s">
        <v>38</v>
      </c>
      <c r="BG445" s="7" t="s">
        <v>1242</v>
      </c>
    </row>
    <row r="446" spans="1:59" s="1" customFormat="1" ht="72" x14ac:dyDescent="0.45">
      <c r="A446" s="5">
        <v>445</v>
      </c>
      <c r="B446" s="1" t="s">
        <v>11063</v>
      </c>
      <c r="C446" s="6"/>
      <c r="J446" s="1" t="s">
        <v>7557</v>
      </c>
      <c r="K446" s="11" t="s">
        <v>11937</v>
      </c>
      <c r="P446" s="7" t="s">
        <v>1241</v>
      </c>
      <c r="Q446"/>
      <c r="R446"/>
      <c r="S446"/>
      <c r="T446"/>
      <c r="U446"/>
      <c r="V446"/>
      <c r="W446"/>
      <c r="X446"/>
      <c r="Y446"/>
      <c r="Z446"/>
      <c r="AA446"/>
      <c r="AB446"/>
      <c r="AC446"/>
      <c r="AD446"/>
      <c r="AE446"/>
      <c r="AF446"/>
      <c r="AG446"/>
      <c r="AH446"/>
      <c r="AI446"/>
      <c r="AJ446"/>
      <c r="AK446"/>
      <c r="AL446"/>
      <c r="AM446"/>
      <c r="AN446"/>
      <c r="AO446"/>
      <c r="AP446"/>
      <c r="AQ446"/>
      <c r="AR446"/>
      <c r="AS446"/>
      <c r="AT446"/>
      <c r="AU446"/>
      <c r="AV446" s="1" t="s">
        <v>38</v>
      </c>
      <c r="BG446" s="7" t="s">
        <v>1242</v>
      </c>
    </row>
    <row r="447" spans="1:59" s="1" customFormat="1" ht="54" x14ac:dyDescent="0.45">
      <c r="A447" s="5">
        <v>446</v>
      </c>
      <c r="B447" s="1" t="s">
        <v>11064</v>
      </c>
      <c r="C447" s="6"/>
      <c r="J447" s="1" t="s">
        <v>7557</v>
      </c>
      <c r="K447" s="2" t="s">
        <v>10347</v>
      </c>
      <c r="P447" s="7" t="s">
        <v>1241</v>
      </c>
      <c r="Q447"/>
      <c r="R447"/>
      <c r="S447"/>
      <c r="T447"/>
      <c r="U447"/>
      <c r="V447"/>
      <c r="W447"/>
      <c r="X447"/>
      <c r="Y447"/>
      <c r="Z447"/>
      <c r="AA447"/>
      <c r="AB447"/>
      <c r="AC447"/>
      <c r="AD447"/>
      <c r="AE447"/>
      <c r="AF447"/>
      <c r="AG447"/>
      <c r="AH447"/>
      <c r="AI447"/>
      <c r="AJ447"/>
      <c r="AK447"/>
      <c r="AL447"/>
      <c r="AM447"/>
      <c r="AN447"/>
      <c r="AO447"/>
      <c r="AP447"/>
      <c r="AQ447"/>
      <c r="AR447"/>
      <c r="AS447"/>
      <c r="AT447"/>
      <c r="AU447"/>
      <c r="AV447" s="1" t="s">
        <v>38</v>
      </c>
      <c r="BG447" s="7" t="s">
        <v>1242</v>
      </c>
    </row>
    <row r="448" spans="1:59" s="1" customFormat="1" ht="108" x14ac:dyDescent="0.45">
      <c r="A448" s="5">
        <v>447</v>
      </c>
      <c r="B448" s="1" t="s">
        <v>11065</v>
      </c>
      <c r="C448" s="6"/>
      <c r="J448" s="1" t="s">
        <v>7557</v>
      </c>
      <c r="K448" s="2" t="s">
        <v>11720</v>
      </c>
      <c r="P448" s="7" t="s">
        <v>1241</v>
      </c>
      <c r="Q448"/>
      <c r="R448"/>
      <c r="S448"/>
      <c r="T448"/>
      <c r="U448"/>
      <c r="V448"/>
      <c r="W448"/>
      <c r="X448"/>
      <c r="Y448"/>
      <c r="Z448"/>
      <c r="AA448"/>
      <c r="AB448"/>
      <c r="AC448"/>
      <c r="AD448"/>
      <c r="AE448"/>
      <c r="AF448"/>
      <c r="AG448"/>
      <c r="AH448"/>
      <c r="AI448"/>
      <c r="AJ448"/>
      <c r="AK448"/>
      <c r="AL448"/>
      <c r="AM448"/>
      <c r="AN448"/>
      <c r="AO448"/>
      <c r="AP448"/>
      <c r="AQ448"/>
      <c r="AR448"/>
      <c r="AS448"/>
      <c r="AT448"/>
      <c r="AU448"/>
      <c r="AV448" s="1" t="s">
        <v>38</v>
      </c>
      <c r="BG448" s="7" t="s">
        <v>1242</v>
      </c>
    </row>
    <row r="449" spans="1:59" s="1" customFormat="1" ht="108" x14ac:dyDescent="0.45">
      <c r="A449" s="5">
        <v>448</v>
      </c>
      <c r="B449" s="1" t="s">
        <v>11066</v>
      </c>
      <c r="C449" s="6"/>
      <c r="J449" s="1" t="s">
        <v>7557</v>
      </c>
      <c r="K449" s="11" t="s">
        <v>11938</v>
      </c>
      <c r="P449" s="7" t="s">
        <v>1241</v>
      </c>
      <c r="Q449"/>
      <c r="R449"/>
      <c r="S449"/>
      <c r="T449"/>
      <c r="U449"/>
      <c r="V449"/>
      <c r="W449"/>
      <c r="X449"/>
      <c r="Y449"/>
      <c r="Z449"/>
      <c r="AA449"/>
      <c r="AB449"/>
      <c r="AC449"/>
      <c r="AD449"/>
      <c r="AE449"/>
      <c r="AF449"/>
      <c r="AG449"/>
      <c r="AH449"/>
      <c r="AI449"/>
      <c r="AJ449"/>
      <c r="AK449"/>
      <c r="AL449"/>
      <c r="AM449"/>
      <c r="AN449"/>
      <c r="AO449"/>
      <c r="AP449"/>
      <c r="AQ449"/>
      <c r="AR449"/>
      <c r="AS449"/>
      <c r="AT449"/>
      <c r="AU449"/>
      <c r="AV449" s="1" t="s">
        <v>38</v>
      </c>
      <c r="BG449" s="7" t="s">
        <v>1242</v>
      </c>
    </row>
    <row r="450" spans="1:59" s="1" customFormat="1" ht="90" x14ac:dyDescent="0.45">
      <c r="A450" s="5">
        <v>449</v>
      </c>
      <c r="B450" s="1" t="s">
        <v>11067</v>
      </c>
      <c r="C450" s="6"/>
      <c r="J450" s="1" t="s">
        <v>7557</v>
      </c>
      <c r="K450" s="11" t="s">
        <v>11939</v>
      </c>
      <c r="P450" s="7" t="s">
        <v>1241</v>
      </c>
      <c r="Q450"/>
      <c r="R450"/>
      <c r="S450"/>
      <c r="T450"/>
      <c r="U450"/>
      <c r="V450"/>
      <c r="W450"/>
      <c r="X450"/>
      <c r="Y450"/>
      <c r="Z450"/>
      <c r="AA450"/>
      <c r="AB450"/>
      <c r="AC450"/>
      <c r="AD450"/>
      <c r="AE450"/>
      <c r="AF450"/>
      <c r="AG450"/>
      <c r="AH450"/>
      <c r="AI450"/>
      <c r="AJ450"/>
      <c r="AK450"/>
      <c r="AL450"/>
      <c r="AM450"/>
      <c r="AN450"/>
      <c r="AO450"/>
      <c r="AP450"/>
      <c r="AQ450"/>
      <c r="AR450"/>
      <c r="AS450"/>
      <c r="AT450"/>
      <c r="AU450"/>
      <c r="AV450" s="1" t="s">
        <v>38</v>
      </c>
      <c r="BG450" s="7" t="s">
        <v>1242</v>
      </c>
    </row>
    <row r="451" spans="1:59" s="1" customFormat="1" ht="72" x14ac:dyDescent="0.45">
      <c r="A451" s="5">
        <v>450</v>
      </c>
      <c r="B451" s="1" t="s">
        <v>11068</v>
      </c>
      <c r="C451" s="6"/>
      <c r="J451" s="1" t="s">
        <v>7557</v>
      </c>
      <c r="K451" s="2" t="s">
        <v>10348</v>
      </c>
      <c r="P451" s="7" t="s">
        <v>1241</v>
      </c>
      <c r="Q451"/>
      <c r="R451"/>
      <c r="S451"/>
      <c r="T451"/>
      <c r="U451"/>
      <c r="V451"/>
      <c r="W451"/>
      <c r="X451"/>
      <c r="Y451"/>
      <c r="Z451"/>
      <c r="AA451"/>
      <c r="AB451"/>
      <c r="AC451"/>
      <c r="AD451"/>
      <c r="AE451"/>
      <c r="AF451"/>
      <c r="AG451"/>
      <c r="AH451"/>
      <c r="AI451"/>
      <c r="AJ451"/>
      <c r="AK451"/>
      <c r="AL451"/>
      <c r="AM451"/>
      <c r="AN451"/>
      <c r="AO451"/>
      <c r="AP451"/>
      <c r="AQ451"/>
      <c r="AR451"/>
      <c r="AS451"/>
      <c r="AT451"/>
      <c r="AU451"/>
      <c r="AV451" s="1" t="s">
        <v>38</v>
      </c>
      <c r="BG451" s="7" t="s">
        <v>1242</v>
      </c>
    </row>
    <row r="452" spans="1:59" s="1" customFormat="1" ht="108" x14ac:dyDescent="0.45">
      <c r="A452" s="5">
        <v>451</v>
      </c>
      <c r="B452" s="1" t="s">
        <v>11069</v>
      </c>
      <c r="C452" s="6"/>
      <c r="J452" s="1" t="s">
        <v>7557</v>
      </c>
      <c r="K452" s="2" t="s">
        <v>10349</v>
      </c>
      <c r="P452" s="7" t="s">
        <v>1241</v>
      </c>
      <c r="Q452"/>
      <c r="R452"/>
      <c r="S452"/>
      <c r="T452"/>
      <c r="U452"/>
      <c r="V452"/>
      <c r="W452"/>
      <c r="X452"/>
      <c r="Y452"/>
      <c r="Z452"/>
      <c r="AA452"/>
      <c r="AB452"/>
      <c r="AC452"/>
      <c r="AD452"/>
      <c r="AE452"/>
      <c r="AF452"/>
      <c r="AG452"/>
      <c r="AH452"/>
      <c r="AI452"/>
      <c r="AJ452"/>
      <c r="AK452"/>
      <c r="AL452"/>
      <c r="AM452"/>
      <c r="AN452"/>
      <c r="AO452"/>
      <c r="AP452"/>
      <c r="AQ452"/>
      <c r="AR452"/>
      <c r="AS452"/>
      <c r="AT452"/>
      <c r="AU452"/>
      <c r="AV452" s="1" t="s">
        <v>38</v>
      </c>
      <c r="BG452" s="7" t="s">
        <v>1242</v>
      </c>
    </row>
    <row r="453" spans="1:59" s="1" customFormat="1" ht="216" x14ac:dyDescent="0.45">
      <c r="A453" s="5">
        <v>452</v>
      </c>
      <c r="B453" s="1" t="s">
        <v>11070</v>
      </c>
      <c r="C453" s="6"/>
      <c r="J453" s="1" t="s">
        <v>7557</v>
      </c>
      <c r="K453" s="2" t="s">
        <v>10350</v>
      </c>
      <c r="P453" s="7" t="s">
        <v>1241</v>
      </c>
      <c r="Q453"/>
      <c r="R453"/>
      <c r="S453"/>
      <c r="T453"/>
      <c r="U453"/>
      <c r="V453"/>
      <c r="W453"/>
      <c r="X453"/>
      <c r="Y453"/>
      <c r="Z453"/>
      <c r="AA453"/>
      <c r="AB453"/>
      <c r="AC453"/>
      <c r="AD453"/>
      <c r="AE453"/>
      <c r="AF453"/>
      <c r="AG453"/>
      <c r="AH453"/>
      <c r="AI453"/>
      <c r="AJ453"/>
      <c r="AK453"/>
      <c r="AL453"/>
      <c r="AM453"/>
      <c r="AN453"/>
      <c r="AO453"/>
      <c r="AP453"/>
      <c r="AQ453"/>
      <c r="AR453"/>
      <c r="AS453"/>
      <c r="AT453"/>
      <c r="AU453"/>
      <c r="AV453" s="1" t="s">
        <v>38</v>
      </c>
      <c r="BG453" s="7" t="s">
        <v>1242</v>
      </c>
    </row>
    <row r="454" spans="1:59" s="1" customFormat="1" ht="108" x14ac:dyDescent="0.45">
      <c r="A454" s="5">
        <v>453</v>
      </c>
      <c r="B454" s="1" t="s">
        <v>11071</v>
      </c>
      <c r="C454" s="6"/>
      <c r="J454" s="1" t="s">
        <v>7557</v>
      </c>
      <c r="K454" s="2" t="s">
        <v>10351</v>
      </c>
      <c r="P454" s="7" t="s">
        <v>1241</v>
      </c>
      <c r="Q454"/>
      <c r="R454"/>
      <c r="S454"/>
      <c r="T454"/>
      <c r="U454"/>
      <c r="V454"/>
      <c r="W454"/>
      <c r="X454"/>
      <c r="Y454"/>
      <c r="Z454"/>
      <c r="AA454"/>
      <c r="AB454"/>
      <c r="AC454"/>
      <c r="AD454"/>
      <c r="AE454"/>
      <c r="AF454"/>
      <c r="AG454"/>
      <c r="AH454"/>
      <c r="AI454"/>
      <c r="AJ454"/>
      <c r="AK454"/>
      <c r="AL454"/>
      <c r="AM454"/>
      <c r="AN454"/>
      <c r="AO454"/>
      <c r="AP454"/>
      <c r="AQ454"/>
      <c r="AR454"/>
      <c r="AS454"/>
      <c r="AT454"/>
      <c r="AU454"/>
      <c r="AV454" s="1" t="s">
        <v>38</v>
      </c>
      <c r="BG454" s="7" t="s">
        <v>1242</v>
      </c>
    </row>
    <row r="455" spans="1:59" s="1" customFormat="1" ht="90" x14ac:dyDescent="0.45">
      <c r="A455" s="5">
        <v>454</v>
      </c>
      <c r="B455" s="1" t="s">
        <v>11072</v>
      </c>
      <c r="C455" s="6"/>
      <c r="J455" s="1" t="s">
        <v>7557</v>
      </c>
      <c r="K455" s="11" t="s">
        <v>11940</v>
      </c>
      <c r="P455" s="7" t="s">
        <v>1241</v>
      </c>
      <c r="Q455"/>
      <c r="R455"/>
      <c r="S455"/>
      <c r="T455"/>
      <c r="U455"/>
      <c r="V455"/>
      <c r="W455"/>
      <c r="X455"/>
      <c r="Y455"/>
      <c r="Z455"/>
      <c r="AA455"/>
      <c r="AB455"/>
      <c r="AC455"/>
      <c r="AD455"/>
      <c r="AE455"/>
      <c r="AF455"/>
      <c r="AG455"/>
      <c r="AH455"/>
      <c r="AI455"/>
      <c r="AJ455"/>
      <c r="AK455"/>
      <c r="AL455"/>
      <c r="AM455"/>
      <c r="AN455"/>
      <c r="AO455"/>
      <c r="AP455"/>
      <c r="AQ455"/>
      <c r="AR455"/>
      <c r="AS455"/>
      <c r="AT455"/>
      <c r="AU455"/>
      <c r="AV455" s="1" t="s">
        <v>38</v>
      </c>
      <c r="BG455" s="7" t="s">
        <v>1242</v>
      </c>
    </row>
    <row r="456" spans="1:59" s="1" customFormat="1" ht="108" x14ac:dyDescent="0.45">
      <c r="A456" s="5">
        <v>455</v>
      </c>
      <c r="B456" s="1" t="s">
        <v>11073</v>
      </c>
      <c r="C456" s="6"/>
      <c r="J456" s="1" t="s">
        <v>7557</v>
      </c>
      <c r="K456" s="2" t="s">
        <v>10352</v>
      </c>
      <c r="P456" s="7" t="s">
        <v>1241</v>
      </c>
      <c r="Q456"/>
      <c r="R456"/>
      <c r="S456"/>
      <c r="T456"/>
      <c r="U456"/>
      <c r="V456"/>
      <c r="W456"/>
      <c r="X456"/>
      <c r="Y456"/>
      <c r="Z456"/>
      <c r="AA456"/>
      <c r="AB456"/>
      <c r="AC456"/>
      <c r="AD456"/>
      <c r="AE456"/>
      <c r="AF456"/>
      <c r="AG456"/>
      <c r="AH456"/>
      <c r="AI456"/>
      <c r="AJ456"/>
      <c r="AK456"/>
      <c r="AL456"/>
      <c r="AM456"/>
      <c r="AN456"/>
      <c r="AO456"/>
      <c r="AP456"/>
      <c r="AQ456"/>
      <c r="AR456"/>
      <c r="AS456"/>
      <c r="AT456"/>
      <c r="AU456"/>
      <c r="AV456" s="1" t="s">
        <v>38</v>
      </c>
      <c r="BG456" s="7" t="s">
        <v>1242</v>
      </c>
    </row>
    <row r="457" spans="1:59" s="1" customFormat="1" ht="144" x14ac:dyDescent="0.45">
      <c r="A457" s="5">
        <v>456</v>
      </c>
      <c r="B457" s="1" t="s">
        <v>11074</v>
      </c>
      <c r="C457" s="6"/>
      <c r="J457" s="1" t="s">
        <v>7557</v>
      </c>
      <c r="K457" s="11" t="s">
        <v>11941</v>
      </c>
      <c r="P457" s="7" t="s">
        <v>1241</v>
      </c>
      <c r="Q457"/>
      <c r="R457"/>
      <c r="S457"/>
      <c r="T457"/>
      <c r="U457"/>
      <c r="V457"/>
      <c r="W457"/>
      <c r="X457"/>
      <c r="Y457"/>
      <c r="Z457"/>
      <c r="AA457"/>
      <c r="AB457"/>
      <c r="AC457"/>
      <c r="AD457"/>
      <c r="AE457"/>
      <c r="AF457"/>
      <c r="AG457"/>
      <c r="AH457"/>
      <c r="AI457"/>
      <c r="AJ457"/>
      <c r="AK457"/>
      <c r="AL457"/>
      <c r="AM457"/>
      <c r="AN457"/>
      <c r="AO457"/>
      <c r="AP457"/>
      <c r="AQ457"/>
      <c r="AR457"/>
      <c r="AS457"/>
      <c r="AT457"/>
      <c r="AU457"/>
      <c r="AV457" s="1" t="s">
        <v>38</v>
      </c>
      <c r="BG457" s="7" t="s">
        <v>1242</v>
      </c>
    </row>
    <row r="458" spans="1:59" s="1" customFormat="1" ht="144" x14ac:dyDescent="0.45">
      <c r="A458" s="5">
        <v>457</v>
      </c>
      <c r="B458" s="1" t="s">
        <v>11075</v>
      </c>
      <c r="C458" s="6"/>
      <c r="J458" s="1" t="s">
        <v>7557</v>
      </c>
      <c r="K458" s="11" t="s">
        <v>11942</v>
      </c>
      <c r="P458" s="7" t="s">
        <v>1241</v>
      </c>
      <c r="Q458"/>
      <c r="R458"/>
      <c r="S458"/>
      <c r="T458"/>
      <c r="U458"/>
      <c r="V458"/>
      <c r="W458"/>
      <c r="X458"/>
      <c r="Y458"/>
      <c r="Z458"/>
      <c r="AA458"/>
      <c r="AB458"/>
      <c r="AC458"/>
      <c r="AD458"/>
      <c r="AE458"/>
      <c r="AF458"/>
      <c r="AG458"/>
      <c r="AH458"/>
      <c r="AI458"/>
      <c r="AJ458"/>
      <c r="AK458"/>
      <c r="AL458"/>
      <c r="AM458"/>
      <c r="AN458"/>
      <c r="AO458"/>
      <c r="AP458"/>
      <c r="AQ458"/>
      <c r="AR458"/>
      <c r="AS458"/>
      <c r="AT458"/>
      <c r="AU458"/>
      <c r="AV458" s="1" t="s">
        <v>38</v>
      </c>
      <c r="BG458" s="7" t="s">
        <v>1242</v>
      </c>
    </row>
    <row r="459" spans="1:59" s="1" customFormat="1" ht="126" x14ac:dyDescent="0.45">
      <c r="A459" s="5">
        <v>458</v>
      </c>
      <c r="B459" s="1" t="s">
        <v>11076</v>
      </c>
      <c r="C459" s="6"/>
      <c r="J459" s="1" t="s">
        <v>7557</v>
      </c>
      <c r="K459" s="2" t="s">
        <v>10353</v>
      </c>
      <c r="P459" s="7" t="s">
        <v>1241</v>
      </c>
      <c r="Q459"/>
      <c r="R459"/>
      <c r="S459"/>
      <c r="T459"/>
      <c r="U459"/>
      <c r="V459"/>
      <c r="W459"/>
      <c r="X459"/>
      <c r="Y459"/>
      <c r="Z459"/>
      <c r="AA459"/>
      <c r="AB459"/>
      <c r="AC459"/>
      <c r="AD459"/>
      <c r="AE459"/>
      <c r="AF459"/>
      <c r="AG459"/>
      <c r="AH459"/>
      <c r="AI459"/>
      <c r="AJ459"/>
      <c r="AK459"/>
      <c r="AL459"/>
      <c r="AM459"/>
      <c r="AN459"/>
      <c r="AO459"/>
      <c r="AP459"/>
      <c r="AQ459"/>
      <c r="AR459"/>
      <c r="AS459"/>
      <c r="AT459"/>
      <c r="AU459"/>
      <c r="AV459" s="1" t="s">
        <v>38</v>
      </c>
      <c r="BG459" s="7" t="s">
        <v>1242</v>
      </c>
    </row>
    <row r="460" spans="1:59" s="1" customFormat="1" ht="108" x14ac:dyDescent="0.45">
      <c r="A460" s="5">
        <v>459</v>
      </c>
      <c r="B460" s="1" t="s">
        <v>11077</v>
      </c>
      <c r="C460" s="6"/>
      <c r="J460" s="1" t="s">
        <v>7557</v>
      </c>
      <c r="K460" s="2" t="s">
        <v>10354</v>
      </c>
      <c r="P460" s="7" t="s">
        <v>1241</v>
      </c>
      <c r="Q460"/>
      <c r="R460"/>
      <c r="S460"/>
      <c r="T460"/>
      <c r="U460"/>
      <c r="V460"/>
      <c r="W460"/>
      <c r="X460"/>
      <c r="Y460"/>
      <c r="Z460"/>
      <c r="AA460"/>
      <c r="AB460"/>
      <c r="AC460"/>
      <c r="AD460"/>
      <c r="AE460"/>
      <c r="AF460"/>
      <c r="AG460"/>
      <c r="AH460"/>
      <c r="AI460"/>
      <c r="AJ460"/>
      <c r="AK460"/>
      <c r="AL460"/>
      <c r="AM460"/>
      <c r="AN460"/>
      <c r="AO460"/>
      <c r="AP460"/>
      <c r="AQ460"/>
      <c r="AR460"/>
      <c r="AS460"/>
      <c r="AT460"/>
      <c r="AU460"/>
      <c r="AV460" s="1" t="s">
        <v>38</v>
      </c>
      <c r="BG460" s="7" t="s">
        <v>1242</v>
      </c>
    </row>
    <row r="461" spans="1:59" s="1" customFormat="1" ht="108" x14ac:dyDescent="0.45">
      <c r="A461" s="5">
        <v>460</v>
      </c>
      <c r="B461" s="1" t="s">
        <v>11078</v>
      </c>
      <c r="C461" s="6"/>
      <c r="J461" s="1" t="s">
        <v>7557</v>
      </c>
      <c r="K461" s="11" t="s">
        <v>11943</v>
      </c>
      <c r="P461" s="7" t="s">
        <v>1241</v>
      </c>
      <c r="Q461"/>
      <c r="R461"/>
      <c r="S461"/>
      <c r="T461"/>
      <c r="U461"/>
      <c r="V461"/>
      <c r="W461"/>
      <c r="X461"/>
      <c r="Y461"/>
      <c r="Z461"/>
      <c r="AA461"/>
      <c r="AB461"/>
      <c r="AC461"/>
      <c r="AD461"/>
      <c r="AE461"/>
      <c r="AF461"/>
      <c r="AG461"/>
      <c r="AH461"/>
      <c r="AI461"/>
      <c r="AJ461"/>
      <c r="AK461"/>
      <c r="AL461"/>
      <c r="AM461"/>
      <c r="AN461"/>
      <c r="AO461"/>
      <c r="AP461"/>
      <c r="AQ461"/>
      <c r="AR461"/>
      <c r="AS461"/>
      <c r="AT461"/>
      <c r="AU461"/>
      <c r="AV461" s="1" t="s">
        <v>38</v>
      </c>
      <c r="BG461" s="7" t="s">
        <v>1242</v>
      </c>
    </row>
    <row r="462" spans="1:59" s="1" customFormat="1" ht="54" x14ac:dyDescent="0.45">
      <c r="A462" s="5">
        <v>461</v>
      </c>
      <c r="B462" s="1" t="s">
        <v>11079</v>
      </c>
      <c r="C462" s="6"/>
      <c r="J462" s="1" t="s">
        <v>7557</v>
      </c>
      <c r="K462" s="2" t="s">
        <v>10355</v>
      </c>
      <c r="P462" s="7" t="s">
        <v>1241</v>
      </c>
      <c r="Q462"/>
      <c r="R462"/>
      <c r="S462"/>
      <c r="T462"/>
      <c r="U462"/>
      <c r="V462"/>
      <c r="W462"/>
      <c r="X462"/>
      <c r="Y462"/>
      <c r="Z462"/>
      <c r="AA462"/>
      <c r="AB462"/>
      <c r="AC462"/>
      <c r="AD462"/>
      <c r="AE462"/>
      <c r="AF462"/>
      <c r="AG462"/>
      <c r="AH462"/>
      <c r="AI462"/>
      <c r="AJ462"/>
      <c r="AK462"/>
      <c r="AL462"/>
      <c r="AM462"/>
      <c r="AN462"/>
      <c r="AO462"/>
      <c r="AP462"/>
      <c r="AQ462"/>
      <c r="AR462"/>
      <c r="AS462"/>
      <c r="AT462"/>
      <c r="AU462"/>
      <c r="AV462" s="1" t="s">
        <v>38</v>
      </c>
      <c r="BG462" s="7" t="s">
        <v>1242</v>
      </c>
    </row>
    <row r="463" spans="1:59" s="1" customFormat="1" ht="108" x14ac:dyDescent="0.45">
      <c r="A463" s="5">
        <v>462</v>
      </c>
      <c r="B463" s="1" t="s">
        <v>11080</v>
      </c>
      <c r="C463" s="6"/>
      <c r="J463" s="1" t="s">
        <v>7557</v>
      </c>
      <c r="K463" s="11" t="s">
        <v>11944</v>
      </c>
      <c r="P463" s="7" t="s">
        <v>1241</v>
      </c>
      <c r="Q463"/>
      <c r="R463"/>
      <c r="S463"/>
      <c r="T463"/>
      <c r="U463"/>
      <c r="V463"/>
      <c r="W463"/>
      <c r="X463"/>
      <c r="Y463"/>
      <c r="Z463"/>
      <c r="AA463"/>
      <c r="AB463"/>
      <c r="AC463"/>
      <c r="AD463"/>
      <c r="AE463"/>
      <c r="AF463"/>
      <c r="AG463"/>
      <c r="AH463"/>
      <c r="AI463"/>
      <c r="AJ463"/>
      <c r="AK463"/>
      <c r="AL463"/>
      <c r="AM463"/>
      <c r="AN463"/>
      <c r="AO463"/>
      <c r="AP463"/>
      <c r="AQ463"/>
      <c r="AR463"/>
      <c r="AS463"/>
      <c r="AT463"/>
      <c r="AU463"/>
      <c r="AV463" s="1" t="s">
        <v>38</v>
      </c>
      <c r="BG463" s="7" t="s">
        <v>1242</v>
      </c>
    </row>
    <row r="464" spans="1:59" s="1" customFormat="1" ht="72" x14ac:dyDescent="0.45">
      <c r="A464" s="5">
        <v>463</v>
      </c>
      <c r="B464" s="1" t="s">
        <v>11081</v>
      </c>
      <c r="C464" s="6"/>
      <c r="J464" s="1" t="s">
        <v>7557</v>
      </c>
      <c r="K464" s="11" t="s">
        <v>11945</v>
      </c>
      <c r="P464" s="7" t="s">
        <v>1241</v>
      </c>
      <c r="Q464"/>
      <c r="R464"/>
      <c r="S464"/>
      <c r="T464"/>
      <c r="U464"/>
      <c r="V464"/>
      <c r="W464"/>
      <c r="X464"/>
      <c r="Y464"/>
      <c r="Z464"/>
      <c r="AA464"/>
      <c r="AB464"/>
      <c r="AC464"/>
      <c r="AD464"/>
      <c r="AE464"/>
      <c r="AF464"/>
      <c r="AG464"/>
      <c r="AH464"/>
      <c r="AI464"/>
      <c r="AJ464"/>
      <c r="AK464"/>
      <c r="AL464"/>
      <c r="AM464"/>
      <c r="AN464"/>
      <c r="AO464"/>
      <c r="AP464"/>
      <c r="AQ464"/>
      <c r="AR464"/>
      <c r="AS464"/>
      <c r="AT464"/>
      <c r="AU464"/>
      <c r="AV464" s="1" t="s">
        <v>38</v>
      </c>
      <c r="BG464" s="7" t="s">
        <v>1242</v>
      </c>
    </row>
    <row r="465" spans="1:59" s="1" customFormat="1" ht="108" x14ac:dyDescent="0.45">
      <c r="A465" s="5">
        <v>464</v>
      </c>
      <c r="B465" s="1" t="s">
        <v>11082</v>
      </c>
      <c r="C465" s="6"/>
      <c r="J465" s="1" t="s">
        <v>7557</v>
      </c>
      <c r="K465" s="11" t="s">
        <v>11946</v>
      </c>
      <c r="P465" s="7" t="s">
        <v>1241</v>
      </c>
      <c r="Q465"/>
      <c r="R465"/>
      <c r="S465"/>
      <c r="T465"/>
      <c r="U465"/>
      <c r="V465"/>
      <c r="W465"/>
      <c r="X465"/>
      <c r="Y465"/>
      <c r="Z465"/>
      <c r="AA465"/>
      <c r="AB465"/>
      <c r="AC465"/>
      <c r="AD465"/>
      <c r="AE465"/>
      <c r="AF465"/>
      <c r="AG465"/>
      <c r="AH465"/>
      <c r="AI465"/>
      <c r="AJ465"/>
      <c r="AK465"/>
      <c r="AL465"/>
      <c r="AM465"/>
      <c r="AN465"/>
      <c r="AO465"/>
      <c r="AP465"/>
      <c r="AQ465"/>
      <c r="AR465"/>
      <c r="AS465"/>
      <c r="AT465"/>
      <c r="AU465"/>
      <c r="AV465" s="1" t="s">
        <v>38</v>
      </c>
      <c r="BG465" s="7" t="s">
        <v>1242</v>
      </c>
    </row>
    <row r="466" spans="1:59" s="1" customFormat="1" ht="72" x14ac:dyDescent="0.45">
      <c r="A466" s="5">
        <v>465</v>
      </c>
      <c r="B466" s="1" t="s">
        <v>11083</v>
      </c>
      <c r="C466" s="6"/>
      <c r="J466" s="1" t="s">
        <v>7557</v>
      </c>
      <c r="K466" s="11" t="s">
        <v>11947</v>
      </c>
      <c r="P466" s="7" t="s">
        <v>1241</v>
      </c>
      <c r="Q466"/>
      <c r="R466"/>
      <c r="S466"/>
      <c r="T466"/>
      <c r="U466"/>
      <c r="V466"/>
      <c r="W466"/>
      <c r="X466"/>
      <c r="Y466"/>
      <c r="Z466"/>
      <c r="AA466"/>
      <c r="AB466"/>
      <c r="AC466"/>
      <c r="AD466"/>
      <c r="AE466"/>
      <c r="AF466"/>
      <c r="AG466"/>
      <c r="AH466"/>
      <c r="AI466"/>
      <c r="AJ466"/>
      <c r="AK466"/>
      <c r="AL466"/>
      <c r="AM466"/>
      <c r="AN466"/>
      <c r="AO466"/>
      <c r="AP466"/>
      <c r="AQ466"/>
      <c r="AR466"/>
      <c r="AS466"/>
      <c r="AT466"/>
      <c r="AU466"/>
      <c r="AV466" s="1" t="s">
        <v>38</v>
      </c>
      <c r="BG466" s="7" t="s">
        <v>1242</v>
      </c>
    </row>
    <row r="467" spans="1:59" s="1" customFormat="1" ht="72" x14ac:dyDescent="0.45">
      <c r="A467" s="5">
        <v>466</v>
      </c>
      <c r="B467" s="1" t="s">
        <v>11084</v>
      </c>
      <c r="C467" s="6"/>
      <c r="J467" s="1" t="s">
        <v>7557</v>
      </c>
      <c r="K467" s="2" t="s">
        <v>10358</v>
      </c>
      <c r="P467" s="7" t="s">
        <v>1241</v>
      </c>
      <c r="Q467"/>
      <c r="R467"/>
      <c r="S467"/>
      <c r="T467"/>
      <c r="U467"/>
      <c r="V467"/>
      <c r="W467"/>
      <c r="X467"/>
      <c r="Y467"/>
      <c r="Z467"/>
      <c r="AA467"/>
      <c r="AB467"/>
      <c r="AC467"/>
      <c r="AD467"/>
      <c r="AE467"/>
      <c r="AF467"/>
      <c r="AG467"/>
      <c r="AH467"/>
      <c r="AI467"/>
      <c r="AJ467"/>
      <c r="AK467"/>
      <c r="AL467"/>
      <c r="AM467"/>
      <c r="AN467"/>
      <c r="AO467"/>
      <c r="AP467"/>
      <c r="AQ467"/>
      <c r="AR467"/>
      <c r="AS467"/>
      <c r="AT467"/>
      <c r="AU467"/>
      <c r="AV467" s="1" t="s">
        <v>38</v>
      </c>
      <c r="BG467" s="7" t="s">
        <v>1242</v>
      </c>
    </row>
    <row r="468" spans="1:59" s="1" customFormat="1" ht="162" x14ac:dyDescent="0.45">
      <c r="A468" s="5">
        <v>467</v>
      </c>
      <c r="B468" s="1" t="s">
        <v>11085</v>
      </c>
      <c r="C468" s="6"/>
      <c r="J468" s="1" t="s">
        <v>7557</v>
      </c>
      <c r="K468" s="11" t="s">
        <v>11948</v>
      </c>
      <c r="P468" s="7" t="s">
        <v>1241</v>
      </c>
      <c r="Q468"/>
      <c r="R468"/>
      <c r="S468"/>
      <c r="T468"/>
      <c r="U468"/>
      <c r="V468"/>
      <c r="W468"/>
      <c r="X468"/>
      <c r="Y468"/>
      <c r="Z468"/>
      <c r="AA468"/>
      <c r="AB468"/>
      <c r="AC468"/>
      <c r="AD468"/>
      <c r="AE468"/>
      <c r="AF468"/>
      <c r="AG468"/>
      <c r="AH468"/>
      <c r="AI468"/>
      <c r="AJ468"/>
      <c r="AK468"/>
      <c r="AL468"/>
      <c r="AM468"/>
      <c r="AN468"/>
      <c r="AO468"/>
      <c r="AP468"/>
      <c r="AQ468"/>
      <c r="AR468"/>
      <c r="AS468"/>
      <c r="AT468"/>
      <c r="AU468"/>
      <c r="AV468" s="1" t="s">
        <v>38</v>
      </c>
      <c r="BG468" s="7" t="s">
        <v>1242</v>
      </c>
    </row>
    <row r="469" spans="1:59" s="1" customFormat="1" ht="144" x14ac:dyDescent="0.45">
      <c r="A469" s="5">
        <v>468</v>
      </c>
      <c r="B469" s="1" t="s">
        <v>11086</v>
      </c>
      <c r="C469" s="6"/>
      <c r="J469" s="1" t="s">
        <v>7557</v>
      </c>
      <c r="K469" s="11" t="s">
        <v>11949</v>
      </c>
      <c r="P469" s="7" t="s">
        <v>1241</v>
      </c>
      <c r="Q469"/>
      <c r="R469"/>
      <c r="S469"/>
      <c r="T469"/>
      <c r="U469"/>
      <c r="V469"/>
      <c r="W469"/>
      <c r="X469"/>
      <c r="Y469"/>
      <c r="Z469"/>
      <c r="AA469"/>
      <c r="AB469"/>
      <c r="AC469"/>
      <c r="AD469"/>
      <c r="AE469"/>
      <c r="AF469"/>
      <c r="AG469"/>
      <c r="AH469"/>
      <c r="AI469"/>
      <c r="AJ469"/>
      <c r="AK469"/>
      <c r="AL469"/>
      <c r="AM469"/>
      <c r="AN469"/>
      <c r="AO469"/>
      <c r="AP469"/>
      <c r="AQ469"/>
      <c r="AR469"/>
      <c r="AS469"/>
      <c r="AT469"/>
      <c r="AU469"/>
      <c r="AV469" s="1" t="s">
        <v>38</v>
      </c>
      <c r="BG469" s="7" t="s">
        <v>1242</v>
      </c>
    </row>
    <row r="470" spans="1:59" s="1" customFormat="1" ht="90" x14ac:dyDescent="0.45">
      <c r="A470" s="5">
        <v>469</v>
      </c>
      <c r="B470" s="1" t="s">
        <v>11087</v>
      </c>
      <c r="C470" s="6"/>
      <c r="J470" s="1" t="s">
        <v>7557</v>
      </c>
      <c r="K470" s="2" t="s">
        <v>10359</v>
      </c>
      <c r="P470" s="7" t="s">
        <v>1241</v>
      </c>
      <c r="Q470"/>
      <c r="R470"/>
      <c r="S470"/>
      <c r="T470"/>
      <c r="U470"/>
      <c r="V470"/>
      <c r="W470"/>
      <c r="X470"/>
      <c r="Y470"/>
      <c r="Z470"/>
      <c r="AA470"/>
      <c r="AB470"/>
      <c r="AC470"/>
      <c r="AD470"/>
      <c r="AE470"/>
      <c r="AF470"/>
      <c r="AG470"/>
      <c r="AH470"/>
      <c r="AI470"/>
      <c r="AJ470"/>
      <c r="AK470"/>
      <c r="AL470"/>
      <c r="AM470"/>
      <c r="AN470"/>
      <c r="AO470"/>
      <c r="AP470"/>
      <c r="AQ470"/>
      <c r="AR470"/>
      <c r="AS470"/>
      <c r="AT470"/>
      <c r="AU470"/>
      <c r="AV470" s="1" t="s">
        <v>38</v>
      </c>
      <c r="BG470" s="7" t="s">
        <v>1242</v>
      </c>
    </row>
    <row r="471" spans="1:59" s="1" customFormat="1" ht="162" x14ac:dyDescent="0.45">
      <c r="A471" s="5">
        <v>470</v>
      </c>
      <c r="B471" s="1" t="s">
        <v>11088</v>
      </c>
      <c r="C471" s="6"/>
      <c r="J471" s="1" t="s">
        <v>7557</v>
      </c>
      <c r="K471" s="2" t="s">
        <v>11721</v>
      </c>
      <c r="P471" s="7" t="s">
        <v>1241</v>
      </c>
      <c r="Q471"/>
      <c r="R471"/>
      <c r="S471"/>
      <c r="T471"/>
      <c r="U471"/>
      <c r="V471"/>
      <c r="W471"/>
      <c r="X471"/>
      <c r="Y471"/>
      <c r="Z471"/>
      <c r="AA471"/>
      <c r="AB471"/>
      <c r="AC471"/>
      <c r="AD471"/>
      <c r="AE471"/>
      <c r="AF471"/>
      <c r="AG471"/>
      <c r="AH471"/>
      <c r="AI471"/>
      <c r="AJ471"/>
      <c r="AK471"/>
      <c r="AL471"/>
      <c r="AM471"/>
      <c r="AN471"/>
      <c r="AO471"/>
      <c r="AP471"/>
      <c r="AQ471"/>
      <c r="AR471"/>
      <c r="AS471"/>
      <c r="AT471"/>
      <c r="AU471"/>
      <c r="AV471" s="1" t="s">
        <v>38</v>
      </c>
      <c r="BG471" s="7" t="s">
        <v>1242</v>
      </c>
    </row>
    <row r="472" spans="1:59" s="1" customFormat="1" ht="180" x14ac:dyDescent="0.45">
      <c r="A472" s="5">
        <v>471</v>
      </c>
      <c r="B472" s="1" t="s">
        <v>11089</v>
      </c>
      <c r="C472" s="6"/>
      <c r="J472" s="1" t="s">
        <v>7557</v>
      </c>
      <c r="K472" s="11" t="s">
        <v>11950</v>
      </c>
      <c r="P472" s="7" t="s">
        <v>1241</v>
      </c>
      <c r="Q472"/>
      <c r="R472"/>
      <c r="S472"/>
      <c r="T472"/>
      <c r="U472"/>
      <c r="V472"/>
      <c r="W472"/>
      <c r="X472"/>
      <c r="Y472"/>
      <c r="Z472"/>
      <c r="AA472"/>
      <c r="AB472"/>
      <c r="AC472"/>
      <c r="AD472"/>
      <c r="AE472"/>
      <c r="AF472"/>
      <c r="AG472"/>
      <c r="AH472"/>
      <c r="AI472"/>
      <c r="AJ472"/>
      <c r="AK472"/>
      <c r="AL472"/>
      <c r="AM472"/>
      <c r="AN472"/>
      <c r="AO472"/>
      <c r="AP472"/>
      <c r="AQ472"/>
      <c r="AR472"/>
      <c r="AS472"/>
      <c r="AT472"/>
      <c r="AU472"/>
      <c r="AV472" s="1" t="s">
        <v>38</v>
      </c>
      <c r="BG472" s="7" t="s">
        <v>1242</v>
      </c>
    </row>
    <row r="473" spans="1:59" s="1" customFormat="1" ht="126" x14ac:dyDescent="0.45">
      <c r="A473" s="5">
        <v>472</v>
      </c>
      <c r="B473" s="1" t="s">
        <v>11090</v>
      </c>
      <c r="C473" s="6"/>
      <c r="J473" s="1" t="s">
        <v>7557</v>
      </c>
      <c r="K473" s="11" t="s">
        <v>11951</v>
      </c>
      <c r="P473" s="7" t="s">
        <v>1241</v>
      </c>
      <c r="Q473"/>
      <c r="R473"/>
      <c r="S473"/>
      <c r="T473"/>
      <c r="U473"/>
      <c r="V473"/>
      <c r="W473"/>
      <c r="X473"/>
      <c r="Y473"/>
      <c r="Z473"/>
      <c r="AA473"/>
      <c r="AB473"/>
      <c r="AC473"/>
      <c r="AD473"/>
      <c r="AE473"/>
      <c r="AF473"/>
      <c r="AG473"/>
      <c r="AH473"/>
      <c r="AI473"/>
      <c r="AJ473"/>
      <c r="AK473"/>
      <c r="AL473"/>
      <c r="AM473"/>
      <c r="AN473"/>
      <c r="AO473"/>
      <c r="AP473"/>
      <c r="AQ473"/>
      <c r="AR473"/>
      <c r="AS473"/>
      <c r="AT473"/>
      <c r="AU473"/>
      <c r="AV473" s="1" t="s">
        <v>38</v>
      </c>
      <c r="BG473" s="7" t="s">
        <v>1242</v>
      </c>
    </row>
    <row r="474" spans="1:59" s="1" customFormat="1" ht="108" x14ac:dyDescent="0.45">
      <c r="A474" s="5">
        <v>473</v>
      </c>
      <c r="B474" s="1" t="s">
        <v>11091</v>
      </c>
      <c r="C474" s="6"/>
      <c r="J474" s="1" t="s">
        <v>7557</v>
      </c>
      <c r="K474" s="11" t="s">
        <v>11952</v>
      </c>
      <c r="P474" s="7" t="s">
        <v>1241</v>
      </c>
      <c r="Q474"/>
      <c r="R474"/>
      <c r="S474"/>
      <c r="T474"/>
      <c r="U474"/>
      <c r="V474"/>
      <c r="W474"/>
      <c r="X474"/>
      <c r="Y474"/>
      <c r="Z474"/>
      <c r="AA474"/>
      <c r="AB474"/>
      <c r="AC474"/>
      <c r="AD474"/>
      <c r="AE474"/>
      <c r="AF474"/>
      <c r="AG474"/>
      <c r="AH474"/>
      <c r="AI474"/>
      <c r="AJ474"/>
      <c r="AK474"/>
      <c r="AL474"/>
      <c r="AM474"/>
      <c r="AN474"/>
      <c r="AO474"/>
      <c r="AP474"/>
      <c r="AQ474"/>
      <c r="AR474"/>
      <c r="AS474"/>
      <c r="AT474"/>
      <c r="AU474"/>
      <c r="AV474" s="1" t="s">
        <v>38</v>
      </c>
      <c r="BG474" s="7" t="s">
        <v>1242</v>
      </c>
    </row>
    <row r="475" spans="1:59" s="1" customFormat="1" ht="108" x14ac:dyDescent="0.45">
      <c r="A475" s="5">
        <v>474</v>
      </c>
      <c r="B475" s="1" t="s">
        <v>11092</v>
      </c>
      <c r="C475" s="6"/>
      <c r="J475" s="1" t="s">
        <v>7557</v>
      </c>
      <c r="K475" s="11" t="s">
        <v>11953</v>
      </c>
      <c r="P475" s="7" t="s">
        <v>1241</v>
      </c>
      <c r="Q475"/>
      <c r="R475"/>
      <c r="S475"/>
      <c r="T475"/>
      <c r="U475"/>
      <c r="V475"/>
      <c r="W475"/>
      <c r="X475"/>
      <c r="Y475"/>
      <c r="Z475"/>
      <c r="AA475"/>
      <c r="AB475"/>
      <c r="AC475"/>
      <c r="AD475"/>
      <c r="AE475"/>
      <c r="AF475"/>
      <c r="AG475"/>
      <c r="AH475"/>
      <c r="AI475"/>
      <c r="AJ475"/>
      <c r="AK475"/>
      <c r="AL475"/>
      <c r="AM475"/>
      <c r="AN475"/>
      <c r="AO475"/>
      <c r="AP475"/>
      <c r="AQ475"/>
      <c r="AR475"/>
      <c r="AS475"/>
      <c r="AT475"/>
      <c r="AU475"/>
      <c r="AV475" s="1" t="s">
        <v>38</v>
      </c>
      <c r="BG475" s="7" t="s">
        <v>1242</v>
      </c>
    </row>
    <row r="476" spans="1:59" s="1" customFormat="1" ht="108" x14ac:dyDescent="0.45">
      <c r="A476" s="5">
        <v>475</v>
      </c>
      <c r="B476" s="1" t="s">
        <v>11093</v>
      </c>
      <c r="C476" s="6"/>
      <c r="J476" s="1" t="s">
        <v>7557</v>
      </c>
      <c r="K476" s="11" t="s">
        <v>11954</v>
      </c>
      <c r="P476" s="7" t="s">
        <v>1241</v>
      </c>
      <c r="Q476"/>
      <c r="R476"/>
      <c r="S476"/>
      <c r="T476"/>
      <c r="U476"/>
      <c r="V476"/>
      <c r="W476"/>
      <c r="X476"/>
      <c r="Y476"/>
      <c r="Z476"/>
      <c r="AA476"/>
      <c r="AB476"/>
      <c r="AC476"/>
      <c r="AD476"/>
      <c r="AE476"/>
      <c r="AF476"/>
      <c r="AG476"/>
      <c r="AH476"/>
      <c r="AI476"/>
      <c r="AJ476"/>
      <c r="AK476"/>
      <c r="AL476"/>
      <c r="AM476"/>
      <c r="AN476"/>
      <c r="AO476"/>
      <c r="AP476"/>
      <c r="AQ476"/>
      <c r="AR476"/>
      <c r="AS476"/>
      <c r="AT476"/>
      <c r="AU476"/>
      <c r="AV476" s="1" t="s">
        <v>38</v>
      </c>
      <c r="BG476" s="7" t="s">
        <v>1242</v>
      </c>
    </row>
    <row r="477" spans="1:59" s="1" customFormat="1" ht="108" x14ac:dyDescent="0.45">
      <c r="A477" s="5">
        <v>476</v>
      </c>
      <c r="B477" s="1" t="s">
        <v>11094</v>
      </c>
      <c r="C477" s="6"/>
      <c r="J477" s="1" t="s">
        <v>7557</v>
      </c>
      <c r="K477" s="11" t="s">
        <v>11955</v>
      </c>
      <c r="P477" s="7" t="s">
        <v>1241</v>
      </c>
      <c r="Q477"/>
      <c r="R477"/>
      <c r="S477"/>
      <c r="T477"/>
      <c r="U477"/>
      <c r="V477"/>
      <c r="W477"/>
      <c r="X477"/>
      <c r="Y477"/>
      <c r="Z477"/>
      <c r="AA477"/>
      <c r="AB477"/>
      <c r="AC477"/>
      <c r="AD477"/>
      <c r="AE477"/>
      <c r="AF477"/>
      <c r="AG477"/>
      <c r="AH477"/>
      <c r="AI477"/>
      <c r="AJ477"/>
      <c r="AK477"/>
      <c r="AL477"/>
      <c r="AM477"/>
      <c r="AN477"/>
      <c r="AO477"/>
      <c r="AP477"/>
      <c r="AQ477"/>
      <c r="AR477"/>
      <c r="AS477"/>
      <c r="AT477"/>
      <c r="AU477"/>
      <c r="AV477" s="1" t="s">
        <v>38</v>
      </c>
      <c r="BG477" s="7" t="s">
        <v>1242</v>
      </c>
    </row>
    <row r="478" spans="1:59" s="1" customFormat="1" ht="108" x14ac:dyDescent="0.45">
      <c r="A478" s="5">
        <v>477</v>
      </c>
      <c r="B478" s="1" t="s">
        <v>11095</v>
      </c>
      <c r="C478" s="6"/>
      <c r="J478" s="1" t="s">
        <v>7557</v>
      </c>
      <c r="K478" s="11" t="s">
        <v>11956</v>
      </c>
      <c r="P478" s="7" t="s">
        <v>1241</v>
      </c>
      <c r="Q478"/>
      <c r="R478"/>
      <c r="S478"/>
      <c r="T478"/>
      <c r="U478"/>
      <c r="V478"/>
      <c r="W478"/>
      <c r="X478"/>
      <c r="Y478"/>
      <c r="Z478"/>
      <c r="AA478"/>
      <c r="AB478"/>
      <c r="AC478"/>
      <c r="AD478"/>
      <c r="AE478"/>
      <c r="AF478"/>
      <c r="AG478"/>
      <c r="AH478"/>
      <c r="AI478"/>
      <c r="AJ478"/>
      <c r="AK478"/>
      <c r="AL478"/>
      <c r="AM478"/>
      <c r="AN478"/>
      <c r="AO478"/>
      <c r="AP478"/>
      <c r="AQ478"/>
      <c r="AR478"/>
      <c r="AS478"/>
      <c r="AT478"/>
      <c r="AU478"/>
      <c r="AV478" s="1" t="s">
        <v>38</v>
      </c>
      <c r="BG478" s="7" t="s">
        <v>1242</v>
      </c>
    </row>
    <row r="479" spans="1:59" s="1" customFormat="1" ht="108" x14ac:dyDescent="0.45">
      <c r="A479" s="5">
        <v>478</v>
      </c>
      <c r="B479" s="1" t="s">
        <v>11096</v>
      </c>
      <c r="C479" s="6"/>
      <c r="J479" s="1" t="s">
        <v>7557</v>
      </c>
      <c r="K479" s="11" t="s">
        <v>11957</v>
      </c>
      <c r="P479" s="7" t="s">
        <v>1241</v>
      </c>
      <c r="Q479"/>
      <c r="R479"/>
      <c r="S479"/>
      <c r="T479"/>
      <c r="U479"/>
      <c r="V479"/>
      <c r="W479"/>
      <c r="X479"/>
      <c r="Y479"/>
      <c r="Z479"/>
      <c r="AA479"/>
      <c r="AB479"/>
      <c r="AC479"/>
      <c r="AD479"/>
      <c r="AE479"/>
      <c r="AF479"/>
      <c r="AG479"/>
      <c r="AH479"/>
      <c r="AI479"/>
      <c r="AJ479"/>
      <c r="AK479"/>
      <c r="AL479"/>
      <c r="AM479"/>
      <c r="AN479"/>
      <c r="AO479"/>
      <c r="AP479"/>
      <c r="AQ479"/>
      <c r="AR479"/>
      <c r="AS479"/>
      <c r="AT479"/>
      <c r="AU479"/>
      <c r="AV479" s="1" t="s">
        <v>38</v>
      </c>
      <c r="BG479" s="7" t="s">
        <v>1242</v>
      </c>
    </row>
    <row r="480" spans="1:59" s="1" customFormat="1" ht="144" x14ac:dyDescent="0.45">
      <c r="A480" s="5">
        <v>479</v>
      </c>
      <c r="B480" s="1" t="s">
        <v>11097</v>
      </c>
      <c r="C480" s="6"/>
      <c r="J480" s="1" t="s">
        <v>7557</v>
      </c>
      <c r="K480" s="11" t="s">
        <v>11958</v>
      </c>
      <c r="P480" s="7" t="s">
        <v>1241</v>
      </c>
      <c r="Q480"/>
      <c r="R480"/>
      <c r="S480"/>
      <c r="T480"/>
      <c r="U480"/>
      <c r="V480"/>
      <c r="W480"/>
      <c r="X480"/>
      <c r="Y480"/>
      <c r="Z480"/>
      <c r="AA480"/>
      <c r="AB480"/>
      <c r="AC480"/>
      <c r="AD480"/>
      <c r="AE480"/>
      <c r="AF480"/>
      <c r="AG480"/>
      <c r="AH480"/>
      <c r="AI480"/>
      <c r="AJ480"/>
      <c r="AK480"/>
      <c r="AL480"/>
      <c r="AM480"/>
      <c r="AN480"/>
      <c r="AO480"/>
      <c r="AP480"/>
      <c r="AQ480"/>
      <c r="AR480"/>
      <c r="AS480"/>
      <c r="AT480"/>
      <c r="AU480"/>
      <c r="AV480" s="1" t="s">
        <v>38</v>
      </c>
      <c r="BG480" s="7" t="s">
        <v>1242</v>
      </c>
    </row>
    <row r="481" spans="1:59" s="1" customFormat="1" ht="90" x14ac:dyDescent="0.45">
      <c r="A481" s="5">
        <v>480</v>
      </c>
      <c r="B481" s="1" t="s">
        <v>11098</v>
      </c>
      <c r="C481" s="6"/>
      <c r="J481" s="1" t="s">
        <v>7557</v>
      </c>
      <c r="K481" s="2" t="s">
        <v>10360</v>
      </c>
      <c r="P481" s="7" t="s">
        <v>1241</v>
      </c>
      <c r="Q481"/>
      <c r="R481"/>
      <c r="S481"/>
      <c r="T481"/>
      <c r="U481"/>
      <c r="V481"/>
      <c r="W481"/>
      <c r="X481"/>
      <c r="Y481"/>
      <c r="Z481"/>
      <c r="AA481"/>
      <c r="AB481"/>
      <c r="AC481"/>
      <c r="AD481"/>
      <c r="AE481"/>
      <c r="AF481"/>
      <c r="AG481"/>
      <c r="AH481"/>
      <c r="AI481"/>
      <c r="AJ481"/>
      <c r="AK481"/>
      <c r="AL481"/>
      <c r="AM481"/>
      <c r="AN481"/>
      <c r="AO481"/>
      <c r="AP481"/>
      <c r="AQ481"/>
      <c r="AR481"/>
      <c r="AS481"/>
      <c r="AT481"/>
      <c r="AU481"/>
      <c r="AV481" s="1" t="s">
        <v>38</v>
      </c>
      <c r="BG481" s="7" t="s">
        <v>1242</v>
      </c>
    </row>
    <row r="482" spans="1:59" s="1" customFormat="1" ht="90" x14ac:dyDescent="0.45">
      <c r="A482" s="5">
        <v>481</v>
      </c>
      <c r="B482" s="1" t="s">
        <v>11099</v>
      </c>
      <c r="C482" s="6"/>
      <c r="J482" s="1" t="s">
        <v>7557</v>
      </c>
      <c r="K482" s="11" t="s">
        <v>11959</v>
      </c>
      <c r="P482" s="7" t="s">
        <v>1241</v>
      </c>
      <c r="Q482"/>
      <c r="R482"/>
      <c r="S482"/>
      <c r="T482"/>
      <c r="U482"/>
      <c r="V482"/>
      <c r="W482"/>
      <c r="X482"/>
      <c r="Y482"/>
      <c r="Z482"/>
      <c r="AA482"/>
      <c r="AB482"/>
      <c r="AC482"/>
      <c r="AD482"/>
      <c r="AE482"/>
      <c r="AF482"/>
      <c r="AG482"/>
      <c r="AH482"/>
      <c r="AI482"/>
      <c r="AJ482"/>
      <c r="AK482"/>
      <c r="AL482"/>
      <c r="AM482"/>
      <c r="AN482"/>
      <c r="AO482"/>
      <c r="AP482"/>
      <c r="AQ482"/>
      <c r="AR482"/>
      <c r="AS482"/>
      <c r="AT482"/>
      <c r="AU482"/>
      <c r="AV482" s="1" t="s">
        <v>38</v>
      </c>
      <c r="BG482" s="7" t="s">
        <v>1242</v>
      </c>
    </row>
    <row r="483" spans="1:59" s="1" customFormat="1" ht="54" x14ac:dyDescent="0.45">
      <c r="A483" s="5">
        <v>482</v>
      </c>
      <c r="B483" s="1" t="s">
        <v>11100</v>
      </c>
      <c r="C483" s="6"/>
      <c r="J483" s="1" t="s">
        <v>7557</v>
      </c>
      <c r="K483" s="2" t="s">
        <v>10361</v>
      </c>
      <c r="P483" s="7" t="s">
        <v>1241</v>
      </c>
      <c r="Q483"/>
      <c r="R483"/>
      <c r="S483"/>
      <c r="T483"/>
      <c r="U483"/>
      <c r="V483"/>
      <c r="W483"/>
      <c r="X483"/>
      <c r="Y483"/>
      <c r="Z483"/>
      <c r="AA483"/>
      <c r="AB483"/>
      <c r="AC483"/>
      <c r="AD483"/>
      <c r="AE483"/>
      <c r="AF483"/>
      <c r="AG483"/>
      <c r="AH483"/>
      <c r="AI483"/>
      <c r="AJ483"/>
      <c r="AK483"/>
      <c r="AL483"/>
      <c r="AM483"/>
      <c r="AN483"/>
      <c r="AO483"/>
      <c r="AP483"/>
      <c r="AQ483"/>
      <c r="AR483"/>
      <c r="AS483"/>
      <c r="AT483"/>
      <c r="AU483"/>
      <c r="AV483" s="1" t="s">
        <v>38</v>
      </c>
      <c r="BG483" s="7" t="s">
        <v>1242</v>
      </c>
    </row>
    <row r="484" spans="1:59" s="1" customFormat="1" ht="72" x14ac:dyDescent="0.45">
      <c r="A484" s="5">
        <v>483</v>
      </c>
      <c r="B484" s="1" t="s">
        <v>11101</v>
      </c>
      <c r="C484" s="6"/>
      <c r="J484" s="1" t="s">
        <v>7557</v>
      </c>
      <c r="K484" s="11" t="s">
        <v>11960</v>
      </c>
      <c r="P484" s="7" t="s">
        <v>1241</v>
      </c>
      <c r="Q484"/>
      <c r="R484"/>
      <c r="S484"/>
      <c r="T484"/>
      <c r="U484"/>
      <c r="V484"/>
      <c r="W484"/>
      <c r="X484"/>
      <c r="Y484"/>
      <c r="Z484"/>
      <c r="AA484"/>
      <c r="AB484"/>
      <c r="AC484"/>
      <c r="AD484"/>
      <c r="AE484"/>
      <c r="AF484"/>
      <c r="AG484"/>
      <c r="AH484"/>
      <c r="AI484"/>
      <c r="AJ484"/>
      <c r="AK484"/>
      <c r="AL484"/>
      <c r="AM484"/>
      <c r="AN484"/>
      <c r="AO484"/>
      <c r="AP484"/>
      <c r="AQ484"/>
      <c r="AR484"/>
      <c r="AS484"/>
      <c r="AT484"/>
      <c r="AU484"/>
      <c r="AV484" s="1" t="s">
        <v>38</v>
      </c>
      <c r="BG484" s="7" t="s">
        <v>1242</v>
      </c>
    </row>
    <row r="485" spans="1:59" s="1" customFormat="1" ht="72" x14ac:dyDescent="0.45">
      <c r="A485" s="5">
        <v>484</v>
      </c>
      <c r="B485" s="1" t="s">
        <v>11102</v>
      </c>
      <c r="C485" s="6"/>
      <c r="J485" s="1" t="s">
        <v>7557</v>
      </c>
      <c r="K485" s="11" t="s">
        <v>11961</v>
      </c>
      <c r="P485" s="7" t="s">
        <v>1241</v>
      </c>
      <c r="Q485"/>
      <c r="R485"/>
      <c r="S485"/>
      <c r="T485"/>
      <c r="U485"/>
      <c r="V485"/>
      <c r="W485"/>
      <c r="X485"/>
      <c r="Y485"/>
      <c r="Z485"/>
      <c r="AA485"/>
      <c r="AB485"/>
      <c r="AC485"/>
      <c r="AD485"/>
      <c r="AE485"/>
      <c r="AF485"/>
      <c r="AG485"/>
      <c r="AH485"/>
      <c r="AI485"/>
      <c r="AJ485"/>
      <c r="AK485"/>
      <c r="AL485"/>
      <c r="AM485"/>
      <c r="AN485"/>
      <c r="AO485"/>
      <c r="AP485"/>
      <c r="AQ485"/>
      <c r="AR485"/>
      <c r="AS485"/>
      <c r="AT485"/>
      <c r="AU485"/>
      <c r="AV485" s="1" t="s">
        <v>38</v>
      </c>
      <c r="BG485" s="7" t="s">
        <v>1242</v>
      </c>
    </row>
    <row r="486" spans="1:59" s="1" customFormat="1" ht="108" x14ac:dyDescent="0.45">
      <c r="A486" s="5">
        <v>485</v>
      </c>
      <c r="B486" s="1" t="s">
        <v>11103</v>
      </c>
      <c r="C486" s="6"/>
      <c r="J486" s="1" t="s">
        <v>7557</v>
      </c>
      <c r="K486" s="2" t="s">
        <v>11677</v>
      </c>
      <c r="P486" s="7" t="s">
        <v>1241</v>
      </c>
      <c r="Q486"/>
      <c r="R486"/>
      <c r="S486"/>
      <c r="T486"/>
      <c r="U486"/>
      <c r="V486"/>
      <c r="W486"/>
      <c r="X486"/>
      <c r="Y486"/>
      <c r="Z486"/>
      <c r="AA486"/>
      <c r="AB486"/>
      <c r="AC486"/>
      <c r="AD486"/>
      <c r="AE486"/>
      <c r="AF486"/>
      <c r="AG486"/>
      <c r="AH486"/>
      <c r="AI486"/>
      <c r="AJ486"/>
      <c r="AK486"/>
      <c r="AL486"/>
      <c r="AM486"/>
      <c r="AN486"/>
      <c r="AO486"/>
      <c r="AP486"/>
      <c r="AQ486"/>
      <c r="AR486"/>
      <c r="AS486"/>
      <c r="AT486"/>
      <c r="AU486"/>
      <c r="AV486" s="1" t="s">
        <v>38</v>
      </c>
      <c r="BG486" s="7" t="s">
        <v>1242</v>
      </c>
    </row>
    <row r="487" spans="1:59" s="1" customFormat="1" ht="90" x14ac:dyDescent="0.45">
      <c r="A487" s="5">
        <v>486</v>
      </c>
      <c r="B487" s="1" t="s">
        <v>11104</v>
      </c>
      <c r="C487" s="6"/>
      <c r="J487" s="1" t="s">
        <v>7557</v>
      </c>
      <c r="K487" s="2" t="s">
        <v>10362</v>
      </c>
      <c r="P487" s="7" t="s">
        <v>1241</v>
      </c>
      <c r="Q487"/>
      <c r="R487"/>
      <c r="S487"/>
      <c r="T487"/>
      <c r="U487"/>
      <c r="V487"/>
      <c r="W487"/>
      <c r="X487"/>
      <c r="Y487"/>
      <c r="Z487"/>
      <c r="AA487"/>
      <c r="AB487"/>
      <c r="AC487"/>
      <c r="AD487"/>
      <c r="AE487"/>
      <c r="AF487"/>
      <c r="AG487"/>
      <c r="AH487"/>
      <c r="AI487"/>
      <c r="AJ487"/>
      <c r="AK487"/>
      <c r="AL487"/>
      <c r="AM487"/>
      <c r="AN487"/>
      <c r="AO487"/>
      <c r="AP487"/>
      <c r="AQ487"/>
      <c r="AR487"/>
      <c r="AS487"/>
      <c r="AT487"/>
      <c r="AU487"/>
      <c r="AV487" s="1" t="s">
        <v>38</v>
      </c>
      <c r="BG487" s="7" t="s">
        <v>1242</v>
      </c>
    </row>
    <row r="488" spans="1:59" s="1" customFormat="1" ht="90" x14ac:dyDescent="0.45">
      <c r="A488" s="5">
        <v>487</v>
      </c>
      <c r="B488" s="1" t="s">
        <v>11105</v>
      </c>
      <c r="C488" s="6"/>
      <c r="J488" s="1" t="s">
        <v>7557</v>
      </c>
      <c r="K488" s="11" t="s">
        <v>11962</v>
      </c>
      <c r="P488" s="7" t="s">
        <v>1241</v>
      </c>
      <c r="Q488"/>
      <c r="R488"/>
      <c r="S488"/>
      <c r="T488"/>
      <c r="U488"/>
      <c r="V488"/>
      <c r="W488"/>
      <c r="X488"/>
      <c r="Y488"/>
      <c r="Z488"/>
      <c r="AA488"/>
      <c r="AB488"/>
      <c r="AC488"/>
      <c r="AD488"/>
      <c r="AE488"/>
      <c r="AF488"/>
      <c r="AG488"/>
      <c r="AH488"/>
      <c r="AI488"/>
      <c r="AJ488"/>
      <c r="AK488"/>
      <c r="AL488"/>
      <c r="AM488"/>
      <c r="AN488"/>
      <c r="AO488"/>
      <c r="AP488"/>
      <c r="AQ488"/>
      <c r="AR488"/>
      <c r="AS488"/>
      <c r="AT488"/>
      <c r="AU488"/>
      <c r="AV488" s="1" t="s">
        <v>38</v>
      </c>
      <c r="BG488" s="7" t="s">
        <v>1242</v>
      </c>
    </row>
    <row r="489" spans="1:59" s="1" customFormat="1" ht="54" x14ac:dyDescent="0.45">
      <c r="A489" s="5">
        <v>488</v>
      </c>
      <c r="B489" s="1" t="s">
        <v>11106</v>
      </c>
      <c r="C489" s="6"/>
      <c r="J489" s="1" t="s">
        <v>7557</v>
      </c>
      <c r="K489" s="2" t="s">
        <v>10363</v>
      </c>
      <c r="P489" s="7" t="s">
        <v>1241</v>
      </c>
      <c r="Q489"/>
      <c r="R489"/>
      <c r="S489"/>
      <c r="T489"/>
      <c r="U489"/>
      <c r="V489"/>
      <c r="W489"/>
      <c r="X489"/>
      <c r="Y489"/>
      <c r="Z489"/>
      <c r="AA489"/>
      <c r="AB489"/>
      <c r="AC489"/>
      <c r="AD489"/>
      <c r="AE489"/>
      <c r="AF489"/>
      <c r="AG489"/>
      <c r="AH489"/>
      <c r="AI489"/>
      <c r="AJ489"/>
      <c r="AK489"/>
      <c r="AL489"/>
      <c r="AM489"/>
      <c r="AN489"/>
      <c r="AO489"/>
      <c r="AP489"/>
      <c r="AQ489"/>
      <c r="AR489"/>
      <c r="AS489"/>
      <c r="AT489"/>
      <c r="AU489"/>
      <c r="AV489" s="1" t="s">
        <v>38</v>
      </c>
      <c r="BG489" s="7" t="s">
        <v>1242</v>
      </c>
    </row>
    <row r="490" spans="1:59" s="1" customFormat="1" ht="90" x14ac:dyDescent="0.45">
      <c r="A490" s="5">
        <v>489</v>
      </c>
      <c r="B490" s="1" t="s">
        <v>11107</v>
      </c>
      <c r="C490" s="6"/>
      <c r="J490" s="1" t="s">
        <v>7557</v>
      </c>
      <c r="K490" s="11" t="s">
        <v>11963</v>
      </c>
      <c r="P490" s="7" t="s">
        <v>1241</v>
      </c>
      <c r="Q490"/>
      <c r="R490"/>
      <c r="S490"/>
      <c r="T490"/>
      <c r="U490"/>
      <c r="V490"/>
      <c r="W490"/>
      <c r="X490"/>
      <c r="Y490"/>
      <c r="Z490"/>
      <c r="AA490"/>
      <c r="AB490"/>
      <c r="AC490"/>
      <c r="AD490"/>
      <c r="AE490"/>
      <c r="AF490"/>
      <c r="AG490"/>
      <c r="AH490"/>
      <c r="AI490"/>
      <c r="AJ490"/>
      <c r="AK490"/>
      <c r="AL490"/>
      <c r="AM490"/>
      <c r="AN490"/>
      <c r="AO490"/>
      <c r="AP490"/>
      <c r="AQ490"/>
      <c r="AR490"/>
      <c r="AS490"/>
      <c r="AT490"/>
      <c r="AU490"/>
      <c r="AV490" s="1" t="s">
        <v>38</v>
      </c>
      <c r="BG490" s="7" t="s">
        <v>1242</v>
      </c>
    </row>
    <row r="491" spans="1:59" s="1" customFormat="1" ht="180" x14ac:dyDescent="0.45">
      <c r="A491" s="5">
        <v>490</v>
      </c>
      <c r="B491" s="1" t="s">
        <v>11108</v>
      </c>
      <c r="C491" s="6"/>
      <c r="J491" s="1" t="s">
        <v>7557</v>
      </c>
      <c r="K491" s="11" t="s">
        <v>11964</v>
      </c>
      <c r="P491" s="7" t="s">
        <v>1241</v>
      </c>
      <c r="Q491"/>
      <c r="R491"/>
      <c r="S491"/>
      <c r="T491"/>
      <c r="U491"/>
      <c r="V491"/>
      <c r="W491"/>
      <c r="X491"/>
      <c r="Y491"/>
      <c r="Z491"/>
      <c r="AA491"/>
      <c r="AB491"/>
      <c r="AC491"/>
      <c r="AD491"/>
      <c r="AE491"/>
      <c r="AF491"/>
      <c r="AG491"/>
      <c r="AH491"/>
      <c r="AI491"/>
      <c r="AJ491"/>
      <c r="AK491"/>
      <c r="AL491"/>
      <c r="AM491"/>
      <c r="AN491"/>
      <c r="AO491"/>
      <c r="AP491"/>
      <c r="AQ491"/>
      <c r="AR491"/>
      <c r="AS491"/>
      <c r="AT491"/>
      <c r="AU491"/>
      <c r="AV491" s="1" t="s">
        <v>38</v>
      </c>
      <c r="BG491" s="7" t="s">
        <v>1242</v>
      </c>
    </row>
    <row r="492" spans="1:59" s="1" customFormat="1" ht="126" x14ac:dyDescent="0.45">
      <c r="A492" s="5">
        <v>491</v>
      </c>
      <c r="B492" s="1" t="s">
        <v>11109</v>
      </c>
      <c r="C492" s="6"/>
      <c r="J492" s="1" t="s">
        <v>7557</v>
      </c>
      <c r="K492" s="2" t="s">
        <v>10364</v>
      </c>
      <c r="P492" s="7" t="s">
        <v>1241</v>
      </c>
      <c r="Q492"/>
      <c r="R492"/>
      <c r="S492"/>
      <c r="T492"/>
      <c r="U492"/>
      <c r="V492"/>
      <c r="W492"/>
      <c r="X492"/>
      <c r="Y492"/>
      <c r="Z492"/>
      <c r="AA492"/>
      <c r="AB492"/>
      <c r="AC492"/>
      <c r="AD492"/>
      <c r="AE492"/>
      <c r="AF492"/>
      <c r="AG492"/>
      <c r="AH492"/>
      <c r="AI492"/>
      <c r="AJ492"/>
      <c r="AK492"/>
      <c r="AL492"/>
      <c r="AM492"/>
      <c r="AN492"/>
      <c r="AO492"/>
      <c r="AP492"/>
      <c r="AQ492"/>
      <c r="AR492"/>
      <c r="AS492"/>
      <c r="AT492"/>
      <c r="AU492"/>
      <c r="AV492" s="1" t="s">
        <v>38</v>
      </c>
      <c r="BG492" s="7" t="s">
        <v>1242</v>
      </c>
    </row>
    <row r="493" spans="1:59" s="1" customFormat="1" ht="108" x14ac:dyDescent="0.45">
      <c r="A493" s="5">
        <v>492</v>
      </c>
      <c r="B493" s="1" t="s">
        <v>11110</v>
      </c>
      <c r="C493" s="6"/>
      <c r="J493" s="1" t="s">
        <v>7557</v>
      </c>
      <c r="K493" s="11" t="s">
        <v>11965</v>
      </c>
      <c r="P493" s="7" t="s">
        <v>1241</v>
      </c>
      <c r="Q493"/>
      <c r="R493"/>
      <c r="S493"/>
      <c r="T493"/>
      <c r="U493"/>
      <c r="V493"/>
      <c r="W493"/>
      <c r="X493"/>
      <c r="Y493"/>
      <c r="Z493"/>
      <c r="AA493"/>
      <c r="AB493"/>
      <c r="AC493"/>
      <c r="AD493"/>
      <c r="AE493"/>
      <c r="AF493"/>
      <c r="AG493"/>
      <c r="AH493"/>
      <c r="AI493"/>
      <c r="AJ493"/>
      <c r="AK493"/>
      <c r="AL493"/>
      <c r="AM493"/>
      <c r="AN493"/>
      <c r="AO493"/>
      <c r="AP493"/>
      <c r="AQ493"/>
      <c r="AR493"/>
      <c r="AS493"/>
      <c r="AT493"/>
      <c r="AU493"/>
      <c r="AV493" s="1" t="s">
        <v>38</v>
      </c>
      <c r="BG493" s="7" t="s">
        <v>1242</v>
      </c>
    </row>
    <row r="494" spans="1:59" s="1" customFormat="1" ht="72" x14ac:dyDescent="0.45">
      <c r="A494" s="5">
        <v>493</v>
      </c>
      <c r="B494" s="1" t="s">
        <v>11111</v>
      </c>
      <c r="C494" s="6"/>
      <c r="J494" s="1" t="s">
        <v>7557</v>
      </c>
      <c r="K494" s="2" t="s">
        <v>10365</v>
      </c>
      <c r="P494" s="7" t="s">
        <v>1241</v>
      </c>
      <c r="Q494"/>
      <c r="R494"/>
      <c r="S494"/>
      <c r="T494"/>
      <c r="U494"/>
      <c r="V494"/>
      <c r="W494"/>
      <c r="X494"/>
      <c r="Y494"/>
      <c r="Z494"/>
      <c r="AA494"/>
      <c r="AB494"/>
      <c r="AC494"/>
      <c r="AD494"/>
      <c r="AE494"/>
      <c r="AF494"/>
      <c r="AG494"/>
      <c r="AH494"/>
      <c r="AI494"/>
      <c r="AJ494"/>
      <c r="AK494"/>
      <c r="AL494"/>
      <c r="AM494"/>
      <c r="AN494"/>
      <c r="AO494"/>
      <c r="AP494"/>
      <c r="AQ494"/>
      <c r="AR494"/>
      <c r="AS494"/>
      <c r="AT494"/>
      <c r="AU494"/>
      <c r="AV494" s="1" t="s">
        <v>38</v>
      </c>
      <c r="BG494" s="7" t="s">
        <v>1242</v>
      </c>
    </row>
    <row r="495" spans="1:59" s="1" customFormat="1" ht="90" x14ac:dyDescent="0.45">
      <c r="A495" s="5">
        <v>494</v>
      </c>
      <c r="B495" s="1" t="s">
        <v>11112</v>
      </c>
      <c r="C495" s="6"/>
      <c r="J495" s="1" t="s">
        <v>7557</v>
      </c>
      <c r="K495" s="2" t="s">
        <v>10366</v>
      </c>
      <c r="P495" s="7" t="s">
        <v>1241</v>
      </c>
      <c r="Q495"/>
      <c r="R495"/>
      <c r="S495"/>
      <c r="T495"/>
      <c r="U495"/>
      <c r="V495"/>
      <c r="W495"/>
      <c r="X495"/>
      <c r="Y495"/>
      <c r="Z495"/>
      <c r="AA495"/>
      <c r="AB495"/>
      <c r="AC495"/>
      <c r="AD495"/>
      <c r="AE495"/>
      <c r="AF495"/>
      <c r="AG495"/>
      <c r="AH495"/>
      <c r="AI495"/>
      <c r="AJ495"/>
      <c r="AK495"/>
      <c r="AL495"/>
      <c r="AM495"/>
      <c r="AN495"/>
      <c r="AO495"/>
      <c r="AP495"/>
      <c r="AQ495"/>
      <c r="AR495"/>
      <c r="AS495"/>
      <c r="AT495"/>
      <c r="AU495"/>
      <c r="AV495" s="1" t="s">
        <v>38</v>
      </c>
      <c r="BG495" s="7" t="s">
        <v>1242</v>
      </c>
    </row>
    <row r="496" spans="1:59" s="1" customFormat="1" ht="72" x14ac:dyDescent="0.45">
      <c r="A496" s="5">
        <v>495</v>
      </c>
      <c r="B496" s="1" t="s">
        <v>11113</v>
      </c>
      <c r="C496" s="6"/>
      <c r="J496" s="1" t="s">
        <v>7557</v>
      </c>
      <c r="K496" s="2" t="s">
        <v>10367</v>
      </c>
      <c r="P496" s="7" t="s">
        <v>1241</v>
      </c>
      <c r="Q496"/>
      <c r="R496"/>
      <c r="S496"/>
      <c r="T496"/>
      <c r="U496"/>
      <c r="V496"/>
      <c r="W496"/>
      <c r="X496"/>
      <c r="Y496"/>
      <c r="Z496"/>
      <c r="AA496"/>
      <c r="AB496"/>
      <c r="AC496"/>
      <c r="AD496"/>
      <c r="AE496"/>
      <c r="AF496"/>
      <c r="AG496"/>
      <c r="AH496"/>
      <c r="AI496"/>
      <c r="AJ496"/>
      <c r="AK496"/>
      <c r="AL496"/>
      <c r="AM496"/>
      <c r="AN496"/>
      <c r="AO496"/>
      <c r="AP496"/>
      <c r="AQ496"/>
      <c r="AR496"/>
      <c r="AS496"/>
      <c r="AT496"/>
      <c r="AU496"/>
      <c r="AV496" s="1" t="s">
        <v>38</v>
      </c>
      <c r="BG496" s="7" t="s">
        <v>1242</v>
      </c>
    </row>
    <row r="497" spans="1:59" s="1" customFormat="1" ht="90" x14ac:dyDescent="0.45">
      <c r="A497" s="5">
        <v>496</v>
      </c>
      <c r="B497" s="1" t="s">
        <v>11114</v>
      </c>
      <c r="C497" s="6"/>
      <c r="J497" s="1" t="s">
        <v>7557</v>
      </c>
      <c r="K497" s="11" t="s">
        <v>11966</v>
      </c>
      <c r="P497" s="7" t="s">
        <v>1241</v>
      </c>
      <c r="Q497"/>
      <c r="R497"/>
      <c r="S497"/>
      <c r="T497"/>
      <c r="U497"/>
      <c r="V497"/>
      <c r="W497"/>
      <c r="X497"/>
      <c r="Y497"/>
      <c r="Z497"/>
      <c r="AA497"/>
      <c r="AB497"/>
      <c r="AC497"/>
      <c r="AD497"/>
      <c r="AE497"/>
      <c r="AF497"/>
      <c r="AG497"/>
      <c r="AH497"/>
      <c r="AI497"/>
      <c r="AJ497"/>
      <c r="AK497"/>
      <c r="AL497"/>
      <c r="AM497"/>
      <c r="AN497"/>
      <c r="AO497"/>
      <c r="AP497"/>
      <c r="AQ497"/>
      <c r="AR497"/>
      <c r="AS497"/>
      <c r="AT497"/>
      <c r="AU497"/>
      <c r="AV497" s="1" t="s">
        <v>38</v>
      </c>
      <c r="BG497" s="7" t="s">
        <v>1242</v>
      </c>
    </row>
    <row r="498" spans="1:59" s="1" customFormat="1" ht="90" x14ac:dyDescent="0.45">
      <c r="A498" s="5">
        <v>497</v>
      </c>
      <c r="B498" s="1" t="s">
        <v>11115</v>
      </c>
      <c r="C498" s="6"/>
      <c r="J498" s="1" t="s">
        <v>7557</v>
      </c>
      <c r="K498" s="11" t="s">
        <v>11967</v>
      </c>
      <c r="P498" s="7" t="s">
        <v>1241</v>
      </c>
      <c r="Q498"/>
      <c r="R498"/>
      <c r="S498"/>
      <c r="T498"/>
      <c r="U498"/>
      <c r="V498"/>
      <c r="W498"/>
      <c r="X498"/>
      <c r="Y498"/>
      <c r="Z498"/>
      <c r="AA498"/>
      <c r="AB498"/>
      <c r="AC498"/>
      <c r="AD498"/>
      <c r="AE498"/>
      <c r="AF498"/>
      <c r="AG498"/>
      <c r="AH498"/>
      <c r="AI498"/>
      <c r="AJ498"/>
      <c r="AK498"/>
      <c r="AL498"/>
      <c r="AM498"/>
      <c r="AN498"/>
      <c r="AO498"/>
      <c r="AP498"/>
      <c r="AQ498"/>
      <c r="AR498"/>
      <c r="AS498"/>
      <c r="AT498"/>
      <c r="AU498"/>
      <c r="AV498" s="1" t="s">
        <v>38</v>
      </c>
      <c r="BG498" s="7" t="s">
        <v>1242</v>
      </c>
    </row>
    <row r="499" spans="1:59" s="1" customFormat="1" ht="54" x14ac:dyDescent="0.45">
      <c r="A499" s="5">
        <v>498</v>
      </c>
      <c r="B499" s="1" t="s">
        <v>11116</v>
      </c>
      <c r="C499" s="6"/>
      <c r="J499" s="1" t="s">
        <v>7557</v>
      </c>
      <c r="K499" s="2" t="s">
        <v>10368</v>
      </c>
      <c r="P499" s="7" t="s">
        <v>1241</v>
      </c>
      <c r="Q499"/>
      <c r="R499"/>
      <c r="S499"/>
      <c r="T499"/>
      <c r="U499"/>
      <c r="V499"/>
      <c r="W499"/>
      <c r="X499"/>
      <c r="Y499"/>
      <c r="Z499"/>
      <c r="AA499"/>
      <c r="AB499"/>
      <c r="AC499"/>
      <c r="AD499"/>
      <c r="AE499"/>
      <c r="AF499"/>
      <c r="AG499"/>
      <c r="AH499"/>
      <c r="AI499"/>
      <c r="AJ499"/>
      <c r="AK499"/>
      <c r="AL499"/>
      <c r="AM499"/>
      <c r="AN499"/>
      <c r="AO499"/>
      <c r="AP499"/>
      <c r="AQ499"/>
      <c r="AR499"/>
      <c r="AS499"/>
      <c r="AT499"/>
      <c r="AU499"/>
      <c r="AV499" s="1" t="s">
        <v>38</v>
      </c>
      <c r="BG499" s="7" t="s">
        <v>1242</v>
      </c>
    </row>
    <row r="500" spans="1:59" s="1" customFormat="1" ht="90" x14ac:dyDescent="0.45">
      <c r="A500" s="5">
        <v>499</v>
      </c>
      <c r="B500" s="1" t="s">
        <v>11117</v>
      </c>
      <c r="C500" s="6"/>
      <c r="J500" s="1" t="s">
        <v>7557</v>
      </c>
      <c r="K500" s="2" t="s">
        <v>10369</v>
      </c>
      <c r="P500" s="7" t="s">
        <v>1241</v>
      </c>
      <c r="Q500"/>
      <c r="R500"/>
      <c r="S500"/>
      <c r="T500"/>
      <c r="U500"/>
      <c r="V500"/>
      <c r="W500"/>
      <c r="X500"/>
      <c r="Y500"/>
      <c r="Z500"/>
      <c r="AA500"/>
      <c r="AB500"/>
      <c r="AC500"/>
      <c r="AD500"/>
      <c r="AE500"/>
      <c r="AF500"/>
      <c r="AG500"/>
      <c r="AH500"/>
      <c r="AI500"/>
      <c r="AJ500"/>
      <c r="AK500"/>
      <c r="AL500"/>
      <c r="AM500"/>
      <c r="AN500"/>
      <c r="AO500"/>
      <c r="AP500"/>
      <c r="AQ500"/>
      <c r="AR500"/>
      <c r="AS500"/>
      <c r="AT500"/>
      <c r="AU500"/>
      <c r="AV500" s="1" t="s">
        <v>38</v>
      </c>
      <c r="BG500" s="7" t="s">
        <v>1242</v>
      </c>
    </row>
    <row r="501" spans="1:59" s="1" customFormat="1" ht="54" x14ac:dyDescent="0.45">
      <c r="A501" s="5">
        <v>500</v>
      </c>
      <c r="B501" s="1" t="s">
        <v>11118</v>
      </c>
      <c r="C501" s="6"/>
      <c r="J501" s="1" t="s">
        <v>7557</v>
      </c>
      <c r="K501" s="2" t="s">
        <v>10459</v>
      </c>
      <c r="P501" s="7" t="s">
        <v>1241</v>
      </c>
      <c r="Q501"/>
      <c r="R501"/>
      <c r="S501"/>
      <c r="T501"/>
      <c r="U501"/>
      <c r="V501"/>
      <c r="W501"/>
      <c r="X501"/>
      <c r="Y501"/>
      <c r="Z501"/>
      <c r="AA501"/>
      <c r="AB501"/>
      <c r="AC501"/>
      <c r="AD501"/>
      <c r="AE501"/>
      <c r="AF501"/>
      <c r="AG501"/>
      <c r="AH501"/>
      <c r="AI501"/>
      <c r="AJ501"/>
      <c r="AK501"/>
      <c r="AL501"/>
      <c r="AM501"/>
      <c r="AN501"/>
      <c r="AO501"/>
      <c r="AP501"/>
      <c r="AQ501"/>
      <c r="AR501"/>
      <c r="AS501"/>
      <c r="AT501"/>
      <c r="AU501"/>
      <c r="AV501" s="1" t="s">
        <v>38</v>
      </c>
      <c r="BG501" s="7" t="s">
        <v>1242</v>
      </c>
    </row>
    <row r="502" spans="1:59" s="1" customFormat="1" ht="90" x14ac:dyDescent="0.45">
      <c r="A502" s="5">
        <v>501</v>
      </c>
      <c r="B502" s="1" t="s">
        <v>11119</v>
      </c>
      <c r="C502" s="6"/>
      <c r="J502" s="1" t="s">
        <v>7557</v>
      </c>
      <c r="K502" s="2" t="s">
        <v>10374</v>
      </c>
      <c r="P502" s="7" t="s">
        <v>1241</v>
      </c>
      <c r="Q502"/>
      <c r="R502"/>
      <c r="S502"/>
      <c r="T502"/>
      <c r="U502"/>
      <c r="V502"/>
      <c r="W502"/>
      <c r="X502"/>
      <c r="Y502"/>
      <c r="Z502"/>
      <c r="AA502"/>
      <c r="AB502"/>
      <c r="AC502"/>
      <c r="AD502"/>
      <c r="AE502"/>
      <c r="AF502"/>
      <c r="AG502"/>
      <c r="AH502"/>
      <c r="AI502"/>
      <c r="AJ502"/>
      <c r="AK502"/>
      <c r="AL502"/>
      <c r="AM502"/>
      <c r="AN502"/>
      <c r="AO502"/>
      <c r="AP502"/>
      <c r="AQ502"/>
      <c r="AR502"/>
      <c r="AS502"/>
      <c r="AT502"/>
      <c r="AU502"/>
      <c r="AV502" s="1" t="s">
        <v>38</v>
      </c>
      <c r="BG502" s="7" t="s">
        <v>1242</v>
      </c>
    </row>
    <row r="503" spans="1:59" s="1" customFormat="1" ht="108" x14ac:dyDescent="0.45">
      <c r="A503" s="5">
        <v>502</v>
      </c>
      <c r="B503" s="1" t="s">
        <v>11120</v>
      </c>
      <c r="C503" s="6"/>
      <c r="J503" s="1" t="s">
        <v>7557</v>
      </c>
      <c r="K503" s="2" t="s">
        <v>10375</v>
      </c>
      <c r="P503" s="7" t="s">
        <v>1241</v>
      </c>
      <c r="Q503"/>
      <c r="R503"/>
      <c r="S503"/>
      <c r="T503"/>
      <c r="U503"/>
      <c r="V503"/>
      <c r="W503"/>
      <c r="X503"/>
      <c r="Y503"/>
      <c r="Z503"/>
      <c r="AA503"/>
      <c r="AB503"/>
      <c r="AC503"/>
      <c r="AD503"/>
      <c r="AE503"/>
      <c r="AF503"/>
      <c r="AG503"/>
      <c r="AH503"/>
      <c r="AI503"/>
      <c r="AJ503"/>
      <c r="AK503"/>
      <c r="AL503"/>
      <c r="AM503"/>
      <c r="AN503"/>
      <c r="AO503"/>
      <c r="AP503"/>
      <c r="AQ503"/>
      <c r="AR503"/>
      <c r="AS503"/>
      <c r="AT503"/>
      <c r="AU503"/>
      <c r="AV503" s="1" t="s">
        <v>38</v>
      </c>
      <c r="BG503" s="7" t="s">
        <v>1242</v>
      </c>
    </row>
    <row r="504" spans="1:59" s="1" customFormat="1" ht="144" x14ac:dyDescent="0.45">
      <c r="A504" s="5">
        <v>503</v>
      </c>
      <c r="B504" s="1" t="s">
        <v>11121</v>
      </c>
      <c r="C504" s="6"/>
      <c r="J504" s="1" t="s">
        <v>7557</v>
      </c>
      <c r="K504" s="2" t="s">
        <v>11678</v>
      </c>
      <c r="P504" s="7" t="s">
        <v>1241</v>
      </c>
      <c r="Q504"/>
      <c r="R504"/>
      <c r="S504"/>
      <c r="T504"/>
      <c r="U504"/>
      <c r="V504"/>
      <c r="W504"/>
      <c r="X504"/>
      <c r="Y504"/>
      <c r="Z504"/>
      <c r="AA504"/>
      <c r="AB504"/>
      <c r="AC504"/>
      <c r="AD504"/>
      <c r="AE504"/>
      <c r="AF504"/>
      <c r="AG504"/>
      <c r="AH504"/>
      <c r="AI504"/>
      <c r="AJ504"/>
      <c r="AK504"/>
      <c r="AL504"/>
      <c r="AM504"/>
      <c r="AN504"/>
      <c r="AO504"/>
      <c r="AP504"/>
      <c r="AQ504"/>
      <c r="AR504"/>
      <c r="AS504"/>
      <c r="AT504"/>
      <c r="AU504"/>
      <c r="AV504" s="1" t="s">
        <v>38</v>
      </c>
      <c r="BG504" s="7" t="s">
        <v>1242</v>
      </c>
    </row>
    <row r="505" spans="1:59" s="1" customFormat="1" ht="144" x14ac:dyDescent="0.45">
      <c r="A505" s="5">
        <v>504</v>
      </c>
      <c r="B505" s="1" t="s">
        <v>11122</v>
      </c>
      <c r="C505" s="6"/>
      <c r="J505" s="1" t="s">
        <v>7557</v>
      </c>
      <c r="K505" s="2" t="s">
        <v>11715</v>
      </c>
      <c r="P505" s="7" t="s">
        <v>1241</v>
      </c>
      <c r="Q505"/>
      <c r="R505"/>
      <c r="S505"/>
      <c r="T505"/>
      <c r="U505"/>
      <c r="V505"/>
      <c r="W505"/>
      <c r="X505"/>
      <c r="Y505"/>
      <c r="Z505"/>
      <c r="AA505"/>
      <c r="AB505"/>
      <c r="AC505"/>
      <c r="AD505"/>
      <c r="AE505"/>
      <c r="AF505"/>
      <c r="AG505"/>
      <c r="AH505"/>
      <c r="AI505"/>
      <c r="AJ505"/>
      <c r="AK505"/>
      <c r="AL505"/>
      <c r="AM505"/>
      <c r="AN505"/>
      <c r="AO505"/>
      <c r="AP505"/>
      <c r="AQ505"/>
      <c r="AR505"/>
      <c r="AS505"/>
      <c r="AT505"/>
      <c r="AU505"/>
      <c r="AV505" s="1" t="s">
        <v>38</v>
      </c>
      <c r="BG505" s="7" t="s">
        <v>1242</v>
      </c>
    </row>
    <row r="506" spans="1:59" s="1" customFormat="1" ht="72" x14ac:dyDescent="0.45">
      <c r="A506" s="5">
        <v>505</v>
      </c>
      <c r="B506" s="1" t="s">
        <v>11123</v>
      </c>
      <c r="C506" s="6"/>
      <c r="J506" s="1" t="s">
        <v>7557</v>
      </c>
      <c r="K506" s="2" t="s">
        <v>10376</v>
      </c>
      <c r="P506" s="7" t="s">
        <v>1241</v>
      </c>
      <c r="Q506"/>
      <c r="R506"/>
      <c r="S506"/>
      <c r="T506"/>
      <c r="U506"/>
      <c r="V506"/>
      <c r="W506"/>
      <c r="X506"/>
      <c r="Y506"/>
      <c r="Z506"/>
      <c r="AA506"/>
      <c r="AB506"/>
      <c r="AC506"/>
      <c r="AD506"/>
      <c r="AE506"/>
      <c r="AF506"/>
      <c r="AG506"/>
      <c r="AH506"/>
      <c r="AI506"/>
      <c r="AJ506"/>
      <c r="AK506"/>
      <c r="AL506"/>
      <c r="AM506"/>
      <c r="AN506"/>
      <c r="AO506"/>
      <c r="AP506"/>
      <c r="AQ506"/>
      <c r="AR506"/>
      <c r="AS506"/>
      <c r="AT506"/>
      <c r="AU506"/>
      <c r="AV506" s="1" t="s">
        <v>38</v>
      </c>
      <c r="BG506" s="7" t="s">
        <v>1242</v>
      </c>
    </row>
    <row r="507" spans="1:59" s="1" customFormat="1" ht="90" x14ac:dyDescent="0.45">
      <c r="A507" s="5">
        <v>506</v>
      </c>
      <c r="B507" s="1" t="s">
        <v>11124</v>
      </c>
      <c r="C507" s="6"/>
      <c r="J507" s="1" t="s">
        <v>7557</v>
      </c>
      <c r="K507" s="2" t="s">
        <v>10377</v>
      </c>
      <c r="P507" s="7" t="s">
        <v>1241</v>
      </c>
      <c r="Q507"/>
      <c r="R507"/>
      <c r="S507"/>
      <c r="T507"/>
      <c r="U507"/>
      <c r="V507"/>
      <c r="W507"/>
      <c r="X507"/>
      <c r="Y507"/>
      <c r="Z507"/>
      <c r="AA507"/>
      <c r="AB507"/>
      <c r="AC507"/>
      <c r="AD507"/>
      <c r="AE507"/>
      <c r="AF507"/>
      <c r="AG507"/>
      <c r="AH507"/>
      <c r="AI507"/>
      <c r="AJ507"/>
      <c r="AK507"/>
      <c r="AL507"/>
      <c r="AM507"/>
      <c r="AN507"/>
      <c r="AO507"/>
      <c r="AP507"/>
      <c r="AQ507"/>
      <c r="AR507"/>
      <c r="AS507"/>
      <c r="AT507"/>
      <c r="AU507"/>
      <c r="AV507" s="1" t="s">
        <v>38</v>
      </c>
      <c r="BG507" s="7" t="s">
        <v>1242</v>
      </c>
    </row>
    <row r="508" spans="1:59" s="1" customFormat="1" ht="180" x14ac:dyDescent="0.45">
      <c r="A508" s="5">
        <v>507</v>
      </c>
      <c r="B508" s="1" t="s">
        <v>11125</v>
      </c>
      <c r="C508" s="6"/>
      <c r="J508" s="1" t="s">
        <v>7557</v>
      </c>
      <c r="K508" s="11" t="s">
        <v>11968</v>
      </c>
      <c r="P508" s="7" t="s">
        <v>1241</v>
      </c>
      <c r="Q508"/>
      <c r="R508"/>
      <c r="S508"/>
      <c r="T508"/>
      <c r="U508"/>
      <c r="V508"/>
      <c r="W508"/>
      <c r="X508"/>
      <c r="Y508"/>
      <c r="Z508"/>
      <c r="AA508"/>
      <c r="AB508"/>
      <c r="AC508"/>
      <c r="AD508"/>
      <c r="AE508"/>
      <c r="AF508"/>
      <c r="AG508"/>
      <c r="AH508"/>
      <c r="AI508"/>
      <c r="AJ508"/>
      <c r="AK508"/>
      <c r="AL508"/>
      <c r="AM508"/>
      <c r="AN508"/>
      <c r="AO508"/>
      <c r="AP508"/>
      <c r="AQ508"/>
      <c r="AR508"/>
      <c r="AS508"/>
      <c r="AT508"/>
      <c r="AU508"/>
      <c r="AV508" s="1" t="s">
        <v>38</v>
      </c>
      <c r="BG508" s="7" t="s">
        <v>1242</v>
      </c>
    </row>
    <row r="509" spans="1:59" s="1" customFormat="1" ht="90" x14ac:dyDescent="0.45">
      <c r="A509" s="5">
        <v>508</v>
      </c>
      <c r="B509" s="1" t="s">
        <v>11126</v>
      </c>
      <c r="C509" s="6"/>
      <c r="J509" s="1" t="s">
        <v>7557</v>
      </c>
      <c r="K509" s="11" t="s">
        <v>11969</v>
      </c>
      <c r="P509" s="7" t="s">
        <v>1241</v>
      </c>
      <c r="Q509"/>
      <c r="R509"/>
      <c r="S509"/>
      <c r="T509"/>
      <c r="U509"/>
      <c r="V509"/>
      <c r="W509"/>
      <c r="X509"/>
      <c r="Y509"/>
      <c r="Z509"/>
      <c r="AA509"/>
      <c r="AB509"/>
      <c r="AC509"/>
      <c r="AD509"/>
      <c r="AE509"/>
      <c r="AF509"/>
      <c r="AG509"/>
      <c r="AH509"/>
      <c r="AI509"/>
      <c r="AJ509"/>
      <c r="AK509"/>
      <c r="AL509"/>
      <c r="AM509"/>
      <c r="AN509"/>
      <c r="AO509"/>
      <c r="AP509"/>
      <c r="AQ509"/>
      <c r="AR509"/>
      <c r="AS509"/>
      <c r="AT509"/>
      <c r="AU509"/>
      <c r="AV509" s="1" t="s">
        <v>38</v>
      </c>
      <c r="BG509" s="7" t="s">
        <v>1242</v>
      </c>
    </row>
    <row r="510" spans="1:59" s="1" customFormat="1" ht="162" x14ac:dyDescent="0.45">
      <c r="A510" s="5">
        <v>509</v>
      </c>
      <c r="B510" s="1" t="s">
        <v>11127</v>
      </c>
      <c r="C510" s="6"/>
      <c r="J510" s="1" t="s">
        <v>7557</v>
      </c>
      <c r="K510" s="11" t="s">
        <v>11970</v>
      </c>
      <c r="P510" s="7" t="s">
        <v>1241</v>
      </c>
      <c r="Q510"/>
      <c r="R510"/>
      <c r="S510"/>
      <c r="T510"/>
      <c r="U510"/>
      <c r="V510"/>
      <c r="W510"/>
      <c r="X510"/>
      <c r="Y510"/>
      <c r="Z510"/>
      <c r="AA510"/>
      <c r="AB510"/>
      <c r="AC510"/>
      <c r="AD510"/>
      <c r="AE510"/>
      <c r="AF510"/>
      <c r="AG510"/>
      <c r="AH510"/>
      <c r="AI510"/>
      <c r="AJ510"/>
      <c r="AK510"/>
      <c r="AL510"/>
      <c r="AM510"/>
      <c r="AN510"/>
      <c r="AO510"/>
      <c r="AP510"/>
      <c r="AQ510"/>
      <c r="AR510"/>
      <c r="AS510"/>
      <c r="AT510"/>
      <c r="AU510"/>
      <c r="AV510" s="1" t="s">
        <v>38</v>
      </c>
      <c r="BG510" s="7" t="s">
        <v>1242</v>
      </c>
    </row>
    <row r="511" spans="1:59" s="1" customFormat="1" ht="72" x14ac:dyDescent="0.45">
      <c r="A511" s="5">
        <v>510</v>
      </c>
      <c r="B511" s="1" t="s">
        <v>11128</v>
      </c>
      <c r="C511" s="6"/>
      <c r="J511" s="1" t="s">
        <v>7557</v>
      </c>
      <c r="K511" s="2" t="s">
        <v>10378</v>
      </c>
      <c r="P511" s="7" t="s">
        <v>1241</v>
      </c>
      <c r="Q511"/>
      <c r="R511"/>
      <c r="S511"/>
      <c r="T511"/>
      <c r="U511"/>
      <c r="V511"/>
      <c r="W511"/>
      <c r="X511"/>
      <c r="Y511"/>
      <c r="Z511"/>
      <c r="AA511"/>
      <c r="AB511"/>
      <c r="AC511"/>
      <c r="AD511"/>
      <c r="AE511"/>
      <c r="AF511"/>
      <c r="AG511"/>
      <c r="AH511"/>
      <c r="AI511"/>
      <c r="AJ511"/>
      <c r="AK511"/>
      <c r="AL511"/>
      <c r="AM511"/>
      <c r="AN511"/>
      <c r="AO511"/>
      <c r="AP511"/>
      <c r="AQ511"/>
      <c r="AR511"/>
      <c r="AS511"/>
      <c r="AT511"/>
      <c r="AU511"/>
      <c r="AV511" s="1" t="s">
        <v>38</v>
      </c>
      <c r="BG511" s="7" t="s">
        <v>1242</v>
      </c>
    </row>
    <row r="512" spans="1:59" s="1" customFormat="1" ht="126" x14ac:dyDescent="0.45">
      <c r="A512" s="5">
        <v>511</v>
      </c>
      <c r="B512" s="1" t="s">
        <v>11129</v>
      </c>
      <c r="C512" s="6"/>
      <c r="J512" s="1" t="s">
        <v>7557</v>
      </c>
      <c r="K512" s="11" t="s">
        <v>11971</v>
      </c>
      <c r="P512" s="7" t="s">
        <v>1241</v>
      </c>
      <c r="Q512"/>
      <c r="R512"/>
      <c r="S512"/>
      <c r="T512"/>
      <c r="U512"/>
      <c r="V512"/>
      <c r="W512"/>
      <c r="X512"/>
      <c r="Y512"/>
      <c r="Z512"/>
      <c r="AA512"/>
      <c r="AB512"/>
      <c r="AC512"/>
      <c r="AD512"/>
      <c r="AE512"/>
      <c r="AF512"/>
      <c r="AG512"/>
      <c r="AH512"/>
      <c r="AI512"/>
      <c r="AJ512"/>
      <c r="AK512"/>
      <c r="AL512"/>
      <c r="AM512"/>
      <c r="AN512"/>
      <c r="AO512"/>
      <c r="AP512"/>
      <c r="AQ512"/>
      <c r="AR512"/>
      <c r="AS512"/>
      <c r="AT512"/>
      <c r="AU512"/>
      <c r="AV512" s="1" t="s">
        <v>38</v>
      </c>
      <c r="BG512" s="7" t="s">
        <v>1242</v>
      </c>
    </row>
    <row r="513" spans="1:59" s="1" customFormat="1" ht="54" x14ac:dyDescent="0.45">
      <c r="A513" s="5">
        <v>512</v>
      </c>
      <c r="B513" s="1" t="s">
        <v>11130</v>
      </c>
      <c r="C513" s="6"/>
      <c r="J513" s="1" t="s">
        <v>7557</v>
      </c>
      <c r="K513" s="2" t="s">
        <v>10379</v>
      </c>
      <c r="P513" s="7" t="s">
        <v>1241</v>
      </c>
      <c r="Q513"/>
      <c r="R513"/>
      <c r="S513"/>
      <c r="T513"/>
      <c r="U513"/>
      <c r="V513"/>
      <c r="W513"/>
      <c r="X513"/>
      <c r="Y513"/>
      <c r="Z513"/>
      <c r="AA513"/>
      <c r="AB513"/>
      <c r="AC513"/>
      <c r="AD513"/>
      <c r="AE513"/>
      <c r="AF513"/>
      <c r="AG513"/>
      <c r="AH513"/>
      <c r="AI513"/>
      <c r="AJ513"/>
      <c r="AK513"/>
      <c r="AL513"/>
      <c r="AM513"/>
      <c r="AN513"/>
      <c r="AO513"/>
      <c r="AP513"/>
      <c r="AQ513"/>
      <c r="AR513"/>
      <c r="AS513"/>
      <c r="AT513"/>
      <c r="AU513"/>
      <c r="AV513" s="1" t="s">
        <v>38</v>
      </c>
      <c r="BG513" s="7" t="s">
        <v>1242</v>
      </c>
    </row>
    <row r="514" spans="1:59" s="1" customFormat="1" ht="144" x14ac:dyDescent="0.45">
      <c r="A514" s="5">
        <v>513</v>
      </c>
      <c r="B514" s="1" t="s">
        <v>11131</v>
      </c>
      <c r="C514" s="6"/>
      <c r="J514" s="1" t="s">
        <v>7557</v>
      </c>
      <c r="K514" s="11" t="s">
        <v>11972</v>
      </c>
      <c r="P514" s="7" t="s">
        <v>1241</v>
      </c>
      <c r="Q514"/>
      <c r="R514"/>
      <c r="S514"/>
      <c r="T514"/>
      <c r="U514"/>
      <c r="V514"/>
      <c r="W514"/>
      <c r="X514"/>
      <c r="Y514"/>
      <c r="Z514"/>
      <c r="AA514"/>
      <c r="AB514"/>
      <c r="AC514"/>
      <c r="AD514"/>
      <c r="AE514"/>
      <c r="AF514"/>
      <c r="AG514"/>
      <c r="AH514"/>
      <c r="AI514"/>
      <c r="AJ514"/>
      <c r="AK514"/>
      <c r="AL514"/>
      <c r="AM514"/>
      <c r="AN514"/>
      <c r="AO514"/>
      <c r="AP514"/>
      <c r="AQ514"/>
      <c r="AR514"/>
      <c r="AS514"/>
      <c r="AT514"/>
      <c r="AU514"/>
      <c r="AV514" s="1" t="s">
        <v>38</v>
      </c>
      <c r="BG514" s="7" t="s">
        <v>1242</v>
      </c>
    </row>
    <row r="515" spans="1:59" s="1" customFormat="1" ht="126" x14ac:dyDescent="0.45">
      <c r="A515" s="5">
        <v>514</v>
      </c>
      <c r="B515" s="1" t="s">
        <v>11132</v>
      </c>
      <c r="C515" s="6"/>
      <c r="J515" s="1" t="s">
        <v>7557</v>
      </c>
      <c r="K515" s="11" t="s">
        <v>11973</v>
      </c>
      <c r="P515" s="7" t="s">
        <v>1241</v>
      </c>
      <c r="Q515"/>
      <c r="R515"/>
      <c r="S515"/>
      <c r="T515"/>
      <c r="U515"/>
      <c r="V515"/>
      <c r="W515"/>
      <c r="X515"/>
      <c r="Y515"/>
      <c r="Z515"/>
      <c r="AA515"/>
      <c r="AB515"/>
      <c r="AC515"/>
      <c r="AD515"/>
      <c r="AE515"/>
      <c r="AF515"/>
      <c r="AG515"/>
      <c r="AH515"/>
      <c r="AI515"/>
      <c r="AJ515"/>
      <c r="AK515"/>
      <c r="AL515"/>
      <c r="AM515"/>
      <c r="AN515"/>
      <c r="AO515"/>
      <c r="AP515"/>
      <c r="AQ515"/>
      <c r="AR515"/>
      <c r="AS515"/>
      <c r="AT515"/>
      <c r="AU515"/>
      <c r="AV515" s="1" t="s">
        <v>38</v>
      </c>
      <c r="BG515" s="7" t="s">
        <v>1242</v>
      </c>
    </row>
    <row r="516" spans="1:59" s="1" customFormat="1" ht="90" x14ac:dyDescent="0.45">
      <c r="A516" s="5">
        <v>515</v>
      </c>
      <c r="B516" s="1" t="s">
        <v>11133</v>
      </c>
      <c r="C516" s="6"/>
      <c r="J516" s="1" t="s">
        <v>7557</v>
      </c>
      <c r="K516" s="2" t="s">
        <v>10380</v>
      </c>
      <c r="P516" s="7" t="s">
        <v>1241</v>
      </c>
      <c r="Q516"/>
      <c r="R516"/>
      <c r="S516"/>
      <c r="T516"/>
      <c r="U516"/>
      <c r="V516"/>
      <c r="W516"/>
      <c r="X516"/>
      <c r="Y516"/>
      <c r="Z516"/>
      <c r="AA516"/>
      <c r="AB516"/>
      <c r="AC516"/>
      <c r="AD516"/>
      <c r="AE516"/>
      <c r="AF516"/>
      <c r="AG516"/>
      <c r="AH516"/>
      <c r="AI516"/>
      <c r="AJ516"/>
      <c r="AK516"/>
      <c r="AL516"/>
      <c r="AM516"/>
      <c r="AN516"/>
      <c r="AO516"/>
      <c r="AP516"/>
      <c r="AQ516"/>
      <c r="AR516"/>
      <c r="AS516"/>
      <c r="AT516"/>
      <c r="AU516"/>
      <c r="AV516" s="1" t="s">
        <v>38</v>
      </c>
      <c r="BG516" s="7" t="s">
        <v>1242</v>
      </c>
    </row>
    <row r="517" spans="1:59" s="1" customFormat="1" ht="54" x14ac:dyDescent="0.45">
      <c r="A517" s="5">
        <v>516</v>
      </c>
      <c r="B517" s="1" t="s">
        <v>11134</v>
      </c>
      <c r="C517" s="6"/>
      <c r="J517" s="1" t="s">
        <v>7557</v>
      </c>
      <c r="K517" s="2" t="s">
        <v>10381</v>
      </c>
      <c r="P517" s="7" t="s">
        <v>1241</v>
      </c>
      <c r="Q517"/>
      <c r="R517"/>
      <c r="S517"/>
      <c r="T517"/>
      <c r="U517"/>
      <c r="V517"/>
      <c r="W517"/>
      <c r="X517"/>
      <c r="Y517"/>
      <c r="Z517"/>
      <c r="AA517"/>
      <c r="AB517"/>
      <c r="AC517"/>
      <c r="AD517"/>
      <c r="AE517"/>
      <c r="AF517"/>
      <c r="AG517"/>
      <c r="AH517"/>
      <c r="AI517"/>
      <c r="AJ517"/>
      <c r="AK517"/>
      <c r="AL517"/>
      <c r="AM517"/>
      <c r="AN517"/>
      <c r="AO517"/>
      <c r="AP517"/>
      <c r="AQ517"/>
      <c r="AR517"/>
      <c r="AS517"/>
      <c r="AT517"/>
      <c r="AU517"/>
      <c r="AV517" s="1" t="s">
        <v>38</v>
      </c>
      <c r="BG517" s="7" t="s">
        <v>1242</v>
      </c>
    </row>
    <row r="518" spans="1:59" s="1" customFormat="1" ht="90" x14ac:dyDescent="0.45">
      <c r="A518" s="5">
        <v>517</v>
      </c>
      <c r="B518" s="1" t="s">
        <v>11135</v>
      </c>
      <c r="C518" s="6"/>
      <c r="J518" s="1" t="s">
        <v>7557</v>
      </c>
      <c r="K518" s="2" t="s">
        <v>10382</v>
      </c>
      <c r="P518" s="7" t="s">
        <v>1241</v>
      </c>
      <c r="Q518"/>
      <c r="R518"/>
      <c r="S518"/>
      <c r="T518"/>
      <c r="U518"/>
      <c r="V518"/>
      <c r="W518"/>
      <c r="X518"/>
      <c r="Y518"/>
      <c r="Z518"/>
      <c r="AA518"/>
      <c r="AB518"/>
      <c r="AC518"/>
      <c r="AD518"/>
      <c r="AE518"/>
      <c r="AF518"/>
      <c r="AG518"/>
      <c r="AH518"/>
      <c r="AI518"/>
      <c r="AJ518"/>
      <c r="AK518"/>
      <c r="AL518"/>
      <c r="AM518"/>
      <c r="AN518"/>
      <c r="AO518"/>
      <c r="AP518"/>
      <c r="AQ518"/>
      <c r="AR518"/>
      <c r="AS518"/>
      <c r="AT518"/>
      <c r="AU518"/>
      <c r="AV518" s="1" t="s">
        <v>38</v>
      </c>
      <c r="BG518" s="7" t="s">
        <v>1242</v>
      </c>
    </row>
    <row r="519" spans="1:59" s="1" customFormat="1" ht="36" x14ac:dyDescent="0.45">
      <c r="A519" s="5">
        <v>518</v>
      </c>
      <c r="B519" s="1" t="s">
        <v>11136</v>
      </c>
      <c r="C519" s="6"/>
      <c r="J519" s="1" t="s">
        <v>7557</v>
      </c>
      <c r="K519" s="2" t="s">
        <v>10383</v>
      </c>
      <c r="P519" s="7" t="s">
        <v>1241</v>
      </c>
      <c r="Q519"/>
      <c r="R519"/>
      <c r="S519"/>
      <c r="T519"/>
      <c r="U519"/>
      <c r="V519"/>
      <c r="W519"/>
      <c r="X519"/>
      <c r="Y519"/>
      <c r="Z519"/>
      <c r="AA519"/>
      <c r="AB519"/>
      <c r="AC519"/>
      <c r="AD519"/>
      <c r="AE519"/>
      <c r="AF519"/>
      <c r="AG519"/>
      <c r="AH519"/>
      <c r="AI519"/>
      <c r="AJ519"/>
      <c r="AK519"/>
      <c r="AL519"/>
      <c r="AM519"/>
      <c r="AN519"/>
      <c r="AO519"/>
      <c r="AP519"/>
      <c r="AQ519"/>
      <c r="AR519"/>
      <c r="AS519"/>
      <c r="AT519"/>
      <c r="AU519"/>
      <c r="AV519" s="1" t="s">
        <v>38</v>
      </c>
      <c r="BG519" s="7" t="s">
        <v>1242</v>
      </c>
    </row>
    <row r="520" spans="1:59" s="1" customFormat="1" ht="54" x14ac:dyDescent="0.45">
      <c r="A520" s="5">
        <v>519</v>
      </c>
      <c r="B520" s="1" t="s">
        <v>11137</v>
      </c>
      <c r="C520" s="6"/>
      <c r="J520" s="1" t="s">
        <v>7557</v>
      </c>
      <c r="K520" s="2" t="s">
        <v>11716</v>
      </c>
      <c r="P520" s="7" t="s">
        <v>1241</v>
      </c>
      <c r="Q520"/>
      <c r="R520"/>
      <c r="S520"/>
      <c r="T520"/>
      <c r="U520"/>
      <c r="V520"/>
      <c r="W520"/>
      <c r="X520"/>
      <c r="Y520"/>
      <c r="Z520"/>
      <c r="AA520"/>
      <c r="AB520"/>
      <c r="AC520"/>
      <c r="AD520"/>
      <c r="AE520"/>
      <c r="AF520"/>
      <c r="AG520"/>
      <c r="AH520"/>
      <c r="AI520"/>
      <c r="AJ520"/>
      <c r="AK520"/>
      <c r="AL520"/>
      <c r="AM520"/>
      <c r="AN520"/>
      <c r="AO520"/>
      <c r="AP520"/>
      <c r="AQ520"/>
      <c r="AR520"/>
      <c r="AS520"/>
      <c r="AT520"/>
      <c r="AU520"/>
      <c r="AV520" s="1" t="s">
        <v>38</v>
      </c>
      <c r="BG520" s="7" t="s">
        <v>1242</v>
      </c>
    </row>
    <row r="521" spans="1:59" s="1" customFormat="1" ht="72" x14ac:dyDescent="0.45">
      <c r="A521" s="5">
        <v>520</v>
      </c>
      <c r="B521" s="1" t="s">
        <v>11138</v>
      </c>
      <c r="C521" s="6"/>
      <c r="J521" s="1" t="s">
        <v>7557</v>
      </c>
      <c r="K521" s="2" t="s">
        <v>10384</v>
      </c>
      <c r="P521" s="7" t="s">
        <v>1241</v>
      </c>
      <c r="Q521"/>
      <c r="R521"/>
      <c r="S521"/>
      <c r="T521"/>
      <c r="U521"/>
      <c r="V521"/>
      <c r="W521"/>
      <c r="X521"/>
      <c r="Y521"/>
      <c r="Z521"/>
      <c r="AA521"/>
      <c r="AB521"/>
      <c r="AC521"/>
      <c r="AD521"/>
      <c r="AE521"/>
      <c r="AF521"/>
      <c r="AG521"/>
      <c r="AH521"/>
      <c r="AI521"/>
      <c r="AJ521"/>
      <c r="AK521"/>
      <c r="AL521"/>
      <c r="AM521"/>
      <c r="AN521"/>
      <c r="AO521"/>
      <c r="AP521"/>
      <c r="AQ521"/>
      <c r="AR521"/>
      <c r="AS521"/>
      <c r="AT521"/>
      <c r="AU521"/>
      <c r="AV521" s="1" t="s">
        <v>38</v>
      </c>
      <c r="BG521" s="7" t="s">
        <v>1242</v>
      </c>
    </row>
    <row r="522" spans="1:59" s="1" customFormat="1" ht="144" x14ac:dyDescent="0.45">
      <c r="A522" s="5">
        <v>521</v>
      </c>
      <c r="B522" s="1" t="s">
        <v>11139</v>
      </c>
      <c r="C522" s="6"/>
      <c r="J522" s="1" t="s">
        <v>7557</v>
      </c>
      <c r="K522" s="11" t="s">
        <v>11974</v>
      </c>
      <c r="P522" s="7" t="s">
        <v>1241</v>
      </c>
      <c r="Q522"/>
      <c r="R522"/>
      <c r="S522"/>
      <c r="T522"/>
      <c r="U522"/>
      <c r="V522"/>
      <c r="W522"/>
      <c r="X522"/>
      <c r="Y522"/>
      <c r="Z522"/>
      <c r="AA522"/>
      <c r="AB522"/>
      <c r="AC522"/>
      <c r="AD522"/>
      <c r="AE522"/>
      <c r="AF522"/>
      <c r="AG522"/>
      <c r="AH522"/>
      <c r="AI522"/>
      <c r="AJ522"/>
      <c r="AK522"/>
      <c r="AL522"/>
      <c r="AM522"/>
      <c r="AN522"/>
      <c r="AO522"/>
      <c r="AP522"/>
      <c r="AQ522"/>
      <c r="AR522"/>
      <c r="AS522"/>
      <c r="AT522"/>
      <c r="AU522"/>
      <c r="AV522" s="1" t="s">
        <v>38</v>
      </c>
      <c r="BG522" s="7" t="s">
        <v>1242</v>
      </c>
    </row>
    <row r="523" spans="1:59" s="1" customFormat="1" ht="72" x14ac:dyDescent="0.45">
      <c r="A523" s="5">
        <v>522</v>
      </c>
      <c r="B523" s="1" t="s">
        <v>11140</v>
      </c>
      <c r="C523" s="6"/>
      <c r="J523" s="1" t="s">
        <v>7557</v>
      </c>
      <c r="K523" s="2" t="s">
        <v>10385</v>
      </c>
      <c r="P523" s="7" t="s">
        <v>1241</v>
      </c>
      <c r="Q523"/>
      <c r="R523"/>
      <c r="S523"/>
      <c r="T523"/>
      <c r="U523"/>
      <c r="V523"/>
      <c r="W523"/>
      <c r="X523"/>
      <c r="Y523"/>
      <c r="Z523"/>
      <c r="AA523"/>
      <c r="AB523"/>
      <c r="AC523"/>
      <c r="AD523"/>
      <c r="AE523"/>
      <c r="AF523"/>
      <c r="AG523"/>
      <c r="AH523"/>
      <c r="AI523"/>
      <c r="AJ523"/>
      <c r="AK523"/>
      <c r="AL523"/>
      <c r="AM523"/>
      <c r="AN523"/>
      <c r="AO523"/>
      <c r="AP523"/>
      <c r="AQ523"/>
      <c r="AR523"/>
      <c r="AS523"/>
      <c r="AT523"/>
      <c r="AU523"/>
      <c r="AV523" s="1" t="s">
        <v>38</v>
      </c>
      <c r="BG523" s="7" t="s">
        <v>1242</v>
      </c>
    </row>
    <row r="524" spans="1:59" s="1" customFormat="1" ht="126" x14ac:dyDescent="0.45">
      <c r="A524" s="5">
        <v>523</v>
      </c>
      <c r="B524" s="1" t="s">
        <v>11141</v>
      </c>
      <c r="C524" s="6"/>
      <c r="J524" s="1" t="s">
        <v>7557</v>
      </c>
      <c r="K524" s="2" t="s">
        <v>10515</v>
      </c>
      <c r="P524" s="7" t="s">
        <v>1241</v>
      </c>
      <c r="Q524"/>
      <c r="R524"/>
      <c r="S524"/>
      <c r="T524"/>
      <c r="U524"/>
      <c r="V524"/>
      <c r="W524"/>
      <c r="X524"/>
      <c r="Y524"/>
      <c r="Z524"/>
      <c r="AA524"/>
      <c r="AB524"/>
      <c r="AC524"/>
      <c r="AD524"/>
      <c r="AE524"/>
      <c r="AF524"/>
      <c r="AG524"/>
      <c r="AH524"/>
      <c r="AI524"/>
      <c r="AJ524"/>
      <c r="AK524"/>
      <c r="AL524"/>
      <c r="AM524"/>
      <c r="AN524"/>
      <c r="AO524"/>
      <c r="AP524"/>
      <c r="AQ524"/>
      <c r="AR524"/>
      <c r="AS524"/>
      <c r="AT524"/>
      <c r="AU524"/>
      <c r="AV524" s="1" t="s">
        <v>38</v>
      </c>
      <c r="BG524" s="7" t="s">
        <v>1242</v>
      </c>
    </row>
    <row r="525" spans="1:59" s="1" customFormat="1" ht="54" x14ac:dyDescent="0.45">
      <c r="A525" s="5">
        <v>524</v>
      </c>
      <c r="B525" s="1" t="s">
        <v>11142</v>
      </c>
      <c r="C525" s="6"/>
      <c r="J525" s="1" t="s">
        <v>7557</v>
      </c>
      <c r="K525" s="2" t="s">
        <v>10386</v>
      </c>
      <c r="P525" s="7" t="s">
        <v>1241</v>
      </c>
      <c r="Q525"/>
      <c r="R525"/>
      <c r="S525"/>
      <c r="T525"/>
      <c r="U525"/>
      <c r="V525"/>
      <c r="W525"/>
      <c r="X525"/>
      <c r="Y525"/>
      <c r="Z525"/>
      <c r="AA525"/>
      <c r="AB525"/>
      <c r="AC525"/>
      <c r="AD525"/>
      <c r="AE525"/>
      <c r="AF525"/>
      <c r="AG525"/>
      <c r="AH525"/>
      <c r="AI525"/>
      <c r="AJ525"/>
      <c r="AK525"/>
      <c r="AL525"/>
      <c r="AM525"/>
      <c r="AN525"/>
      <c r="AO525"/>
      <c r="AP525"/>
      <c r="AQ525"/>
      <c r="AR525"/>
      <c r="AS525"/>
      <c r="AT525"/>
      <c r="AU525"/>
      <c r="AV525" s="1" t="s">
        <v>38</v>
      </c>
      <c r="BG525" s="7" t="s">
        <v>1242</v>
      </c>
    </row>
    <row r="526" spans="1:59" s="1" customFormat="1" ht="36" x14ac:dyDescent="0.45">
      <c r="A526" s="5">
        <v>525</v>
      </c>
      <c r="B526" s="1" t="s">
        <v>11143</v>
      </c>
      <c r="C526" s="6"/>
      <c r="J526" s="1" t="s">
        <v>7557</v>
      </c>
      <c r="K526" s="2" t="s">
        <v>10387</v>
      </c>
      <c r="P526" s="7" t="s">
        <v>1241</v>
      </c>
      <c r="Q526"/>
      <c r="R526"/>
      <c r="S526"/>
      <c r="T526"/>
      <c r="U526"/>
      <c r="V526"/>
      <c r="W526"/>
      <c r="X526"/>
      <c r="Y526"/>
      <c r="Z526"/>
      <c r="AA526"/>
      <c r="AB526"/>
      <c r="AC526"/>
      <c r="AD526"/>
      <c r="AE526"/>
      <c r="AF526"/>
      <c r="AG526"/>
      <c r="AH526"/>
      <c r="AI526"/>
      <c r="AJ526"/>
      <c r="AK526"/>
      <c r="AL526"/>
      <c r="AM526"/>
      <c r="AN526"/>
      <c r="AO526"/>
      <c r="AP526"/>
      <c r="AQ526"/>
      <c r="AR526"/>
      <c r="AS526"/>
      <c r="AT526"/>
      <c r="AU526"/>
      <c r="AV526" s="1" t="s">
        <v>38</v>
      </c>
      <c r="BG526" s="7" t="s">
        <v>1242</v>
      </c>
    </row>
    <row r="527" spans="1:59" s="1" customFormat="1" ht="54" x14ac:dyDescent="0.45">
      <c r="A527" s="5">
        <v>526</v>
      </c>
      <c r="B527" s="1" t="s">
        <v>11144</v>
      </c>
      <c r="C527" s="6"/>
      <c r="J527" s="1" t="s">
        <v>7557</v>
      </c>
      <c r="K527" s="2" t="s">
        <v>10388</v>
      </c>
      <c r="P527" s="7" t="s">
        <v>1241</v>
      </c>
      <c r="Q527"/>
      <c r="R527"/>
      <c r="S527"/>
      <c r="T527"/>
      <c r="U527"/>
      <c r="V527"/>
      <c r="W527"/>
      <c r="X527"/>
      <c r="Y527"/>
      <c r="Z527"/>
      <c r="AA527"/>
      <c r="AB527"/>
      <c r="AC527"/>
      <c r="AD527"/>
      <c r="AE527"/>
      <c r="AF527"/>
      <c r="AG527"/>
      <c r="AH527"/>
      <c r="AI527"/>
      <c r="AJ527"/>
      <c r="AK527"/>
      <c r="AL527"/>
      <c r="AM527"/>
      <c r="AN527"/>
      <c r="AO527"/>
      <c r="AP527"/>
      <c r="AQ527"/>
      <c r="AR527"/>
      <c r="AS527"/>
      <c r="AT527"/>
      <c r="AU527"/>
      <c r="AV527" s="1" t="s">
        <v>38</v>
      </c>
      <c r="BG527" s="7" t="s">
        <v>1242</v>
      </c>
    </row>
    <row r="528" spans="1:59" s="1" customFormat="1" ht="54" x14ac:dyDescent="0.45">
      <c r="A528" s="5">
        <v>527</v>
      </c>
      <c r="B528" s="1" t="s">
        <v>11145</v>
      </c>
      <c r="C528" s="6"/>
      <c r="J528" s="1" t="s">
        <v>7557</v>
      </c>
      <c r="K528" s="2" t="s">
        <v>10389</v>
      </c>
      <c r="P528" s="7" t="s">
        <v>1241</v>
      </c>
      <c r="Q528"/>
      <c r="R528"/>
      <c r="S528"/>
      <c r="T528"/>
      <c r="U528"/>
      <c r="V528"/>
      <c r="W528"/>
      <c r="X528"/>
      <c r="Y528"/>
      <c r="Z528"/>
      <c r="AA528"/>
      <c r="AB528"/>
      <c r="AC528"/>
      <c r="AD528"/>
      <c r="AE528"/>
      <c r="AF528"/>
      <c r="AG528"/>
      <c r="AH528"/>
      <c r="AI528"/>
      <c r="AJ528"/>
      <c r="AK528"/>
      <c r="AL528"/>
      <c r="AM528"/>
      <c r="AN528"/>
      <c r="AO528"/>
      <c r="AP528"/>
      <c r="AQ528"/>
      <c r="AR528"/>
      <c r="AS528"/>
      <c r="AT528"/>
      <c r="AU528"/>
      <c r="AV528" s="1" t="s">
        <v>38</v>
      </c>
      <c r="BG528" s="7" t="s">
        <v>1242</v>
      </c>
    </row>
    <row r="529" spans="1:59" s="1" customFormat="1" ht="54" x14ac:dyDescent="0.45">
      <c r="A529" s="5">
        <v>528</v>
      </c>
      <c r="B529" s="1" t="s">
        <v>11146</v>
      </c>
      <c r="C529" s="6"/>
      <c r="J529" s="1" t="s">
        <v>7557</v>
      </c>
      <c r="K529" s="2" t="s">
        <v>10390</v>
      </c>
      <c r="P529" s="7" t="s">
        <v>1241</v>
      </c>
      <c r="Q529"/>
      <c r="R529"/>
      <c r="S529"/>
      <c r="T529"/>
      <c r="U529"/>
      <c r="V529"/>
      <c r="W529"/>
      <c r="X529"/>
      <c r="Y529"/>
      <c r="Z529"/>
      <c r="AA529"/>
      <c r="AB529"/>
      <c r="AC529"/>
      <c r="AD529"/>
      <c r="AE529"/>
      <c r="AF529"/>
      <c r="AG529"/>
      <c r="AH529"/>
      <c r="AI529"/>
      <c r="AJ529"/>
      <c r="AK529"/>
      <c r="AL529"/>
      <c r="AM529"/>
      <c r="AN529"/>
      <c r="AO529"/>
      <c r="AP529"/>
      <c r="AQ529"/>
      <c r="AR529"/>
      <c r="AS529"/>
      <c r="AT529"/>
      <c r="AU529"/>
      <c r="AV529" s="1" t="s">
        <v>38</v>
      </c>
      <c r="BG529" s="7" t="s">
        <v>1242</v>
      </c>
    </row>
    <row r="530" spans="1:59" s="1" customFormat="1" ht="54" x14ac:dyDescent="0.45">
      <c r="A530" s="5">
        <v>529</v>
      </c>
      <c r="B530" s="1" t="s">
        <v>11147</v>
      </c>
      <c r="C530" s="6"/>
      <c r="J530" s="1" t="s">
        <v>7557</v>
      </c>
      <c r="K530" s="2" t="s">
        <v>10391</v>
      </c>
      <c r="P530" s="7" t="s">
        <v>1241</v>
      </c>
      <c r="Q530"/>
      <c r="R530"/>
      <c r="S530"/>
      <c r="T530"/>
      <c r="U530"/>
      <c r="V530"/>
      <c r="W530"/>
      <c r="X530"/>
      <c r="Y530"/>
      <c r="Z530"/>
      <c r="AA530"/>
      <c r="AB530"/>
      <c r="AC530"/>
      <c r="AD530"/>
      <c r="AE530"/>
      <c r="AF530"/>
      <c r="AG530"/>
      <c r="AH530"/>
      <c r="AI530"/>
      <c r="AJ530"/>
      <c r="AK530"/>
      <c r="AL530"/>
      <c r="AM530"/>
      <c r="AN530"/>
      <c r="AO530"/>
      <c r="AP530"/>
      <c r="AQ530"/>
      <c r="AR530"/>
      <c r="AS530"/>
      <c r="AT530"/>
      <c r="AU530"/>
      <c r="AV530" s="1" t="s">
        <v>38</v>
      </c>
      <c r="BG530" s="7" t="s">
        <v>1242</v>
      </c>
    </row>
    <row r="531" spans="1:59" s="1" customFormat="1" ht="54" x14ac:dyDescent="0.45">
      <c r="A531" s="5">
        <v>530</v>
      </c>
      <c r="B531" s="1" t="s">
        <v>11148</v>
      </c>
      <c r="C531" s="6"/>
      <c r="J531" s="1" t="s">
        <v>7557</v>
      </c>
      <c r="K531" s="2" t="s">
        <v>10392</v>
      </c>
      <c r="P531" s="7" t="s">
        <v>1241</v>
      </c>
      <c r="Q531"/>
      <c r="R531"/>
      <c r="S531"/>
      <c r="T531"/>
      <c r="U531"/>
      <c r="V531"/>
      <c r="W531"/>
      <c r="X531"/>
      <c r="Y531"/>
      <c r="Z531"/>
      <c r="AA531"/>
      <c r="AB531"/>
      <c r="AC531"/>
      <c r="AD531"/>
      <c r="AE531"/>
      <c r="AF531"/>
      <c r="AG531"/>
      <c r="AH531"/>
      <c r="AI531"/>
      <c r="AJ531"/>
      <c r="AK531"/>
      <c r="AL531"/>
      <c r="AM531"/>
      <c r="AN531"/>
      <c r="AO531"/>
      <c r="AP531"/>
      <c r="AQ531"/>
      <c r="AR531"/>
      <c r="AS531"/>
      <c r="AT531"/>
      <c r="AU531"/>
      <c r="AV531" s="1" t="s">
        <v>38</v>
      </c>
      <c r="BG531" s="7" t="s">
        <v>1242</v>
      </c>
    </row>
    <row r="532" spans="1:59" s="1" customFormat="1" ht="54" x14ac:dyDescent="0.45">
      <c r="A532" s="5">
        <v>531</v>
      </c>
      <c r="B532" s="1" t="s">
        <v>11149</v>
      </c>
      <c r="C532" s="6"/>
      <c r="J532" s="1" t="s">
        <v>7557</v>
      </c>
      <c r="K532" s="2" t="s">
        <v>10393</v>
      </c>
      <c r="P532" s="7" t="s">
        <v>1241</v>
      </c>
      <c r="Q532"/>
      <c r="R532"/>
      <c r="S532"/>
      <c r="T532"/>
      <c r="U532"/>
      <c r="V532"/>
      <c r="W532"/>
      <c r="X532"/>
      <c r="Y532"/>
      <c r="Z532"/>
      <c r="AA532"/>
      <c r="AB532"/>
      <c r="AC532"/>
      <c r="AD532"/>
      <c r="AE532"/>
      <c r="AF532"/>
      <c r="AG532"/>
      <c r="AH532"/>
      <c r="AI532"/>
      <c r="AJ532"/>
      <c r="AK532"/>
      <c r="AL532"/>
      <c r="AM532"/>
      <c r="AN532"/>
      <c r="AO532"/>
      <c r="AP532"/>
      <c r="AQ532"/>
      <c r="AR532"/>
      <c r="AS532"/>
      <c r="AT532"/>
      <c r="AU532"/>
      <c r="AV532" s="1" t="s">
        <v>38</v>
      </c>
      <c r="BG532" s="7" t="s">
        <v>1242</v>
      </c>
    </row>
    <row r="533" spans="1:59" s="1" customFormat="1" ht="54" x14ac:dyDescent="0.45">
      <c r="A533" s="5">
        <v>532</v>
      </c>
      <c r="B533" s="1" t="s">
        <v>11150</v>
      </c>
      <c r="C533" s="6"/>
      <c r="J533" s="1" t="s">
        <v>7557</v>
      </c>
      <c r="K533" s="2" t="s">
        <v>10394</v>
      </c>
      <c r="P533" s="7" t="s">
        <v>1241</v>
      </c>
      <c r="Q533"/>
      <c r="R533"/>
      <c r="S533"/>
      <c r="T533"/>
      <c r="U533"/>
      <c r="V533"/>
      <c r="W533"/>
      <c r="X533"/>
      <c r="Y533"/>
      <c r="Z533"/>
      <c r="AA533"/>
      <c r="AB533"/>
      <c r="AC533"/>
      <c r="AD533"/>
      <c r="AE533"/>
      <c r="AF533"/>
      <c r="AG533"/>
      <c r="AH533"/>
      <c r="AI533"/>
      <c r="AJ533"/>
      <c r="AK533"/>
      <c r="AL533"/>
      <c r="AM533"/>
      <c r="AN533"/>
      <c r="AO533"/>
      <c r="AP533"/>
      <c r="AQ533"/>
      <c r="AR533"/>
      <c r="AS533"/>
      <c r="AT533"/>
      <c r="AU533"/>
      <c r="AV533" s="1" t="s">
        <v>38</v>
      </c>
      <c r="BG533" s="7" t="s">
        <v>1242</v>
      </c>
    </row>
    <row r="534" spans="1:59" s="1" customFormat="1" ht="54" x14ac:dyDescent="0.45">
      <c r="A534" s="5">
        <v>533</v>
      </c>
      <c r="B534" s="1" t="s">
        <v>11151</v>
      </c>
      <c r="C534" s="6"/>
      <c r="J534" s="1" t="s">
        <v>7557</v>
      </c>
      <c r="K534" s="2" t="s">
        <v>10395</v>
      </c>
      <c r="P534" s="7" t="s">
        <v>1241</v>
      </c>
      <c r="Q534"/>
      <c r="R534"/>
      <c r="S534"/>
      <c r="T534"/>
      <c r="U534"/>
      <c r="V534"/>
      <c r="W534"/>
      <c r="X534"/>
      <c r="Y534"/>
      <c r="Z534"/>
      <c r="AA534"/>
      <c r="AB534"/>
      <c r="AC534"/>
      <c r="AD534"/>
      <c r="AE534"/>
      <c r="AF534"/>
      <c r="AG534"/>
      <c r="AH534"/>
      <c r="AI534"/>
      <c r="AJ534"/>
      <c r="AK534"/>
      <c r="AL534"/>
      <c r="AM534"/>
      <c r="AN534"/>
      <c r="AO534"/>
      <c r="AP534"/>
      <c r="AQ534"/>
      <c r="AR534"/>
      <c r="AS534"/>
      <c r="AT534"/>
      <c r="AU534"/>
      <c r="AV534" s="1" t="s">
        <v>38</v>
      </c>
      <c r="BG534" s="7" t="s">
        <v>1242</v>
      </c>
    </row>
    <row r="535" spans="1:59" s="1" customFormat="1" ht="54" x14ac:dyDescent="0.45">
      <c r="A535" s="5">
        <v>534</v>
      </c>
      <c r="B535" s="1" t="s">
        <v>11152</v>
      </c>
      <c r="C535" s="6"/>
      <c r="J535" s="1" t="s">
        <v>7557</v>
      </c>
      <c r="K535" s="2" t="s">
        <v>10396</v>
      </c>
      <c r="P535" s="7" t="s">
        <v>1241</v>
      </c>
      <c r="Q535"/>
      <c r="R535"/>
      <c r="S535"/>
      <c r="T535"/>
      <c r="U535"/>
      <c r="V535"/>
      <c r="W535"/>
      <c r="X535"/>
      <c r="Y535"/>
      <c r="Z535"/>
      <c r="AA535"/>
      <c r="AB535"/>
      <c r="AC535"/>
      <c r="AD535"/>
      <c r="AE535"/>
      <c r="AF535"/>
      <c r="AG535"/>
      <c r="AH535"/>
      <c r="AI535"/>
      <c r="AJ535"/>
      <c r="AK535"/>
      <c r="AL535"/>
      <c r="AM535"/>
      <c r="AN535"/>
      <c r="AO535"/>
      <c r="AP535"/>
      <c r="AQ535"/>
      <c r="AR535"/>
      <c r="AS535"/>
      <c r="AT535"/>
      <c r="AU535"/>
      <c r="AV535" s="1" t="s">
        <v>38</v>
      </c>
      <c r="BG535" s="7" t="s">
        <v>1242</v>
      </c>
    </row>
    <row r="536" spans="1:59" s="1" customFormat="1" ht="54" x14ac:dyDescent="0.45">
      <c r="A536" s="5">
        <v>535</v>
      </c>
      <c r="B536" s="1" t="s">
        <v>11153</v>
      </c>
      <c r="C536" s="6"/>
      <c r="J536" s="1" t="s">
        <v>7557</v>
      </c>
      <c r="K536" s="2" t="s">
        <v>10397</v>
      </c>
      <c r="P536" s="7" t="s">
        <v>1241</v>
      </c>
      <c r="Q536"/>
      <c r="R536"/>
      <c r="S536"/>
      <c r="T536"/>
      <c r="U536"/>
      <c r="V536"/>
      <c r="W536"/>
      <c r="X536"/>
      <c r="Y536"/>
      <c r="Z536"/>
      <c r="AA536"/>
      <c r="AB536"/>
      <c r="AC536"/>
      <c r="AD536"/>
      <c r="AE536"/>
      <c r="AF536"/>
      <c r="AG536"/>
      <c r="AH536"/>
      <c r="AI536"/>
      <c r="AJ536"/>
      <c r="AK536"/>
      <c r="AL536"/>
      <c r="AM536"/>
      <c r="AN536"/>
      <c r="AO536"/>
      <c r="AP536"/>
      <c r="AQ536"/>
      <c r="AR536"/>
      <c r="AS536"/>
      <c r="AT536"/>
      <c r="AU536"/>
      <c r="AV536" s="1" t="s">
        <v>38</v>
      </c>
      <c r="BG536" s="7" t="s">
        <v>1242</v>
      </c>
    </row>
    <row r="537" spans="1:59" s="1" customFormat="1" ht="72" x14ac:dyDescent="0.45">
      <c r="A537" s="5">
        <v>536</v>
      </c>
      <c r="B537" s="1" t="s">
        <v>11154</v>
      </c>
      <c r="C537" s="6"/>
      <c r="J537" s="1" t="s">
        <v>7557</v>
      </c>
      <c r="K537" s="2" t="s">
        <v>10398</v>
      </c>
      <c r="P537" s="7" t="s">
        <v>1241</v>
      </c>
      <c r="Q537"/>
      <c r="R537"/>
      <c r="S537"/>
      <c r="T537"/>
      <c r="U537"/>
      <c r="V537"/>
      <c r="W537"/>
      <c r="X537"/>
      <c r="Y537"/>
      <c r="Z537"/>
      <c r="AA537"/>
      <c r="AB537"/>
      <c r="AC537"/>
      <c r="AD537"/>
      <c r="AE537"/>
      <c r="AF537"/>
      <c r="AG537"/>
      <c r="AH537"/>
      <c r="AI537"/>
      <c r="AJ537"/>
      <c r="AK537"/>
      <c r="AL537"/>
      <c r="AM537"/>
      <c r="AN537"/>
      <c r="AO537"/>
      <c r="AP537"/>
      <c r="AQ537"/>
      <c r="AR537"/>
      <c r="AS537"/>
      <c r="AT537"/>
      <c r="AU537"/>
      <c r="AV537" s="1" t="s">
        <v>38</v>
      </c>
      <c r="BG537" s="7" t="s">
        <v>1242</v>
      </c>
    </row>
    <row r="538" spans="1:59" s="1" customFormat="1" ht="90" x14ac:dyDescent="0.45">
      <c r="A538" s="5">
        <v>537</v>
      </c>
      <c r="B538" s="1" t="s">
        <v>11155</v>
      </c>
      <c r="C538" s="6"/>
      <c r="J538" s="1" t="s">
        <v>7557</v>
      </c>
      <c r="K538" s="2" t="s">
        <v>10403</v>
      </c>
      <c r="P538" s="7" t="s">
        <v>1241</v>
      </c>
      <c r="Q538"/>
      <c r="R538"/>
      <c r="S538"/>
      <c r="T538"/>
      <c r="U538"/>
      <c r="V538"/>
      <c r="W538"/>
      <c r="X538"/>
      <c r="Y538"/>
      <c r="Z538"/>
      <c r="AA538"/>
      <c r="AB538"/>
      <c r="AC538"/>
      <c r="AD538"/>
      <c r="AE538"/>
      <c r="AF538"/>
      <c r="AG538"/>
      <c r="AH538"/>
      <c r="AI538"/>
      <c r="AJ538"/>
      <c r="AK538"/>
      <c r="AL538"/>
      <c r="AM538"/>
      <c r="AN538"/>
      <c r="AO538"/>
      <c r="AP538"/>
      <c r="AQ538"/>
      <c r="AR538"/>
      <c r="AS538"/>
      <c r="AT538"/>
      <c r="AU538"/>
      <c r="AV538" s="1" t="s">
        <v>38</v>
      </c>
      <c r="BG538" s="7" t="s">
        <v>1242</v>
      </c>
    </row>
    <row r="539" spans="1:59" s="1" customFormat="1" ht="54" x14ac:dyDescent="0.45">
      <c r="A539" s="5">
        <v>538</v>
      </c>
      <c r="B539" s="1" t="s">
        <v>11156</v>
      </c>
      <c r="C539" s="6"/>
      <c r="J539" s="1" t="s">
        <v>7557</v>
      </c>
      <c r="K539" s="2" t="s">
        <v>10404</v>
      </c>
      <c r="P539" s="7" t="s">
        <v>1241</v>
      </c>
      <c r="Q539"/>
      <c r="R539"/>
      <c r="S539"/>
      <c r="T539"/>
      <c r="U539"/>
      <c r="V539"/>
      <c r="W539"/>
      <c r="X539"/>
      <c r="Y539"/>
      <c r="Z539"/>
      <c r="AA539"/>
      <c r="AB539"/>
      <c r="AC539"/>
      <c r="AD539"/>
      <c r="AE539"/>
      <c r="AF539"/>
      <c r="AG539"/>
      <c r="AH539"/>
      <c r="AI539"/>
      <c r="AJ539"/>
      <c r="AK539"/>
      <c r="AL539"/>
      <c r="AM539"/>
      <c r="AN539"/>
      <c r="AO539"/>
      <c r="AP539"/>
      <c r="AQ539"/>
      <c r="AR539"/>
      <c r="AS539"/>
      <c r="AT539"/>
      <c r="AU539"/>
      <c r="AV539" s="1" t="s">
        <v>38</v>
      </c>
      <c r="BG539" s="7" t="s">
        <v>1242</v>
      </c>
    </row>
    <row r="540" spans="1:59" s="1" customFormat="1" ht="54" x14ac:dyDescent="0.45">
      <c r="A540" s="5">
        <v>539</v>
      </c>
      <c r="B540" s="1" t="s">
        <v>11157</v>
      </c>
      <c r="C540" s="6"/>
      <c r="J540" s="1" t="s">
        <v>7557</v>
      </c>
      <c r="K540" s="2" t="s">
        <v>10405</v>
      </c>
      <c r="P540" s="7" t="s">
        <v>1241</v>
      </c>
      <c r="Q540"/>
      <c r="R540"/>
      <c r="S540"/>
      <c r="T540"/>
      <c r="U540"/>
      <c r="V540"/>
      <c r="W540"/>
      <c r="X540"/>
      <c r="Y540"/>
      <c r="Z540"/>
      <c r="AA540"/>
      <c r="AB540"/>
      <c r="AC540"/>
      <c r="AD540"/>
      <c r="AE540"/>
      <c r="AF540"/>
      <c r="AG540"/>
      <c r="AH540"/>
      <c r="AI540"/>
      <c r="AJ540"/>
      <c r="AK540"/>
      <c r="AL540"/>
      <c r="AM540"/>
      <c r="AN540"/>
      <c r="AO540"/>
      <c r="AP540"/>
      <c r="AQ540"/>
      <c r="AR540"/>
      <c r="AS540"/>
      <c r="AT540"/>
      <c r="AU540"/>
      <c r="AV540" s="1" t="s">
        <v>38</v>
      </c>
      <c r="BG540" s="7" t="s">
        <v>1242</v>
      </c>
    </row>
    <row r="541" spans="1:59" s="1" customFormat="1" ht="108" x14ac:dyDescent="0.45">
      <c r="A541" s="5">
        <v>540</v>
      </c>
      <c r="B541" s="1" t="s">
        <v>11158</v>
      </c>
      <c r="C541" s="6"/>
      <c r="J541" s="1" t="s">
        <v>7557</v>
      </c>
      <c r="K541" s="2" t="s">
        <v>10406</v>
      </c>
      <c r="P541" s="7" t="s">
        <v>1241</v>
      </c>
      <c r="Q541"/>
      <c r="R541"/>
      <c r="S541"/>
      <c r="T541"/>
      <c r="U541"/>
      <c r="V541"/>
      <c r="W541"/>
      <c r="X541"/>
      <c r="Y541"/>
      <c r="Z541"/>
      <c r="AA541"/>
      <c r="AB541"/>
      <c r="AC541"/>
      <c r="AD541"/>
      <c r="AE541"/>
      <c r="AF541"/>
      <c r="AG541"/>
      <c r="AH541"/>
      <c r="AI541"/>
      <c r="AJ541"/>
      <c r="AK541"/>
      <c r="AL541"/>
      <c r="AM541"/>
      <c r="AN541"/>
      <c r="AO541"/>
      <c r="AP541"/>
      <c r="AQ541"/>
      <c r="AR541"/>
      <c r="AS541"/>
      <c r="AT541"/>
      <c r="AU541"/>
      <c r="AV541" s="1" t="s">
        <v>38</v>
      </c>
      <c r="BG541" s="7" t="s">
        <v>1242</v>
      </c>
    </row>
    <row r="542" spans="1:59" s="1" customFormat="1" ht="108" x14ac:dyDescent="0.45">
      <c r="A542" s="5">
        <v>541</v>
      </c>
      <c r="B542" s="1" t="s">
        <v>11159</v>
      </c>
      <c r="C542" s="6"/>
      <c r="J542" s="1" t="s">
        <v>7557</v>
      </c>
      <c r="K542" s="2" t="s">
        <v>10407</v>
      </c>
      <c r="P542" s="7" t="s">
        <v>1241</v>
      </c>
      <c r="Q542"/>
      <c r="R542"/>
      <c r="S542"/>
      <c r="T542"/>
      <c r="U542"/>
      <c r="V542"/>
      <c r="W542"/>
      <c r="X542"/>
      <c r="Y542"/>
      <c r="Z542"/>
      <c r="AA542"/>
      <c r="AB542"/>
      <c r="AC542"/>
      <c r="AD542"/>
      <c r="AE542"/>
      <c r="AF542"/>
      <c r="AG542"/>
      <c r="AH542"/>
      <c r="AI542"/>
      <c r="AJ542"/>
      <c r="AK542"/>
      <c r="AL542"/>
      <c r="AM542"/>
      <c r="AN542"/>
      <c r="AO542"/>
      <c r="AP542"/>
      <c r="AQ542"/>
      <c r="AR542"/>
      <c r="AS542"/>
      <c r="AT542"/>
      <c r="AU542"/>
      <c r="AV542" s="1" t="s">
        <v>38</v>
      </c>
      <c r="BG542" s="7" t="s">
        <v>1242</v>
      </c>
    </row>
    <row r="543" spans="1:59" s="1" customFormat="1" ht="54" x14ac:dyDescent="0.45">
      <c r="A543" s="5">
        <v>542</v>
      </c>
      <c r="B543" s="1" t="s">
        <v>11160</v>
      </c>
      <c r="C543" s="6"/>
      <c r="J543" s="1" t="s">
        <v>7557</v>
      </c>
      <c r="K543" s="2" t="s">
        <v>11717</v>
      </c>
      <c r="P543" s="7" t="s">
        <v>1241</v>
      </c>
      <c r="Q543"/>
      <c r="R543"/>
      <c r="S543"/>
      <c r="T543"/>
      <c r="U543"/>
      <c r="V543"/>
      <c r="W543"/>
      <c r="X543"/>
      <c r="Y543"/>
      <c r="Z543"/>
      <c r="AA543"/>
      <c r="AB543"/>
      <c r="AC543"/>
      <c r="AD543"/>
      <c r="AE543"/>
      <c r="AF543"/>
      <c r="AG543"/>
      <c r="AH543"/>
      <c r="AI543"/>
      <c r="AJ543"/>
      <c r="AK543"/>
      <c r="AL543"/>
      <c r="AM543"/>
      <c r="AN543"/>
      <c r="AO543"/>
      <c r="AP543"/>
      <c r="AQ543"/>
      <c r="AR543"/>
      <c r="AS543"/>
      <c r="AT543"/>
      <c r="AU543"/>
      <c r="AV543" s="1" t="s">
        <v>38</v>
      </c>
      <c r="BG543" s="7" t="s">
        <v>1242</v>
      </c>
    </row>
    <row r="544" spans="1:59" s="1" customFormat="1" ht="72" x14ac:dyDescent="0.45">
      <c r="A544" s="5">
        <v>543</v>
      </c>
      <c r="B544" s="1" t="s">
        <v>11161</v>
      </c>
      <c r="C544" s="6"/>
      <c r="J544" s="1" t="s">
        <v>7557</v>
      </c>
      <c r="K544" s="2" t="s">
        <v>10408</v>
      </c>
      <c r="P544" s="7" t="s">
        <v>1241</v>
      </c>
      <c r="Q544"/>
      <c r="R544"/>
      <c r="S544"/>
      <c r="T544"/>
      <c r="U544"/>
      <c r="V544"/>
      <c r="W544"/>
      <c r="X544"/>
      <c r="Y544"/>
      <c r="Z544"/>
      <c r="AA544"/>
      <c r="AB544"/>
      <c r="AC544"/>
      <c r="AD544"/>
      <c r="AE544"/>
      <c r="AF544"/>
      <c r="AG544"/>
      <c r="AH544"/>
      <c r="AI544"/>
      <c r="AJ544"/>
      <c r="AK544"/>
      <c r="AL544"/>
      <c r="AM544"/>
      <c r="AN544"/>
      <c r="AO544"/>
      <c r="AP544"/>
      <c r="AQ544"/>
      <c r="AR544"/>
      <c r="AS544"/>
      <c r="AT544"/>
      <c r="AU544"/>
      <c r="AV544" s="1" t="s">
        <v>38</v>
      </c>
      <c r="BG544" s="7" t="s">
        <v>1242</v>
      </c>
    </row>
    <row r="545" spans="1:59" s="1" customFormat="1" ht="54" x14ac:dyDescent="0.45">
      <c r="A545" s="5">
        <v>544</v>
      </c>
      <c r="B545" s="1" t="s">
        <v>11162</v>
      </c>
      <c r="C545" s="6"/>
      <c r="J545" s="1" t="s">
        <v>7557</v>
      </c>
      <c r="K545" s="2" t="s">
        <v>10409</v>
      </c>
      <c r="P545" s="7" t="s">
        <v>1241</v>
      </c>
      <c r="Q545"/>
      <c r="R545"/>
      <c r="S545"/>
      <c r="T545"/>
      <c r="U545"/>
      <c r="V545"/>
      <c r="W545"/>
      <c r="X545"/>
      <c r="Y545"/>
      <c r="Z545"/>
      <c r="AA545"/>
      <c r="AB545"/>
      <c r="AC545"/>
      <c r="AD545"/>
      <c r="AE545"/>
      <c r="AF545"/>
      <c r="AG545"/>
      <c r="AH545"/>
      <c r="AI545"/>
      <c r="AJ545"/>
      <c r="AK545"/>
      <c r="AL545"/>
      <c r="AM545"/>
      <c r="AN545"/>
      <c r="AO545"/>
      <c r="AP545"/>
      <c r="AQ545"/>
      <c r="AR545"/>
      <c r="AS545"/>
      <c r="AT545"/>
      <c r="AU545"/>
      <c r="AV545" s="1" t="s">
        <v>38</v>
      </c>
      <c r="BG545" s="7" t="s">
        <v>1242</v>
      </c>
    </row>
    <row r="546" spans="1:59" s="1" customFormat="1" ht="54" x14ac:dyDescent="0.45">
      <c r="A546" s="5">
        <v>545</v>
      </c>
      <c r="B546" s="1" t="s">
        <v>11163</v>
      </c>
      <c r="C546" s="6"/>
      <c r="J546" s="1" t="s">
        <v>7557</v>
      </c>
      <c r="K546" s="2" t="s">
        <v>10410</v>
      </c>
      <c r="P546" s="7" t="s">
        <v>1241</v>
      </c>
      <c r="Q546"/>
      <c r="R546"/>
      <c r="S546"/>
      <c r="T546"/>
      <c r="U546"/>
      <c r="V546"/>
      <c r="W546"/>
      <c r="X546"/>
      <c r="Y546"/>
      <c r="Z546"/>
      <c r="AA546"/>
      <c r="AB546"/>
      <c r="AC546"/>
      <c r="AD546"/>
      <c r="AE546"/>
      <c r="AF546"/>
      <c r="AG546"/>
      <c r="AH546"/>
      <c r="AI546"/>
      <c r="AJ546"/>
      <c r="AK546"/>
      <c r="AL546"/>
      <c r="AM546"/>
      <c r="AN546"/>
      <c r="AO546"/>
      <c r="AP546"/>
      <c r="AQ546"/>
      <c r="AR546"/>
      <c r="AS546"/>
      <c r="AT546"/>
      <c r="AU546"/>
      <c r="AV546" s="1" t="s">
        <v>38</v>
      </c>
      <c r="BG546" s="7" t="s">
        <v>1242</v>
      </c>
    </row>
    <row r="547" spans="1:59" s="1" customFormat="1" ht="54" x14ac:dyDescent="0.45">
      <c r="A547" s="5">
        <v>546</v>
      </c>
      <c r="B547" s="1" t="s">
        <v>11718</v>
      </c>
      <c r="C547" s="6"/>
      <c r="J547" s="1" t="s">
        <v>7557</v>
      </c>
      <c r="K547" s="2" t="s">
        <v>11719</v>
      </c>
      <c r="P547" s="7" t="s">
        <v>1241</v>
      </c>
      <c r="Q547"/>
      <c r="R547"/>
      <c r="S547"/>
      <c r="T547"/>
      <c r="U547"/>
      <c r="V547"/>
      <c r="W547"/>
      <c r="X547"/>
      <c r="Y547"/>
      <c r="Z547"/>
      <c r="AA547"/>
      <c r="AB547"/>
      <c r="AC547"/>
      <c r="AD547"/>
      <c r="AE547"/>
      <c r="AF547"/>
      <c r="AG547"/>
      <c r="AH547"/>
      <c r="AI547"/>
      <c r="AJ547"/>
      <c r="AK547"/>
      <c r="AL547"/>
      <c r="AM547"/>
      <c r="AN547"/>
      <c r="AO547"/>
      <c r="AP547"/>
      <c r="AQ547"/>
      <c r="AR547"/>
      <c r="AS547"/>
      <c r="AT547"/>
      <c r="AU547"/>
      <c r="AV547" s="1" t="s">
        <v>38</v>
      </c>
      <c r="BG547" s="7" t="s">
        <v>1242</v>
      </c>
    </row>
    <row r="548" spans="1:59" s="1" customFormat="1" ht="54" x14ac:dyDescent="0.45">
      <c r="A548" s="5">
        <v>547</v>
      </c>
      <c r="B548" s="1" t="s">
        <v>11164</v>
      </c>
      <c r="C548" s="6"/>
      <c r="J548" s="1" t="s">
        <v>7557</v>
      </c>
      <c r="K548" s="2" t="s">
        <v>10411</v>
      </c>
      <c r="P548" s="7" t="s">
        <v>1241</v>
      </c>
      <c r="Q548"/>
      <c r="R548"/>
      <c r="S548"/>
      <c r="T548"/>
      <c r="U548"/>
      <c r="V548"/>
      <c r="W548"/>
      <c r="X548"/>
      <c r="Y548"/>
      <c r="Z548"/>
      <c r="AA548"/>
      <c r="AB548"/>
      <c r="AC548"/>
      <c r="AD548"/>
      <c r="AE548"/>
      <c r="AF548"/>
      <c r="AG548"/>
      <c r="AH548"/>
      <c r="AI548"/>
      <c r="AJ548"/>
      <c r="AK548"/>
      <c r="AL548"/>
      <c r="AM548"/>
      <c r="AN548"/>
      <c r="AO548"/>
      <c r="AP548"/>
      <c r="AQ548"/>
      <c r="AR548"/>
      <c r="AS548"/>
      <c r="AT548"/>
      <c r="AU548"/>
      <c r="AV548" s="1" t="s">
        <v>38</v>
      </c>
      <c r="BG548" s="7" t="s">
        <v>1242</v>
      </c>
    </row>
    <row r="549" spans="1:59" s="1" customFormat="1" ht="90" x14ac:dyDescent="0.45">
      <c r="A549" s="5">
        <v>548</v>
      </c>
      <c r="B549" s="1" t="s">
        <v>11165</v>
      </c>
      <c r="C549" s="6"/>
      <c r="J549" s="1" t="s">
        <v>7557</v>
      </c>
      <c r="K549" s="2" t="s">
        <v>10412</v>
      </c>
      <c r="P549" s="7" t="s">
        <v>1241</v>
      </c>
      <c r="Q549"/>
      <c r="R549"/>
      <c r="S549"/>
      <c r="T549"/>
      <c r="U549"/>
      <c r="V549"/>
      <c r="W549"/>
      <c r="X549"/>
      <c r="Y549"/>
      <c r="Z549"/>
      <c r="AA549"/>
      <c r="AB549"/>
      <c r="AC549"/>
      <c r="AD549"/>
      <c r="AE549"/>
      <c r="AF549"/>
      <c r="AG549"/>
      <c r="AH549"/>
      <c r="AI549"/>
      <c r="AJ549"/>
      <c r="AK549"/>
      <c r="AL549"/>
      <c r="AM549"/>
      <c r="AN549"/>
      <c r="AO549"/>
      <c r="AP549"/>
      <c r="AQ549"/>
      <c r="AR549"/>
      <c r="AS549"/>
      <c r="AT549"/>
      <c r="AU549"/>
      <c r="AV549" s="1" t="s">
        <v>38</v>
      </c>
      <c r="BG549" s="7" t="s">
        <v>1242</v>
      </c>
    </row>
    <row r="550" spans="1:59" s="1" customFormat="1" ht="90" x14ac:dyDescent="0.45">
      <c r="A550" s="5">
        <v>549</v>
      </c>
      <c r="B550" s="1" t="s">
        <v>11166</v>
      </c>
      <c r="C550" s="6"/>
      <c r="J550" s="1" t="s">
        <v>7557</v>
      </c>
      <c r="K550" s="2" t="s">
        <v>10413</v>
      </c>
      <c r="P550" s="7" t="s">
        <v>1241</v>
      </c>
      <c r="Q550"/>
      <c r="R550"/>
      <c r="S550"/>
      <c r="T550"/>
      <c r="U550"/>
      <c r="V550"/>
      <c r="W550"/>
      <c r="X550"/>
      <c r="Y550"/>
      <c r="Z550"/>
      <c r="AA550"/>
      <c r="AB550"/>
      <c r="AC550"/>
      <c r="AD550"/>
      <c r="AE550"/>
      <c r="AF550"/>
      <c r="AG550"/>
      <c r="AH550"/>
      <c r="AI550"/>
      <c r="AJ550"/>
      <c r="AK550"/>
      <c r="AL550"/>
      <c r="AM550"/>
      <c r="AN550"/>
      <c r="AO550"/>
      <c r="AP550"/>
      <c r="AQ550"/>
      <c r="AR550"/>
      <c r="AS550"/>
      <c r="AT550"/>
      <c r="AU550"/>
      <c r="AV550" s="1" t="s">
        <v>38</v>
      </c>
      <c r="BG550" s="7" t="s">
        <v>1242</v>
      </c>
    </row>
    <row r="551" spans="1:59" s="1" customFormat="1" ht="72" x14ac:dyDescent="0.45">
      <c r="A551" s="5">
        <v>550</v>
      </c>
      <c r="B551" s="1" t="s">
        <v>11167</v>
      </c>
      <c r="C551" s="6"/>
      <c r="J551" s="1" t="s">
        <v>7557</v>
      </c>
      <c r="K551" s="2" t="s">
        <v>10642</v>
      </c>
      <c r="P551" s="7" t="s">
        <v>1241</v>
      </c>
      <c r="Q551"/>
      <c r="R551"/>
      <c r="S551"/>
      <c r="T551"/>
      <c r="U551"/>
      <c r="V551"/>
      <c r="W551"/>
      <c r="X551"/>
      <c r="Y551"/>
      <c r="Z551"/>
      <c r="AA551"/>
      <c r="AB551"/>
      <c r="AC551"/>
      <c r="AD551"/>
      <c r="AE551"/>
      <c r="AF551"/>
      <c r="AG551"/>
      <c r="AH551"/>
      <c r="AI551"/>
      <c r="AJ551"/>
      <c r="AK551"/>
      <c r="AL551"/>
      <c r="AM551"/>
      <c r="AN551"/>
      <c r="AO551"/>
      <c r="AP551"/>
      <c r="AQ551"/>
      <c r="AR551"/>
      <c r="AS551"/>
      <c r="AT551"/>
      <c r="AU551"/>
      <c r="AV551" s="1" t="s">
        <v>38</v>
      </c>
      <c r="BG551" s="7" t="s">
        <v>1242</v>
      </c>
    </row>
    <row r="552" spans="1:59" s="1" customFormat="1" ht="126" x14ac:dyDescent="0.45">
      <c r="A552" s="5">
        <v>551</v>
      </c>
      <c r="B552" s="1" t="s">
        <v>11168</v>
      </c>
      <c r="C552" s="6"/>
      <c r="J552" s="1" t="s">
        <v>7557</v>
      </c>
      <c r="K552" s="11" t="s">
        <v>11975</v>
      </c>
      <c r="P552" s="7" t="s">
        <v>1241</v>
      </c>
      <c r="Q552"/>
      <c r="R552"/>
      <c r="S552"/>
      <c r="T552"/>
      <c r="U552"/>
      <c r="V552"/>
      <c r="W552"/>
      <c r="X552"/>
      <c r="Y552"/>
      <c r="Z552"/>
      <c r="AA552"/>
      <c r="AB552"/>
      <c r="AC552"/>
      <c r="AD552"/>
      <c r="AE552"/>
      <c r="AF552"/>
      <c r="AG552"/>
      <c r="AH552"/>
      <c r="AI552"/>
      <c r="AJ552"/>
      <c r="AK552"/>
      <c r="AL552"/>
      <c r="AM552"/>
      <c r="AN552"/>
      <c r="AO552"/>
      <c r="AP552"/>
      <c r="AQ552"/>
      <c r="AR552"/>
      <c r="AS552"/>
      <c r="AT552"/>
      <c r="AU552"/>
      <c r="AV552" s="1" t="s">
        <v>38</v>
      </c>
      <c r="BG552" s="7" t="s">
        <v>1242</v>
      </c>
    </row>
    <row r="553" spans="1:59" s="1" customFormat="1" ht="162" x14ac:dyDescent="0.45">
      <c r="A553" s="5">
        <v>552</v>
      </c>
      <c r="B553" s="1" t="s">
        <v>11169</v>
      </c>
      <c r="C553" s="6"/>
      <c r="J553" s="1" t="s">
        <v>7557</v>
      </c>
      <c r="K553" s="2" t="s">
        <v>10414</v>
      </c>
      <c r="P553" s="7" t="s">
        <v>1241</v>
      </c>
      <c r="Q553"/>
      <c r="R553"/>
      <c r="S553"/>
      <c r="T553"/>
      <c r="U553"/>
      <c r="V553"/>
      <c r="W553"/>
      <c r="X553"/>
      <c r="Y553"/>
      <c r="Z553"/>
      <c r="AA553"/>
      <c r="AB553"/>
      <c r="AC553"/>
      <c r="AD553"/>
      <c r="AE553"/>
      <c r="AF553"/>
      <c r="AG553"/>
      <c r="AH553"/>
      <c r="AI553"/>
      <c r="AJ553"/>
      <c r="AK553"/>
      <c r="AL553"/>
      <c r="AM553"/>
      <c r="AN553"/>
      <c r="AO553"/>
      <c r="AP553"/>
      <c r="AQ553"/>
      <c r="AR553"/>
      <c r="AS553"/>
      <c r="AT553"/>
      <c r="AU553"/>
      <c r="AV553" s="1" t="s">
        <v>38</v>
      </c>
      <c r="BG553" s="7" t="s">
        <v>1242</v>
      </c>
    </row>
    <row r="554" spans="1:59" s="1" customFormat="1" ht="90" x14ac:dyDescent="0.45">
      <c r="A554" s="5">
        <v>553</v>
      </c>
      <c r="B554" s="1" t="s">
        <v>11170</v>
      </c>
      <c r="C554" s="6"/>
      <c r="J554" s="1" t="s">
        <v>7557</v>
      </c>
      <c r="K554" s="2" t="s">
        <v>10415</v>
      </c>
      <c r="P554" s="7" t="s">
        <v>1241</v>
      </c>
      <c r="Q554"/>
      <c r="R554"/>
      <c r="S554"/>
      <c r="T554"/>
      <c r="U554"/>
      <c r="V554"/>
      <c r="W554"/>
      <c r="X554"/>
      <c r="Y554"/>
      <c r="Z554"/>
      <c r="AA554"/>
      <c r="AB554"/>
      <c r="AC554"/>
      <c r="AD554"/>
      <c r="AE554"/>
      <c r="AF554"/>
      <c r="AG554"/>
      <c r="AH554"/>
      <c r="AI554"/>
      <c r="AJ554"/>
      <c r="AK554"/>
      <c r="AL554"/>
      <c r="AM554"/>
      <c r="AN554"/>
      <c r="AO554"/>
      <c r="AP554"/>
      <c r="AQ554"/>
      <c r="AR554"/>
      <c r="AS554"/>
      <c r="AT554"/>
      <c r="AU554"/>
      <c r="AV554" s="1" t="s">
        <v>38</v>
      </c>
      <c r="BG554" s="7" t="s">
        <v>1242</v>
      </c>
    </row>
    <row r="555" spans="1:59" s="1" customFormat="1" ht="90" x14ac:dyDescent="0.45">
      <c r="A555" s="5">
        <v>554</v>
      </c>
      <c r="B555" s="1" t="s">
        <v>11171</v>
      </c>
      <c r="C555" s="6"/>
      <c r="J555" s="1" t="s">
        <v>7557</v>
      </c>
      <c r="K555" s="2" t="s">
        <v>10416</v>
      </c>
      <c r="P555" s="7" t="s">
        <v>1241</v>
      </c>
      <c r="Q555"/>
      <c r="R555"/>
      <c r="S555"/>
      <c r="T555"/>
      <c r="U555"/>
      <c r="V555"/>
      <c r="W555"/>
      <c r="X555"/>
      <c r="Y555"/>
      <c r="Z555"/>
      <c r="AA555"/>
      <c r="AB555"/>
      <c r="AC555"/>
      <c r="AD555"/>
      <c r="AE555"/>
      <c r="AF555"/>
      <c r="AG555"/>
      <c r="AH555"/>
      <c r="AI555"/>
      <c r="AJ555"/>
      <c r="AK555"/>
      <c r="AL555"/>
      <c r="AM555"/>
      <c r="AN555"/>
      <c r="AO555"/>
      <c r="AP555"/>
      <c r="AQ555"/>
      <c r="AR555"/>
      <c r="AS555"/>
      <c r="AT555"/>
      <c r="AU555"/>
      <c r="AV555" s="1" t="s">
        <v>38</v>
      </c>
      <c r="BG555" s="7" t="s">
        <v>1242</v>
      </c>
    </row>
    <row r="556" spans="1:59" s="1" customFormat="1" ht="162" x14ac:dyDescent="0.45">
      <c r="A556" s="5">
        <v>555</v>
      </c>
      <c r="B556" s="1" t="s">
        <v>11172</v>
      </c>
      <c r="C556" s="6"/>
      <c r="J556" s="1" t="s">
        <v>7557</v>
      </c>
      <c r="K556" s="2" t="s">
        <v>10417</v>
      </c>
      <c r="P556" s="7" t="s">
        <v>1241</v>
      </c>
      <c r="Q556"/>
      <c r="R556"/>
      <c r="S556"/>
      <c r="T556"/>
      <c r="U556"/>
      <c r="V556"/>
      <c r="W556"/>
      <c r="X556"/>
      <c r="Y556"/>
      <c r="Z556"/>
      <c r="AA556"/>
      <c r="AB556"/>
      <c r="AC556"/>
      <c r="AD556"/>
      <c r="AE556"/>
      <c r="AF556"/>
      <c r="AG556"/>
      <c r="AH556"/>
      <c r="AI556"/>
      <c r="AJ556"/>
      <c r="AK556"/>
      <c r="AL556"/>
      <c r="AM556"/>
      <c r="AN556"/>
      <c r="AO556"/>
      <c r="AP556"/>
      <c r="AQ556"/>
      <c r="AR556"/>
      <c r="AS556"/>
      <c r="AT556"/>
      <c r="AU556"/>
      <c r="AV556" s="1" t="s">
        <v>38</v>
      </c>
      <c r="BG556" s="7" t="s">
        <v>1242</v>
      </c>
    </row>
    <row r="557" spans="1:59" s="1" customFormat="1" ht="90" x14ac:dyDescent="0.45">
      <c r="A557" s="5">
        <v>556</v>
      </c>
      <c r="B557" s="1" t="s">
        <v>11173</v>
      </c>
      <c r="C557" s="6"/>
      <c r="J557" s="1" t="s">
        <v>7557</v>
      </c>
      <c r="K557" s="2" t="s">
        <v>10418</v>
      </c>
      <c r="P557" s="7" t="s">
        <v>1241</v>
      </c>
      <c r="Q557"/>
      <c r="R557"/>
      <c r="S557"/>
      <c r="T557"/>
      <c r="U557"/>
      <c r="V557"/>
      <c r="W557"/>
      <c r="X557"/>
      <c r="Y557"/>
      <c r="Z557"/>
      <c r="AA557"/>
      <c r="AB557"/>
      <c r="AC557"/>
      <c r="AD557"/>
      <c r="AE557"/>
      <c r="AF557"/>
      <c r="AG557"/>
      <c r="AH557"/>
      <c r="AI557"/>
      <c r="AJ557"/>
      <c r="AK557"/>
      <c r="AL557"/>
      <c r="AM557"/>
      <c r="AN557"/>
      <c r="AO557"/>
      <c r="AP557"/>
      <c r="AQ557"/>
      <c r="AR557"/>
      <c r="AS557"/>
      <c r="AT557"/>
      <c r="AU557"/>
      <c r="AV557" s="1" t="s">
        <v>38</v>
      </c>
      <c r="BG557" s="7" t="s">
        <v>1242</v>
      </c>
    </row>
    <row r="558" spans="1:59" s="1" customFormat="1" ht="126" x14ac:dyDescent="0.45">
      <c r="A558" s="5">
        <v>557</v>
      </c>
      <c r="B558" s="1" t="s">
        <v>11174</v>
      </c>
      <c r="C558" s="6"/>
      <c r="J558" s="1" t="s">
        <v>7557</v>
      </c>
      <c r="K558" s="2" t="s">
        <v>10419</v>
      </c>
      <c r="P558" s="7" t="s">
        <v>1241</v>
      </c>
      <c r="Q558"/>
      <c r="R558"/>
      <c r="S558"/>
      <c r="T558"/>
      <c r="U558"/>
      <c r="V558"/>
      <c r="W558"/>
      <c r="X558"/>
      <c r="Y558"/>
      <c r="Z558"/>
      <c r="AA558"/>
      <c r="AB558"/>
      <c r="AC558"/>
      <c r="AD558"/>
      <c r="AE558"/>
      <c r="AF558"/>
      <c r="AG558"/>
      <c r="AH558"/>
      <c r="AI558"/>
      <c r="AJ558"/>
      <c r="AK558"/>
      <c r="AL558"/>
      <c r="AM558"/>
      <c r="AN558"/>
      <c r="AO558"/>
      <c r="AP558"/>
      <c r="AQ558"/>
      <c r="AR558"/>
      <c r="AS558"/>
      <c r="AT558"/>
      <c r="AU558"/>
      <c r="AV558" s="1" t="s">
        <v>38</v>
      </c>
      <c r="BG558" s="7" t="s">
        <v>1242</v>
      </c>
    </row>
    <row r="559" spans="1:59" s="1" customFormat="1" ht="144" x14ac:dyDescent="0.45">
      <c r="A559" s="5">
        <v>558</v>
      </c>
      <c r="B559" s="1" t="s">
        <v>11175</v>
      </c>
      <c r="C559" s="6"/>
      <c r="J559" s="1" t="s">
        <v>7557</v>
      </c>
      <c r="K559" s="2" t="s">
        <v>10420</v>
      </c>
      <c r="P559" s="7" t="s">
        <v>1241</v>
      </c>
      <c r="Q559"/>
      <c r="R559"/>
      <c r="S559"/>
      <c r="T559"/>
      <c r="U559"/>
      <c r="V559"/>
      <c r="W559"/>
      <c r="X559"/>
      <c r="Y559"/>
      <c r="Z559"/>
      <c r="AA559"/>
      <c r="AB559"/>
      <c r="AC559"/>
      <c r="AD559"/>
      <c r="AE559"/>
      <c r="AF559"/>
      <c r="AG559"/>
      <c r="AH559"/>
      <c r="AI559"/>
      <c r="AJ559"/>
      <c r="AK559"/>
      <c r="AL559"/>
      <c r="AM559"/>
      <c r="AN559"/>
      <c r="AO559"/>
      <c r="AP559"/>
      <c r="AQ559"/>
      <c r="AR559"/>
      <c r="AS559"/>
      <c r="AT559"/>
      <c r="AU559"/>
      <c r="AV559" s="1" t="s">
        <v>38</v>
      </c>
      <c r="BG559" s="7" t="s">
        <v>1242</v>
      </c>
    </row>
    <row r="560" spans="1:59" s="1" customFormat="1" ht="144" x14ac:dyDescent="0.45">
      <c r="A560" s="5">
        <v>559</v>
      </c>
      <c r="B560" s="1" t="s">
        <v>11176</v>
      </c>
      <c r="C560" s="6"/>
      <c r="J560" s="1" t="s">
        <v>7557</v>
      </c>
      <c r="K560" s="11" t="s">
        <v>11976</v>
      </c>
      <c r="P560" s="7" t="s">
        <v>1241</v>
      </c>
      <c r="Q560"/>
      <c r="R560"/>
      <c r="S560"/>
      <c r="T560"/>
      <c r="U560"/>
      <c r="V560"/>
      <c r="W560"/>
      <c r="X560"/>
      <c r="Y560"/>
      <c r="Z560"/>
      <c r="AA560"/>
      <c r="AB560"/>
      <c r="AC560"/>
      <c r="AD560"/>
      <c r="AE560"/>
      <c r="AF560"/>
      <c r="AG560"/>
      <c r="AH560"/>
      <c r="AI560"/>
      <c r="AJ560"/>
      <c r="AK560"/>
      <c r="AL560"/>
      <c r="AM560"/>
      <c r="AN560"/>
      <c r="AO560"/>
      <c r="AP560"/>
      <c r="AQ560"/>
      <c r="AR560"/>
      <c r="AS560"/>
      <c r="AT560"/>
      <c r="AU560"/>
      <c r="AV560" s="1" t="s">
        <v>38</v>
      </c>
      <c r="BG560" s="7" t="s">
        <v>1242</v>
      </c>
    </row>
    <row r="561" spans="1:59" s="1" customFormat="1" ht="126" x14ac:dyDescent="0.45">
      <c r="A561" s="5">
        <v>560</v>
      </c>
      <c r="B561" s="1" t="s">
        <v>11177</v>
      </c>
      <c r="C561" s="6"/>
      <c r="J561" s="1" t="s">
        <v>7557</v>
      </c>
      <c r="K561" s="11" t="s">
        <v>11977</v>
      </c>
      <c r="P561" s="7" t="s">
        <v>1241</v>
      </c>
      <c r="Q561"/>
      <c r="R561"/>
      <c r="S561"/>
      <c r="T561"/>
      <c r="U561"/>
      <c r="V561"/>
      <c r="W561"/>
      <c r="X561"/>
      <c r="Y561"/>
      <c r="Z561"/>
      <c r="AA561"/>
      <c r="AB561"/>
      <c r="AC561"/>
      <c r="AD561"/>
      <c r="AE561"/>
      <c r="AF561"/>
      <c r="AG561"/>
      <c r="AH561"/>
      <c r="AI561"/>
      <c r="AJ561"/>
      <c r="AK561"/>
      <c r="AL561"/>
      <c r="AM561"/>
      <c r="AN561"/>
      <c r="AO561"/>
      <c r="AP561"/>
      <c r="AQ561"/>
      <c r="AR561"/>
      <c r="AS561"/>
      <c r="AT561"/>
      <c r="AU561"/>
      <c r="AV561" s="1" t="s">
        <v>38</v>
      </c>
      <c r="BG561" s="7" t="s">
        <v>1242</v>
      </c>
    </row>
    <row r="562" spans="1:59" s="1" customFormat="1" ht="108" x14ac:dyDescent="0.45">
      <c r="A562" s="5">
        <v>561</v>
      </c>
      <c r="B562" s="1" t="s">
        <v>11178</v>
      </c>
      <c r="C562" s="6"/>
      <c r="J562" s="1" t="s">
        <v>7557</v>
      </c>
      <c r="K562" s="2" t="s">
        <v>10426</v>
      </c>
      <c r="P562" s="7" t="s">
        <v>1241</v>
      </c>
      <c r="Q562"/>
      <c r="R562"/>
      <c r="S562"/>
      <c r="T562"/>
      <c r="U562"/>
      <c r="V562"/>
      <c r="W562"/>
      <c r="X562"/>
      <c r="Y562"/>
      <c r="Z562"/>
      <c r="AA562"/>
      <c r="AB562"/>
      <c r="AC562"/>
      <c r="AD562"/>
      <c r="AE562"/>
      <c r="AF562"/>
      <c r="AG562"/>
      <c r="AH562"/>
      <c r="AI562"/>
      <c r="AJ562"/>
      <c r="AK562"/>
      <c r="AL562"/>
      <c r="AM562"/>
      <c r="AN562"/>
      <c r="AO562"/>
      <c r="AP562"/>
      <c r="AQ562"/>
      <c r="AR562"/>
      <c r="AS562"/>
      <c r="AT562"/>
      <c r="AU562"/>
      <c r="AV562" s="1" t="s">
        <v>38</v>
      </c>
      <c r="BG562" s="7" t="s">
        <v>1242</v>
      </c>
    </row>
    <row r="563" spans="1:59" s="1" customFormat="1" ht="126" x14ac:dyDescent="0.45">
      <c r="A563" s="5">
        <v>562</v>
      </c>
      <c r="B563" s="1" t="s">
        <v>11179</v>
      </c>
      <c r="C563" s="6"/>
      <c r="J563" s="1" t="s">
        <v>7557</v>
      </c>
      <c r="K563" s="11" t="s">
        <v>11978</v>
      </c>
      <c r="P563" s="7" t="s">
        <v>1241</v>
      </c>
      <c r="Q563"/>
      <c r="R563"/>
      <c r="S563"/>
      <c r="T563"/>
      <c r="U563"/>
      <c r="V563"/>
      <c r="W563"/>
      <c r="X563"/>
      <c r="Y563"/>
      <c r="Z563"/>
      <c r="AA563"/>
      <c r="AB563"/>
      <c r="AC563"/>
      <c r="AD563"/>
      <c r="AE563"/>
      <c r="AF563"/>
      <c r="AG563"/>
      <c r="AH563"/>
      <c r="AI563"/>
      <c r="AJ563"/>
      <c r="AK563"/>
      <c r="AL563"/>
      <c r="AM563"/>
      <c r="AN563"/>
      <c r="AO563"/>
      <c r="AP563"/>
      <c r="AQ563"/>
      <c r="AR563"/>
      <c r="AS563"/>
      <c r="AT563"/>
      <c r="AU563"/>
      <c r="AV563" s="1" t="s">
        <v>38</v>
      </c>
      <c r="BG563" s="7" t="s">
        <v>1242</v>
      </c>
    </row>
    <row r="564" spans="1:59" s="1" customFormat="1" ht="126" x14ac:dyDescent="0.45">
      <c r="A564" s="5">
        <v>563</v>
      </c>
      <c r="B564" s="1" t="s">
        <v>11180</v>
      </c>
      <c r="C564" s="6"/>
      <c r="J564" s="1" t="s">
        <v>7557</v>
      </c>
      <c r="K564" s="11" t="s">
        <v>11979</v>
      </c>
      <c r="P564" s="7" t="s">
        <v>1241</v>
      </c>
      <c r="Q564"/>
      <c r="R564"/>
      <c r="S564"/>
      <c r="T564"/>
      <c r="U564"/>
      <c r="V564"/>
      <c r="W564"/>
      <c r="X564"/>
      <c r="Y564"/>
      <c r="Z564"/>
      <c r="AA564"/>
      <c r="AB564"/>
      <c r="AC564"/>
      <c r="AD564"/>
      <c r="AE564"/>
      <c r="AF564"/>
      <c r="AG564"/>
      <c r="AH564"/>
      <c r="AI564"/>
      <c r="AJ564"/>
      <c r="AK564"/>
      <c r="AL564"/>
      <c r="AM564"/>
      <c r="AN564"/>
      <c r="AO564"/>
      <c r="AP564"/>
      <c r="AQ564"/>
      <c r="AR564"/>
      <c r="AS564"/>
      <c r="AT564"/>
      <c r="AU564"/>
      <c r="AV564" s="1" t="s">
        <v>38</v>
      </c>
      <c r="BG564" s="7" t="s">
        <v>1242</v>
      </c>
    </row>
    <row r="565" spans="1:59" s="1" customFormat="1" ht="54" x14ac:dyDescent="0.45">
      <c r="A565" s="5">
        <v>564</v>
      </c>
      <c r="B565" s="1" t="s">
        <v>11181</v>
      </c>
      <c r="C565" s="6"/>
      <c r="J565" s="1" t="s">
        <v>7557</v>
      </c>
      <c r="K565" s="2" t="s">
        <v>10427</v>
      </c>
      <c r="P565" s="7" t="s">
        <v>1241</v>
      </c>
      <c r="Q565"/>
      <c r="R565"/>
      <c r="S565"/>
      <c r="T565"/>
      <c r="U565"/>
      <c r="V565"/>
      <c r="W565"/>
      <c r="X565"/>
      <c r="Y565"/>
      <c r="Z565"/>
      <c r="AA565"/>
      <c r="AB565"/>
      <c r="AC565"/>
      <c r="AD565"/>
      <c r="AE565"/>
      <c r="AF565"/>
      <c r="AG565"/>
      <c r="AH565"/>
      <c r="AI565"/>
      <c r="AJ565"/>
      <c r="AK565"/>
      <c r="AL565"/>
      <c r="AM565"/>
      <c r="AN565"/>
      <c r="AO565"/>
      <c r="AP565"/>
      <c r="AQ565"/>
      <c r="AR565"/>
      <c r="AS565"/>
      <c r="AT565"/>
      <c r="AU565"/>
      <c r="AV565" s="1" t="s">
        <v>38</v>
      </c>
      <c r="BG565" s="7" t="s">
        <v>1242</v>
      </c>
    </row>
    <row r="566" spans="1:59" s="1" customFormat="1" ht="180" x14ac:dyDescent="0.45">
      <c r="A566" s="5">
        <v>565</v>
      </c>
      <c r="B566" s="1" t="s">
        <v>11182</v>
      </c>
      <c r="C566" s="6"/>
      <c r="J566" s="1" t="s">
        <v>7557</v>
      </c>
      <c r="K566" s="11" t="s">
        <v>11980</v>
      </c>
      <c r="P566" s="7" t="s">
        <v>1241</v>
      </c>
      <c r="Q566"/>
      <c r="R566"/>
      <c r="S566"/>
      <c r="T566"/>
      <c r="U566"/>
      <c r="V566"/>
      <c r="W566"/>
      <c r="X566"/>
      <c r="Y566"/>
      <c r="Z566"/>
      <c r="AA566"/>
      <c r="AB566"/>
      <c r="AC566"/>
      <c r="AD566"/>
      <c r="AE566"/>
      <c r="AF566"/>
      <c r="AG566"/>
      <c r="AH566"/>
      <c r="AI566"/>
      <c r="AJ566"/>
      <c r="AK566"/>
      <c r="AL566"/>
      <c r="AM566"/>
      <c r="AN566"/>
      <c r="AO566"/>
      <c r="AP566"/>
      <c r="AQ566"/>
      <c r="AR566"/>
      <c r="AS566"/>
      <c r="AT566"/>
      <c r="AU566"/>
      <c r="AV566" s="1" t="s">
        <v>38</v>
      </c>
      <c r="BG566" s="7" t="s">
        <v>1242</v>
      </c>
    </row>
    <row r="567" spans="1:59" s="1" customFormat="1" ht="108" x14ac:dyDescent="0.45">
      <c r="A567" s="5">
        <v>566</v>
      </c>
      <c r="B567" s="1" t="s">
        <v>11183</v>
      </c>
      <c r="C567" s="6"/>
      <c r="J567" s="1" t="s">
        <v>7557</v>
      </c>
      <c r="K567" s="11" t="s">
        <v>12240</v>
      </c>
      <c r="P567" s="7" t="s">
        <v>1241</v>
      </c>
      <c r="Q567"/>
      <c r="R567"/>
      <c r="S567"/>
      <c r="T567"/>
      <c r="U567"/>
      <c r="V567"/>
      <c r="W567"/>
      <c r="X567"/>
      <c r="Y567"/>
      <c r="Z567"/>
      <c r="AA567"/>
      <c r="AB567"/>
      <c r="AC567"/>
      <c r="AD567"/>
      <c r="AE567"/>
      <c r="AF567"/>
      <c r="AG567"/>
      <c r="AH567"/>
      <c r="AI567"/>
      <c r="AJ567"/>
      <c r="AK567"/>
      <c r="AL567"/>
      <c r="AM567"/>
      <c r="AN567"/>
      <c r="AO567"/>
      <c r="AP567"/>
      <c r="AQ567"/>
      <c r="AR567"/>
      <c r="AS567"/>
      <c r="AT567"/>
      <c r="AU567"/>
      <c r="AV567" s="1" t="s">
        <v>38</v>
      </c>
      <c r="BG567" s="7" t="s">
        <v>1242</v>
      </c>
    </row>
    <row r="568" spans="1:59" s="1" customFormat="1" ht="54" x14ac:dyDescent="0.45">
      <c r="A568" s="5">
        <v>567</v>
      </c>
      <c r="B568" s="1" t="s">
        <v>11184</v>
      </c>
      <c r="C568" s="6"/>
      <c r="J568" s="1" t="s">
        <v>7557</v>
      </c>
      <c r="K568" s="2" t="s">
        <v>12241</v>
      </c>
      <c r="P568" s="7" t="s">
        <v>1241</v>
      </c>
      <c r="Q568"/>
      <c r="R568"/>
      <c r="S568"/>
      <c r="T568"/>
      <c r="U568"/>
      <c r="V568"/>
      <c r="W568"/>
      <c r="X568"/>
      <c r="Y568"/>
      <c r="Z568"/>
      <c r="AA568"/>
      <c r="AB568"/>
      <c r="AC568"/>
      <c r="AD568"/>
      <c r="AE568"/>
      <c r="AF568"/>
      <c r="AG568"/>
      <c r="AH568"/>
      <c r="AI568"/>
      <c r="AJ568"/>
      <c r="AK568"/>
      <c r="AL568"/>
      <c r="AM568"/>
      <c r="AN568"/>
      <c r="AO568"/>
      <c r="AP568"/>
      <c r="AQ568"/>
      <c r="AR568"/>
      <c r="AS568"/>
      <c r="AT568"/>
      <c r="AU568"/>
      <c r="AV568" s="1" t="s">
        <v>38</v>
      </c>
      <c r="BG568" s="7" t="s">
        <v>1242</v>
      </c>
    </row>
    <row r="569" spans="1:59" s="1" customFormat="1" ht="36" x14ac:dyDescent="0.45">
      <c r="A569" s="5">
        <v>568</v>
      </c>
      <c r="B569" s="1" t="s">
        <v>11185</v>
      </c>
      <c r="C569" s="6"/>
      <c r="J569" s="1" t="s">
        <v>7557</v>
      </c>
      <c r="K569" s="2" t="s">
        <v>10428</v>
      </c>
      <c r="P569" s="7" t="s">
        <v>1241</v>
      </c>
      <c r="Q569"/>
      <c r="R569"/>
      <c r="S569"/>
      <c r="T569"/>
      <c r="U569"/>
      <c r="V569"/>
      <c r="W569"/>
      <c r="X569"/>
      <c r="Y569"/>
      <c r="Z569"/>
      <c r="AA569"/>
      <c r="AB569"/>
      <c r="AC569"/>
      <c r="AD569"/>
      <c r="AE569"/>
      <c r="AF569"/>
      <c r="AG569"/>
      <c r="AH569"/>
      <c r="AI569"/>
      <c r="AJ569"/>
      <c r="AK569"/>
      <c r="AL569"/>
      <c r="AM569"/>
      <c r="AN569"/>
      <c r="AO569"/>
      <c r="AP569"/>
      <c r="AQ569"/>
      <c r="AR569"/>
      <c r="AS569"/>
      <c r="AT569"/>
      <c r="AU569"/>
      <c r="AV569" s="1" t="s">
        <v>38</v>
      </c>
      <c r="BG569" s="7" t="s">
        <v>1242</v>
      </c>
    </row>
    <row r="570" spans="1:59" s="1" customFormat="1" ht="162" x14ac:dyDescent="0.45">
      <c r="A570" s="5">
        <v>569</v>
      </c>
      <c r="B570" s="1" t="s">
        <v>11186</v>
      </c>
      <c r="C570" s="6"/>
      <c r="J570" s="1" t="s">
        <v>7557</v>
      </c>
      <c r="K570" s="11" t="s">
        <v>11981</v>
      </c>
      <c r="P570" s="7" t="s">
        <v>1241</v>
      </c>
      <c r="Q570"/>
      <c r="R570"/>
      <c r="S570"/>
      <c r="T570"/>
      <c r="U570"/>
      <c r="V570"/>
      <c r="W570"/>
      <c r="X570"/>
      <c r="Y570"/>
      <c r="Z570"/>
      <c r="AA570"/>
      <c r="AB570"/>
      <c r="AC570"/>
      <c r="AD570"/>
      <c r="AE570"/>
      <c r="AF570"/>
      <c r="AG570"/>
      <c r="AH570"/>
      <c r="AI570"/>
      <c r="AJ570"/>
      <c r="AK570"/>
      <c r="AL570"/>
      <c r="AM570"/>
      <c r="AN570"/>
      <c r="AO570"/>
      <c r="AP570"/>
      <c r="AQ570"/>
      <c r="AR570"/>
      <c r="AS570"/>
      <c r="AT570"/>
      <c r="AU570"/>
      <c r="AV570" s="1" t="s">
        <v>38</v>
      </c>
      <c r="BG570" s="7" t="s">
        <v>1242</v>
      </c>
    </row>
    <row r="571" spans="1:59" s="1" customFormat="1" ht="144" x14ac:dyDescent="0.45">
      <c r="A571" s="5">
        <v>570</v>
      </c>
      <c r="B571" s="1" t="s">
        <v>11187</v>
      </c>
      <c r="C571" s="6"/>
      <c r="J571" s="1" t="s">
        <v>7557</v>
      </c>
      <c r="K571" s="2" t="s">
        <v>10429</v>
      </c>
      <c r="P571" s="7" t="s">
        <v>1241</v>
      </c>
      <c r="Q571"/>
      <c r="R571"/>
      <c r="S571"/>
      <c r="T571"/>
      <c r="U571"/>
      <c r="V571"/>
      <c r="W571"/>
      <c r="X571"/>
      <c r="Y571"/>
      <c r="Z571"/>
      <c r="AA571"/>
      <c r="AB571"/>
      <c r="AC571"/>
      <c r="AD571"/>
      <c r="AE571"/>
      <c r="AF571"/>
      <c r="AG571"/>
      <c r="AH571"/>
      <c r="AI571"/>
      <c r="AJ571"/>
      <c r="AK571"/>
      <c r="AL571"/>
      <c r="AM571"/>
      <c r="AN571"/>
      <c r="AO571"/>
      <c r="AP571"/>
      <c r="AQ571"/>
      <c r="AR571"/>
      <c r="AS571"/>
      <c r="AT571"/>
      <c r="AU571"/>
      <c r="AV571" s="1" t="s">
        <v>38</v>
      </c>
      <c r="BG571" s="7" t="s">
        <v>1242</v>
      </c>
    </row>
    <row r="572" spans="1:59" s="1" customFormat="1" ht="144" x14ac:dyDescent="0.45">
      <c r="A572" s="5">
        <v>571</v>
      </c>
      <c r="B572" s="1" t="s">
        <v>11188</v>
      </c>
      <c r="C572" s="6"/>
      <c r="J572" s="1" t="s">
        <v>7557</v>
      </c>
      <c r="K572" s="2" t="s">
        <v>10430</v>
      </c>
      <c r="P572" s="7" t="s">
        <v>1241</v>
      </c>
      <c r="Q572"/>
      <c r="R572"/>
      <c r="S572"/>
      <c r="T572"/>
      <c r="U572"/>
      <c r="V572"/>
      <c r="W572"/>
      <c r="X572"/>
      <c r="Y572"/>
      <c r="Z572"/>
      <c r="AA572"/>
      <c r="AB572"/>
      <c r="AC572"/>
      <c r="AD572"/>
      <c r="AE572"/>
      <c r="AF572"/>
      <c r="AG572"/>
      <c r="AH572"/>
      <c r="AI572"/>
      <c r="AJ572"/>
      <c r="AK572"/>
      <c r="AL572"/>
      <c r="AM572"/>
      <c r="AN572"/>
      <c r="AO572"/>
      <c r="AP572"/>
      <c r="AQ572"/>
      <c r="AR572"/>
      <c r="AS572"/>
      <c r="AT572"/>
      <c r="AU572"/>
      <c r="AV572" s="1" t="s">
        <v>38</v>
      </c>
      <c r="BG572" s="7" t="s">
        <v>1242</v>
      </c>
    </row>
    <row r="573" spans="1:59" s="1" customFormat="1" ht="126" x14ac:dyDescent="0.45">
      <c r="A573" s="5">
        <v>572</v>
      </c>
      <c r="B573" s="1" t="s">
        <v>11708</v>
      </c>
      <c r="C573" s="6"/>
      <c r="J573" s="1" t="s">
        <v>7557</v>
      </c>
      <c r="K573" s="2" t="s">
        <v>11709</v>
      </c>
      <c r="P573" s="7" t="s">
        <v>1241</v>
      </c>
      <c r="Q573"/>
      <c r="R573"/>
      <c r="S573"/>
      <c r="T573"/>
      <c r="U573"/>
      <c r="V573"/>
      <c r="W573"/>
      <c r="X573"/>
      <c r="Y573"/>
      <c r="Z573"/>
      <c r="AA573"/>
      <c r="AB573"/>
      <c r="AC573"/>
      <c r="AD573"/>
      <c r="AE573"/>
      <c r="AF573"/>
      <c r="AG573"/>
      <c r="AH573"/>
      <c r="AI573"/>
      <c r="AJ573"/>
      <c r="AK573"/>
      <c r="AL573"/>
      <c r="AM573"/>
      <c r="AN573"/>
      <c r="AO573"/>
      <c r="AP573"/>
      <c r="AQ573"/>
      <c r="AR573"/>
      <c r="AS573"/>
      <c r="AT573"/>
      <c r="AU573"/>
      <c r="AV573" s="1" t="s">
        <v>38</v>
      </c>
      <c r="BG573" s="7" t="s">
        <v>1242</v>
      </c>
    </row>
    <row r="574" spans="1:59" s="1" customFormat="1" ht="72" x14ac:dyDescent="0.45">
      <c r="A574" s="5">
        <v>573</v>
      </c>
      <c r="B574" s="1" t="s">
        <v>11189</v>
      </c>
      <c r="C574" s="6"/>
      <c r="J574" s="1" t="s">
        <v>7557</v>
      </c>
      <c r="K574" s="2" t="s">
        <v>10431</v>
      </c>
      <c r="P574" s="7" t="s">
        <v>1241</v>
      </c>
      <c r="Q574"/>
      <c r="R574"/>
      <c r="S574"/>
      <c r="T574"/>
      <c r="U574"/>
      <c r="V574"/>
      <c r="W574"/>
      <c r="X574"/>
      <c r="Y574"/>
      <c r="Z574"/>
      <c r="AA574"/>
      <c r="AB574"/>
      <c r="AC574"/>
      <c r="AD574"/>
      <c r="AE574"/>
      <c r="AF574"/>
      <c r="AG574"/>
      <c r="AH574"/>
      <c r="AI574"/>
      <c r="AJ574"/>
      <c r="AK574"/>
      <c r="AL574"/>
      <c r="AM574"/>
      <c r="AN574"/>
      <c r="AO574"/>
      <c r="AP574"/>
      <c r="AQ574"/>
      <c r="AR574"/>
      <c r="AS574"/>
      <c r="AT574"/>
      <c r="AU574"/>
      <c r="AV574" s="1" t="s">
        <v>38</v>
      </c>
      <c r="BG574" s="7" t="s">
        <v>1242</v>
      </c>
    </row>
    <row r="575" spans="1:59" s="1" customFormat="1" ht="90" x14ac:dyDescent="0.45">
      <c r="A575" s="5">
        <v>574</v>
      </c>
      <c r="B575" s="1" t="s">
        <v>11190</v>
      </c>
      <c r="C575" s="6"/>
      <c r="J575" s="1" t="s">
        <v>7557</v>
      </c>
      <c r="K575" s="2" t="s">
        <v>11710</v>
      </c>
      <c r="P575" s="7" t="s">
        <v>1241</v>
      </c>
      <c r="Q575"/>
      <c r="R575"/>
      <c r="S575"/>
      <c r="T575"/>
      <c r="U575"/>
      <c r="V575"/>
      <c r="W575"/>
      <c r="X575"/>
      <c r="Y575"/>
      <c r="Z575"/>
      <c r="AA575"/>
      <c r="AB575"/>
      <c r="AC575"/>
      <c r="AD575"/>
      <c r="AE575"/>
      <c r="AF575"/>
      <c r="AG575"/>
      <c r="AH575"/>
      <c r="AI575"/>
      <c r="AJ575"/>
      <c r="AK575"/>
      <c r="AL575"/>
      <c r="AM575"/>
      <c r="AN575"/>
      <c r="AO575"/>
      <c r="AP575"/>
      <c r="AQ575"/>
      <c r="AR575"/>
      <c r="AS575"/>
      <c r="AT575"/>
      <c r="AU575"/>
      <c r="AV575" s="1" t="s">
        <v>38</v>
      </c>
      <c r="BG575" s="7" t="s">
        <v>1242</v>
      </c>
    </row>
    <row r="576" spans="1:59" s="1" customFormat="1" ht="72" x14ac:dyDescent="0.45">
      <c r="A576" s="5">
        <v>575</v>
      </c>
      <c r="B576" s="1" t="s">
        <v>11191</v>
      </c>
      <c r="C576" s="6"/>
      <c r="J576" s="1" t="s">
        <v>7557</v>
      </c>
      <c r="K576" s="2" t="s">
        <v>10432</v>
      </c>
      <c r="P576" s="7" t="s">
        <v>1241</v>
      </c>
      <c r="Q576"/>
      <c r="R576"/>
      <c r="S576"/>
      <c r="T576"/>
      <c r="U576"/>
      <c r="V576"/>
      <c r="W576"/>
      <c r="X576"/>
      <c r="Y576"/>
      <c r="Z576"/>
      <c r="AA576"/>
      <c r="AB576"/>
      <c r="AC576"/>
      <c r="AD576"/>
      <c r="AE576"/>
      <c r="AF576"/>
      <c r="AG576"/>
      <c r="AH576"/>
      <c r="AI576"/>
      <c r="AJ576"/>
      <c r="AK576"/>
      <c r="AL576"/>
      <c r="AM576"/>
      <c r="AN576"/>
      <c r="AO576"/>
      <c r="AP576"/>
      <c r="AQ576"/>
      <c r="AR576"/>
      <c r="AS576"/>
      <c r="AT576"/>
      <c r="AU576"/>
      <c r="AV576" s="1" t="s">
        <v>38</v>
      </c>
      <c r="BG576" s="7" t="s">
        <v>1242</v>
      </c>
    </row>
    <row r="577" spans="1:59" s="1" customFormat="1" ht="72" x14ac:dyDescent="0.45">
      <c r="A577" s="5">
        <v>576</v>
      </c>
      <c r="B577" s="1" t="s">
        <v>11192</v>
      </c>
      <c r="C577" s="6"/>
      <c r="J577" s="1" t="s">
        <v>7557</v>
      </c>
      <c r="K577" s="2" t="s">
        <v>11679</v>
      </c>
      <c r="P577" s="7" t="s">
        <v>1241</v>
      </c>
      <c r="Q577"/>
      <c r="R577"/>
      <c r="S577"/>
      <c r="T577"/>
      <c r="U577"/>
      <c r="V577"/>
      <c r="W577"/>
      <c r="X577"/>
      <c r="Y577"/>
      <c r="Z577"/>
      <c r="AA577"/>
      <c r="AB577"/>
      <c r="AC577"/>
      <c r="AD577"/>
      <c r="AE577"/>
      <c r="AF577"/>
      <c r="AG577"/>
      <c r="AH577"/>
      <c r="AI577"/>
      <c r="AJ577"/>
      <c r="AK577"/>
      <c r="AL577"/>
      <c r="AM577"/>
      <c r="AN577"/>
      <c r="AO577"/>
      <c r="AP577"/>
      <c r="AQ577"/>
      <c r="AR577"/>
      <c r="AS577"/>
      <c r="AT577"/>
      <c r="AU577"/>
      <c r="AV577" s="1" t="s">
        <v>38</v>
      </c>
      <c r="BG577" s="7" t="s">
        <v>1242</v>
      </c>
    </row>
    <row r="578" spans="1:59" s="1" customFormat="1" ht="90" x14ac:dyDescent="0.45">
      <c r="A578" s="5">
        <v>577</v>
      </c>
      <c r="B578" s="1" t="s">
        <v>11193</v>
      </c>
      <c r="C578" s="6"/>
      <c r="J578" s="1" t="s">
        <v>7557</v>
      </c>
      <c r="K578" s="11" t="s">
        <v>11982</v>
      </c>
      <c r="P578" s="7" t="s">
        <v>1241</v>
      </c>
      <c r="Q578"/>
      <c r="R578"/>
      <c r="S578"/>
      <c r="T578"/>
      <c r="U578"/>
      <c r="V578"/>
      <c r="W578"/>
      <c r="X578"/>
      <c r="Y578"/>
      <c r="Z578"/>
      <c r="AA578"/>
      <c r="AB578"/>
      <c r="AC578"/>
      <c r="AD578"/>
      <c r="AE578"/>
      <c r="AF578"/>
      <c r="AG578"/>
      <c r="AH578"/>
      <c r="AI578"/>
      <c r="AJ578"/>
      <c r="AK578"/>
      <c r="AL578"/>
      <c r="AM578"/>
      <c r="AN578"/>
      <c r="AO578"/>
      <c r="AP578"/>
      <c r="AQ578"/>
      <c r="AR578"/>
      <c r="AS578"/>
      <c r="AT578"/>
      <c r="AU578"/>
      <c r="AV578" s="1" t="s">
        <v>38</v>
      </c>
      <c r="BG578" s="7" t="s">
        <v>1242</v>
      </c>
    </row>
    <row r="579" spans="1:59" s="1" customFormat="1" ht="54" x14ac:dyDescent="0.45">
      <c r="A579" s="5">
        <v>578</v>
      </c>
      <c r="B579" s="1" t="s">
        <v>11194</v>
      </c>
      <c r="C579" s="6"/>
      <c r="J579" s="1" t="s">
        <v>7557</v>
      </c>
      <c r="K579" s="2" t="s">
        <v>10433</v>
      </c>
      <c r="P579" s="7" t="s">
        <v>1241</v>
      </c>
      <c r="Q579"/>
      <c r="R579"/>
      <c r="S579"/>
      <c r="T579"/>
      <c r="U579"/>
      <c r="V579"/>
      <c r="W579"/>
      <c r="X579"/>
      <c r="Y579"/>
      <c r="Z579"/>
      <c r="AA579"/>
      <c r="AB579"/>
      <c r="AC579"/>
      <c r="AD579"/>
      <c r="AE579"/>
      <c r="AF579"/>
      <c r="AG579"/>
      <c r="AH579"/>
      <c r="AI579"/>
      <c r="AJ579"/>
      <c r="AK579"/>
      <c r="AL579"/>
      <c r="AM579"/>
      <c r="AN579"/>
      <c r="AO579"/>
      <c r="AP579"/>
      <c r="AQ579"/>
      <c r="AR579"/>
      <c r="AS579"/>
      <c r="AT579"/>
      <c r="AU579"/>
      <c r="AV579" s="1" t="s">
        <v>38</v>
      </c>
      <c r="BG579" s="7" t="s">
        <v>1242</v>
      </c>
    </row>
    <row r="580" spans="1:59" s="1" customFormat="1" ht="198" x14ac:dyDescent="0.45">
      <c r="A580" s="5">
        <v>579</v>
      </c>
      <c r="B580" s="1" t="s">
        <v>11195</v>
      </c>
      <c r="C580" s="6"/>
      <c r="J580" s="1" t="s">
        <v>7557</v>
      </c>
      <c r="K580" s="11" t="s">
        <v>11983</v>
      </c>
      <c r="P580" s="7" t="s">
        <v>1241</v>
      </c>
      <c r="Q580"/>
      <c r="R580"/>
      <c r="S580"/>
      <c r="T580"/>
      <c r="U580"/>
      <c r="V580"/>
      <c r="W580"/>
      <c r="X580"/>
      <c r="Y580"/>
      <c r="Z580"/>
      <c r="AA580"/>
      <c r="AB580"/>
      <c r="AC580"/>
      <c r="AD580"/>
      <c r="AE580"/>
      <c r="AF580"/>
      <c r="AG580"/>
      <c r="AH580"/>
      <c r="AI580"/>
      <c r="AJ580"/>
      <c r="AK580"/>
      <c r="AL580"/>
      <c r="AM580"/>
      <c r="AN580"/>
      <c r="AO580"/>
      <c r="AP580"/>
      <c r="AQ580"/>
      <c r="AR580"/>
      <c r="AS580"/>
      <c r="AT580"/>
      <c r="AU580"/>
      <c r="AV580" s="1" t="s">
        <v>38</v>
      </c>
      <c r="BG580" s="7" t="s">
        <v>1242</v>
      </c>
    </row>
    <row r="581" spans="1:59" s="1" customFormat="1" ht="72" x14ac:dyDescent="0.45">
      <c r="A581" s="5">
        <v>580</v>
      </c>
      <c r="B581" s="1" t="s">
        <v>11196</v>
      </c>
      <c r="C581" s="6"/>
      <c r="J581" s="1" t="s">
        <v>7557</v>
      </c>
      <c r="K581" s="2" t="s">
        <v>10434</v>
      </c>
      <c r="P581" s="7" t="s">
        <v>1241</v>
      </c>
      <c r="Q581"/>
      <c r="R581"/>
      <c r="S581"/>
      <c r="T581"/>
      <c r="U581"/>
      <c r="V581"/>
      <c r="W581"/>
      <c r="X581"/>
      <c r="Y581"/>
      <c r="Z581"/>
      <c r="AA581"/>
      <c r="AB581"/>
      <c r="AC581"/>
      <c r="AD581"/>
      <c r="AE581"/>
      <c r="AF581"/>
      <c r="AG581"/>
      <c r="AH581"/>
      <c r="AI581"/>
      <c r="AJ581"/>
      <c r="AK581"/>
      <c r="AL581"/>
      <c r="AM581"/>
      <c r="AN581"/>
      <c r="AO581"/>
      <c r="AP581"/>
      <c r="AQ581"/>
      <c r="AR581"/>
      <c r="AS581"/>
      <c r="AT581"/>
      <c r="AU581"/>
      <c r="AV581" s="1" t="s">
        <v>38</v>
      </c>
      <c r="BG581" s="7" t="s">
        <v>1242</v>
      </c>
    </row>
    <row r="582" spans="1:59" s="1" customFormat="1" ht="90" x14ac:dyDescent="0.45">
      <c r="A582" s="5">
        <v>581</v>
      </c>
      <c r="B582" s="1" t="s">
        <v>11197</v>
      </c>
      <c r="C582" s="6"/>
      <c r="J582" s="1" t="s">
        <v>7557</v>
      </c>
      <c r="K582" s="2" t="s">
        <v>10435</v>
      </c>
      <c r="P582" s="7" t="s">
        <v>1241</v>
      </c>
      <c r="Q582"/>
      <c r="R582"/>
      <c r="S582"/>
      <c r="T582"/>
      <c r="U582"/>
      <c r="V582"/>
      <c r="W582"/>
      <c r="X582"/>
      <c r="Y582"/>
      <c r="Z582"/>
      <c r="AA582"/>
      <c r="AB582"/>
      <c r="AC582"/>
      <c r="AD582"/>
      <c r="AE582"/>
      <c r="AF582"/>
      <c r="AG582"/>
      <c r="AH582"/>
      <c r="AI582"/>
      <c r="AJ582"/>
      <c r="AK582"/>
      <c r="AL582"/>
      <c r="AM582"/>
      <c r="AN582"/>
      <c r="AO582"/>
      <c r="AP582"/>
      <c r="AQ582"/>
      <c r="AR582"/>
      <c r="AS582"/>
      <c r="AT582"/>
      <c r="AU582"/>
      <c r="AV582" s="1" t="s">
        <v>38</v>
      </c>
      <c r="BG582" s="7" t="s">
        <v>1242</v>
      </c>
    </row>
    <row r="583" spans="1:59" s="1" customFormat="1" ht="198" x14ac:dyDescent="0.45">
      <c r="A583" s="5">
        <v>582</v>
      </c>
      <c r="B583" s="1" t="s">
        <v>11198</v>
      </c>
      <c r="C583" s="6"/>
      <c r="J583" s="1" t="s">
        <v>7557</v>
      </c>
      <c r="K583" s="2" t="s">
        <v>10436</v>
      </c>
      <c r="P583" s="7" t="s">
        <v>1241</v>
      </c>
      <c r="Q583"/>
      <c r="R583"/>
      <c r="S583"/>
      <c r="T583"/>
      <c r="U583"/>
      <c r="V583"/>
      <c r="W583"/>
      <c r="X583"/>
      <c r="Y583"/>
      <c r="Z583"/>
      <c r="AA583"/>
      <c r="AB583"/>
      <c r="AC583"/>
      <c r="AD583"/>
      <c r="AE583"/>
      <c r="AF583"/>
      <c r="AG583"/>
      <c r="AH583"/>
      <c r="AI583"/>
      <c r="AJ583"/>
      <c r="AK583"/>
      <c r="AL583"/>
      <c r="AM583"/>
      <c r="AN583"/>
      <c r="AO583"/>
      <c r="AP583"/>
      <c r="AQ583"/>
      <c r="AR583"/>
      <c r="AS583"/>
      <c r="AT583"/>
      <c r="AU583"/>
      <c r="AV583" s="1" t="s">
        <v>38</v>
      </c>
      <c r="BG583" s="7" t="s">
        <v>1242</v>
      </c>
    </row>
    <row r="584" spans="1:59" s="1" customFormat="1" ht="180" x14ac:dyDescent="0.45">
      <c r="A584" s="5">
        <v>583</v>
      </c>
      <c r="B584" s="1" t="s">
        <v>11199</v>
      </c>
      <c r="C584" s="6"/>
      <c r="J584" s="1" t="s">
        <v>7557</v>
      </c>
      <c r="K584" s="2" t="s">
        <v>10437</v>
      </c>
      <c r="P584" s="7" t="s">
        <v>1241</v>
      </c>
      <c r="Q584"/>
      <c r="R584"/>
      <c r="S584"/>
      <c r="T584"/>
      <c r="U584"/>
      <c r="V584"/>
      <c r="W584"/>
      <c r="X584"/>
      <c r="Y584"/>
      <c r="Z584"/>
      <c r="AA584"/>
      <c r="AB584"/>
      <c r="AC584"/>
      <c r="AD584"/>
      <c r="AE584"/>
      <c r="AF584"/>
      <c r="AG584"/>
      <c r="AH584"/>
      <c r="AI584"/>
      <c r="AJ584"/>
      <c r="AK584"/>
      <c r="AL584"/>
      <c r="AM584"/>
      <c r="AN584"/>
      <c r="AO584"/>
      <c r="AP584"/>
      <c r="AQ584"/>
      <c r="AR584"/>
      <c r="AS584"/>
      <c r="AT584"/>
      <c r="AU584"/>
      <c r="AV584" s="1" t="s">
        <v>38</v>
      </c>
      <c r="BG584" s="7" t="s">
        <v>1242</v>
      </c>
    </row>
    <row r="585" spans="1:59" s="1" customFormat="1" ht="108" x14ac:dyDescent="0.45">
      <c r="A585" s="5">
        <v>584</v>
      </c>
      <c r="B585" s="1" t="s">
        <v>11200</v>
      </c>
      <c r="C585" s="6"/>
      <c r="J585" s="1" t="s">
        <v>7557</v>
      </c>
      <c r="K585" s="11" t="s">
        <v>11984</v>
      </c>
      <c r="P585" s="7" t="s">
        <v>1241</v>
      </c>
      <c r="Q585"/>
      <c r="R585"/>
      <c r="S585"/>
      <c r="T585"/>
      <c r="U585"/>
      <c r="V585"/>
      <c r="W585"/>
      <c r="X585"/>
      <c r="Y585"/>
      <c r="Z585"/>
      <c r="AA585"/>
      <c r="AB585"/>
      <c r="AC585"/>
      <c r="AD585"/>
      <c r="AE585"/>
      <c r="AF585"/>
      <c r="AG585"/>
      <c r="AH585"/>
      <c r="AI585"/>
      <c r="AJ585"/>
      <c r="AK585"/>
      <c r="AL585"/>
      <c r="AM585"/>
      <c r="AN585"/>
      <c r="AO585"/>
      <c r="AP585"/>
      <c r="AQ585"/>
      <c r="AR585"/>
      <c r="AS585"/>
      <c r="AT585"/>
      <c r="AU585"/>
      <c r="AV585" s="1" t="s">
        <v>38</v>
      </c>
      <c r="BG585" s="7" t="s">
        <v>1242</v>
      </c>
    </row>
    <row r="586" spans="1:59" s="1" customFormat="1" ht="54" x14ac:dyDescent="0.45">
      <c r="A586" s="5">
        <v>585</v>
      </c>
      <c r="B586" s="1" t="s">
        <v>11201</v>
      </c>
      <c r="C586" s="6"/>
      <c r="J586" s="1" t="s">
        <v>7557</v>
      </c>
      <c r="K586" s="2" t="s">
        <v>10438</v>
      </c>
      <c r="P586" s="7" t="s">
        <v>1241</v>
      </c>
      <c r="Q586"/>
      <c r="R586"/>
      <c r="S586"/>
      <c r="T586"/>
      <c r="U586"/>
      <c r="V586"/>
      <c r="W586"/>
      <c r="X586"/>
      <c r="Y586"/>
      <c r="Z586"/>
      <c r="AA586"/>
      <c r="AB586"/>
      <c r="AC586"/>
      <c r="AD586"/>
      <c r="AE586"/>
      <c r="AF586"/>
      <c r="AG586"/>
      <c r="AH586"/>
      <c r="AI586"/>
      <c r="AJ586"/>
      <c r="AK586"/>
      <c r="AL586"/>
      <c r="AM586"/>
      <c r="AN586"/>
      <c r="AO586"/>
      <c r="AP586"/>
      <c r="AQ586"/>
      <c r="AR586"/>
      <c r="AS586"/>
      <c r="AT586"/>
      <c r="AU586"/>
      <c r="AV586" s="1" t="s">
        <v>38</v>
      </c>
      <c r="BG586" s="7" t="s">
        <v>1242</v>
      </c>
    </row>
    <row r="587" spans="1:59" s="1" customFormat="1" ht="162" x14ac:dyDescent="0.45">
      <c r="A587" s="5">
        <v>586</v>
      </c>
      <c r="B587" s="1" t="s">
        <v>11202</v>
      </c>
      <c r="C587" s="6"/>
      <c r="J587" s="1" t="s">
        <v>7557</v>
      </c>
      <c r="K587" s="2" t="s">
        <v>10439</v>
      </c>
      <c r="P587" s="7" t="s">
        <v>1241</v>
      </c>
      <c r="Q587"/>
      <c r="R587"/>
      <c r="S587"/>
      <c r="T587"/>
      <c r="U587"/>
      <c r="V587"/>
      <c r="W587"/>
      <c r="X587"/>
      <c r="Y587"/>
      <c r="Z587"/>
      <c r="AA587"/>
      <c r="AB587"/>
      <c r="AC587"/>
      <c r="AD587"/>
      <c r="AE587"/>
      <c r="AF587"/>
      <c r="AG587"/>
      <c r="AH587"/>
      <c r="AI587"/>
      <c r="AJ587"/>
      <c r="AK587"/>
      <c r="AL587"/>
      <c r="AM587"/>
      <c r="AN587"/>
      <c r="AO587"/>
      <c r="AP587"/>
      <c r="AQ587"/>
      <c r="AR587"/>
      <c r="AS587"/>
      <c r="AT587"/>
      <c r="AU587"/>
      <c r="AV587" s="1" t="s">
        <v>38</v>
      </c>
      <c r="BG587" s="7" t="s">
        <v>1242</v>
      </c>
    </row>
    <row r="588" spans="1:59" s="1" customFormat="1" ht="36" x14ac:dyDescent="0.45">
      <c r="A588" s="5">
        <v>587</v>
      </c>
      <c r="B588" s="1" t="s">
        <v>11203</v>
      </c>
      <c r="C588" s="6"/>
      <c r="J588" s="1" t="s">
        <v>7557</v>
      </c>
      <c r="K588" s="2" t="s">
        <v>10440</v>
      </c>
      <c r="P588" s="7" t="s">
        <v>1241</v>
      </c>
      <c r="Q588"/>
      <c r="R588"/>
      <c r="S588"/>
      <c r="T588"/>
      <c r="U588"/>
      <c r="V588"/>
      <c r="W588"/>
      <c r="X588"/>
      <c r="Y588"/>
      <c r="Z588"/>
      <c r="AA588"/>
      <c r="AB588"/>
      <c r="AC588"/>
      <c r="AD588"/>
      <c r="AE588"/>
      <c r="AF588"/>
      <c r="AG588"/>
      <c r="AH588"/>
      <c r="AI588"/>
      <c r="AJ588"/>
      <c r="AK588"/>
      <c r="AL588"/>
      <c r="AM588"/>
      <c r="AN588"/>
      <c r="AO588"/>
      <c r="AP588"/>
      <c r="AQ588"/>
      <c r="AR588"/>
      <c r="AS588"/>
      <c r="AT588"/>
      <c r="AU588"/>
      <c r="AV588" s="1" t="s">
        <v>38</v>
      </c>
      <c r="BG588" s="7" t="s">
        <v>1242</v>
      </c>
    </row>
    <row r="589" spans="1:59" s="1" customFormat="1" ht="108" x14ac:dyDescent="0.45">
      <c r="A589" s="5">
        <v>588</v>
      </c>
      <c r="B589" s="1" t="s">
        <v>11204</v>
      </c>
      <c r="C589" s="6"/>
      <c r="J589" s="1" t="s">
        <v>7557</v>
      </c>
      <c r="K589" s="11" t="s">
        <v>11985</v>
      </c>
      <c r="P589" s="7" t="s">
        <v>1241</v>
      </c>
      <c r="Q589"/>
      <c r="R589"/>
      <c r="S589"/>
      <c r="T589"/>
      <c r="U589"/>
      <c r="V589"/>
      <c r="W589"/>
      <c r="X589"/>
      <c r="Y589"/>
      <c r="Z589"/>
      <c r="AA589"/>
      <c r="AB589"/>
      <c r="AC589"/>
      <c r="AD589"/>
      <c r="AE589"/>
      <c r="AF589"/>
      <c r="AG589"/>
      <c r="AH589"/>
      <c r="AI589"/>
      <c r="AJ589"/>
      <c r="AK589"/>
      <c r="AL589"/>
      <c r="AM589"/>
      <c r="AN589"/>
      <c r="AO589"/>
      <c r="AP589"/>
      <c r="AQ589"/>
      <c r="AR589"/>
      <c r="AS589"/>
      <c r="AT589"/>
      <c r="AU589"/>
      <c r="AV589" s="1" t="s">
        <v>38</v>
      </c>
      <c r="BG589" s="7" t="s">
        <v>1242</v>
      </c>
    </row>
    <row r="590" spans="1:59" s="1" customFormat="1" ht="54" x14ac:dyDescent="0.45">
      <c r="A590" s="5">
        <v>589</v>
      </c>
      <c r="B590" s="1" t="s">
        <v>11205</v>
      </c>
      <c r="C590" s="6"/>
      <c r="J590" s="1" t="s">
        <v>7557</v>
      </c>
      <c r="K590" s="2" t="s">
        <v>10441</v>
      </c>
      <c r="P590" s="7" t="s">
        <v>1241</v>
      </c>
      <c r="Q590"/>
      <c r="R590"/>
      <c r="S590"/>
      <c r="T590"/>
      <c r="U590"/>
      <c r="V590"/>
      <c r="W590"/>
      <c r="X590"/>
      <c r="Y590"/>
      <c r="Z590"/>
      <c r="AA590"/>
      <c r="AB590"/>
      <c r="AC590"/>
      <c r="AD590"/>
      <c r="AE590"/>
      <c r="AF590"/>
      <c r="AG590"/>
      <c r="AH590"/>
      <c r="AI590"/>
      <c r="AJ590"/>
      <c r="AK590"/>
      <c r="AL590"/>
      <c r="AM590"/>
      <c r="AN590"/>
      <c r="AO590"/>
      <c r="AP590"/>
      <c r="AQ590"/>
      <c r="AR590"/>
      <c r="AS590"/>
      <c r="AT590"/>
      <c r="AU590"/>
      <c r="AV590" s="1" t="s">
        <v>38</v>
      </c>
      <c r="BG590" s="7" t="s">
        <v>1242</v>
      </c>
    </row>
    <row r="591" spans="1:59" s="1" customFormat="1" ht="108" x14ac:dyDescent="0.45">
      <c r="A591" s="5">
        <v>590</v>
      </c>
      <c r="B591" s="1" t="s">
        <v>11206</v>
      </c>
      <c r="C591" s="6"/>
      <c r="J591" s="1" t="s">
        <v>7557</v>
      </c>
      <c r="K591" s="2" t="s">
        <v>10442</v>
      </c>
      <c r="P591" s="7" t="s">
        <v>1241</v>
      </c>
      <c r="Q591"/>
      <c r="R591"/>
      <c r="S591"/>
      <c r="T591"/>
      <c r="U591"/>
      <c r="V591"/>
      <c r="W591"/>
      <c r="X591"/>
      <c r="Y591"/>
      <c r="Z591"/>
      <c r="AA591"/>
      <c r="AB591"/>
      <c r="AC591"/>
      <c r="AD591"/>
      <c r="AE591"/>
      <c r="AF591"/>
      <c r="AG591"/>
      <c r="AH591"/>
      <c r="AI591"/>
      <c r="AJ591"/>
      <c r="AK591"/>
      <c r="AL591"/>
      <c r="AM591"/>
      <c r="AN591"/>
      <c r="AO591"/>
      <c r="AP591"/>
      <c r="AQ591"/>
      <c r="AR591"/>
      <c r="AS591"/>
      <c r="AT591"/>
      <c r="AU591"/>
      <c r="AV591" s="1" t="s">
        <v>38</v>
      </c>
      <c r="BG591" s="7" t="s">
        <v>1242</v>
      </c>
    </row>
    <row r="592" spans="1:59" s="1" customFormat="1" ht="36" x14ac:dyDescent="0.45">
      <c r="A592" s="5">
        <v>591</v>
      </c>
      <c r="B592" s="1" t="s">
        <v>11207</v>
      </c>
      <c r="C592" s="6"/>
      <c r="J592" s="1" t="s">
        <v>7557</v>
      </c>
      <c r="K592" s="2" t="s">
        <v>10443</v>
      </c>
      <c r="P592" s="7" t="s">
        <v>1241</v>
      </c>
      <c r="Q592"/>
      <c r="R592"/>
      <c r="S592"/>
      <c r="T592"/>
      <c r="U592"/>
      <c r="V592"/>
      <c r="W592"/>
      <c r="X592"/>
      <c r="Y592"/>
      <c r="Z592"/>
      <c r="AA592"/>
      <c r="AB592"/>
      <c r="AC592"/>
      <c r="AD592"/>
      <c r="AE592"/>
      <c r="AF592"/>
      <c r="AG592"/>
      <c r="AH592"/>
      <c r="AI592"/>
      <c r="AJ592"/>
      <c r="AK592"/>
      <c r="AL592"/>
      <c r="AM592"/>
      <c r="AN592"/>
      <c r="AO592"/>
      <c r="AP592"/>
      <c r="AQ592"/>
      <c r="AR592"/>
      <c r="AS592"/>
      <c r="AT592"/>
      <c r="AU592"/>
      <c r="AV592" s="1" t="s">
        <v>38</v>
      </c>
      <c r="BG592" s="7" t="s">
        <v>1242</v>
      </c>
    </row>
    <row r="593" spans="1:59" s="1" customFormat="1" ht="144" x14ac:dyDescent="0.45">
      <c r="A593" s="5">
        <v>592</v>
      </c>
      <c r="B593" s="1" t="s">
        <v>11208</v>
      </c>
      <c r="C593" s="6"/>
      <c r="J593" s="1" t="s">
        <v>7557</v>
      </c>
      <c r="K593" s="2" t="s">
        <v>10444</v>
      </c>
      <c r="P593" s="7" t="s">
        <v>1241</v>
      </c>
      <c r="Q593"/>
      <c r="R593"/>
      <c r="S593"/>
      <c r="T593"/>
      <c r="U593"/>
      <c r="V593"/>
      <c r="W593"/>
      <c r="X593"/>
      <c r="Y593"/>
      <c r="Z593"/>
      <c r="AA593"/>
      <c r="AB593"/>
      <c r="AC593"/>
      <c r="AD593"/>
      <c r="AE593"/>
      <c r="AF593"/>
      <c r="AG593"/>
      <c r="AH593"/>
      <c r="AI593"/>
      <c r="AJ593"/>
      <c r="AK593"/>
      <c r="AL593"/>
      <c r="AM593"/>
      <c r="AN593"/>
      <c r="AO593"/>
      <c r="AP593"/>
      <c r="AQ593"/>
      <c r="AR593"/>
      <c r="AS593"/>
      <c r="AT593"/>
      <c r="AU593"/>
      <c r="AV593" s="1" t="s">
        <v>38</v>
      </c>
      <c r="BG593" s="7" t="s">
        <v>1242</v>
      </c>
    </row>
    <row r="594" spans="1:59" s="1" customFormat="1" ht="108" x14ac:dyDescent="0.45">
      <c r="A594" s="5">
        <v>593</v>
      </c>
      <c r="B594" s="1" t="s">
        <v>11209</v>
      </c>
      <c r="C594" s="6"/>
      <c r="J594" s="1" t="s">
        <v>7557</v>
      </c>
      <c r="K594" s="2" t="s">
        <v>11711</v>
      </c>
      <c r="P594" s="7" t="s">
        <v>1241</v>
      </c>
      <c r="Q594"/>
      <c r="R594"/>
      <c r="S594"/>
      <c r="T594"/>
      <c r="U594"/>
      <c r="V594"/>
      <c r="W594"/>
      <c r="X594"/>
      <c r="Y594"/>
      <c r="Z594"/>
      <c r="AA594"/>
      <c r="AB594"/>
      <c r="AC594"/>
      <c r="AD594"/>
      <c r="AE594"/>
      <c r="AF594"/>
      <c r="AG594"/>
      <c r="AH594"/>
      <c r="AI594"/>
      <c r="AJ594"/>
      <c r="AK594"/>
      <c r="AL594"/>
      <c r="AM594"/>
      <c r="AN594"/>
      <c r="AO594"/>
      <c r="AP594"/>
      <c r="AQ594"/>
      <c r="AR594"/>
      <c r="AS594"/>
      <c r="AT594"/>
      <c r="AU594"/>
      <c r="AV594" s="1" t="s">
        <v>38</v>
      </c>
      <c r="BG594" s="7" t="s">
        <v>1242</v>
      </c>
    </row>
    <row r="595" spans="1:59" s="1" customFormat="1" ht="72" x14ac:dyDescent="0.45">
      <c r="A595" s="5">
        <v>594</v>
      </c>
      <c r="B595" s="1" t="s">
        <v>11210</v>
      </c>
      <c r="C595" s="6"/>
      <c r="J595" s="1" t="s">
        <v>7557</v>
      </c>
      <c r="K595" s="2" t="s">
        <v>10445</v>
      </c>
      <c r="P595" s="7" t="s">
        <v>1241</v>
      </c>
      <c r="Q595"/>
      <c r="R595"/>
      <c r="S595"/>
      <c r="T595"/>
      <c r="U595"/>
      <c r="V595"/>
      <c r="W595"/>
      <c r="X595"/>
      <c r="Y595"/>
      <c r="Z595"/>
      <c r="AA595"/>
      <c r="AB595"/>
      <c r="AC595"/>
      <c r="AD595"/>
      <c r="AE595"/>
      <c r="AF595"/>
      <c r="AG595"/>
      <c r="AH595"/>
      <c r="AI595"/>
      <c r="AJ595"/>
      <c r="AK595"/>
      <c r="AL595"/>
      <c r="AM595"/>
      <c r="AN595"/>
      <c r="AO595"/>
      <c r="AP595"/>
      <c r="AQ595"/>
      <c r="AR595"/>
      <c r="AS595"/>
      <c r="AT595"/>
      <c r="AU595"/>
      <c r="AV595" s="1" t="s">
        <v>38</v>
      </c>
      <c r="BG595" s="7" t="s">
        <v>1242</v>
      </c>
    </row>
    <row r="596" spans="1:59" s="1" customFormat="1" ht="36" x14ac:dyDescent="0.45">
      <c r="A596" s="5">
        <v>595</v>
      </c>
      <c r="B596" s="1" t="s">
        <v>10446</v>
      </c>
      <c r="C596" s="6"/>
      <c r="J596" s="1" t="s">
        <v>7557</v>
      </c>
      <c r="K596" s="2" t="s">
        <v>10447</v>
      </c>
      <c r="P596" s="7" t="s">
        <v>1241</v>
      </c>
      <c r="Q596"/>
      <c r="R596"/>
      <c r="S596"/>
      <c r="T596"/>
      <c r="U596"/>
      <c r="V596"/>
      <c r="W596"/>
      <c r="X596"/>
      <c r="Y596"/>
      <c r="Z596"/>
      <c r="AA596"/>
      <c r="AB596"/>
      <c r="AC596"/>
      <c r="AD596"/>
      <c r="AE596"/>
      <c r="AF596"/>
      <c r="AG596"/>
      <c r="AH596"/>
      <c r="AI596"/>
      <c r="AJ596"/>
      <c r="AK596"/>
      <c r="AL596"/>
      <c r="AM596"/>
      <c r="AN596"/>
      <c r="AO596"/>
      <c r="AP596"/>
      <c r="AQ596"/>
      <c r="AR596"/>
      <c r="AS596"/>
      <c r="AT596"/>
      <c r="AU596"/>
      <c r="AV596" s="1" t="s">
        <v>38</v>
      </c>
      <c r="BG596" s="7" t="s">
        <v>1242</v>
      </c>
    </row>
    <row r="597" spans="1:59" s="1" customFormat="1" ht="126" x14ac:dyDescent="0.45">
      <c r="A597" s="5">
        <v>596</v>
      </c>
      <c r="B597" s="1" t="s">
        <v>11211</v>
      </c>
      <c r="C597" s="6"/>
      <c r="J597" s="1" t="s">
        <v>7557</v>
      </c>
      <c r="K597" s="11" t="s">
        <v>11986</v>
      </c>
      <c r="P597" s="7" t="s">
        <v>1241</v>
      </c>
      <c r="Q597"/>
      <c r="R597"/>
      <c r="S597"/>
      <c r="T597"/>
      <c r="U597"/>
      <c r="V597"/>
      <c r="W597"/>
      <c r="X597"/>
      <c r="Y597"/>
      <c r="Z597"/>
      <c r="AA597"/>
      <c r="AB597"/>
      <c r="AC597"/>
      <c r="AD597"/>
      <c r="AE597"/>
      <c r="AF597"/>
      <c r="AG597"/>
      <c r="AH597"/>
      <c r="AI597"/>
      <c r="AJ597"/>
      <c r="AK597"/>
      <c r="AL597"/>
      <c r="AM597"/>
      <c r="AN597"/>
      <c r="AO597"/>
      <c r="AP597"/>
      <c r="AQ597"/>
      <c r="AR597"/>
      <c r="AS597"/>
      <c r="AT597"/>
      <c r="AU597"/>
      <c r="AV597" s="1" t="s">
        <v>38</v>
      </c>
      <c r="BG597" s="7" t="s">
        <v>1242</v>
      </c>
    </row>
    <row r="598" spans="1:59" s="1" customFormat="1" ht="54" x14ac:dyDescent="0.45">
      <c r="A598" s="5">
        <v>597</v>
      </c>
      <c r="B598" s="1" t="s">
        <v>11212</v>
      </c>
      <c r="C598" s="6"/>
      <c r="J598" s="1" t="s">
        <v>7557</v>
      </c>
      <c r="K598" s="2" t="s">
        <v>10449</v>
      </c>
      <c r="P598" s="7" t="s">
        <v>1241</v>
      </c>
      <c r="Q598"/>
      <c r="R598"/>
      <c r="S598"/>
      <c r="T598"/>
      <c r="U598"/>
      <c r="V598"/>
      <c r="W598"/>
      <c r="X598"/>
      <c r="Y598"/>
      <c r="Z598"/>
      <c r="AA598"/>
      <c r="AB598"/>
      <c r="AC598"/>
      <c r="AD598"/>
      <c r="AE598"/>
      <c r="AF598"/>
      <c r="AG598"/>
      <c r="AH598"/>
      <c r="AI598"/>
      <c r="AJ598"/>
      <c r="AK598"/>
      <c r="AL598"/>
      <c r="AM598"/>
      <c r="AN598"/>
      <c r="AO598"/>
      <c r="AP598"/>
      <c r="AQ598"/>
      <c r="AR598"/>
      <c r="AS598"/>
      <c r="AT598"/>
      <c r="AU598"/>
      <c r="AV598" s="1" t="s">
        <v>38</v>
      </c>
      <c r="BG598" s="7" t="s">
        <v>1242</v>
      </c>
    </row>
    <row r="599" spans="1:59" s="1" customFormat="1" ht="234" x14ac:dyDescent="0.45">
      <c r="A599" s="5">
        <v>598</v>
      </c>
      <c r="B599" s="1" t="s">
        <v>11213</v>
      </c>
      <c r="C599" s="6"/>
      <c r="J599" s="1" t="s">
        <v>7557</v>
      </c>
      <c r="K599" s="11" t="s">
        <v>11987</v>
      </c>
      <c r="P599" s="7" t="s">
        <v>1241</v>
      </c>
      <c r="Q599"/>
      <c r="R599"/>
      <c r="S599"/>
      <c r="T599"/>
      <c r="U599"/>
      <c r="V599"/>
      <c r="W599"/>
      <c r="X599"/>
      <c r="Y599"/>
      <c r="Z599"/>
      <c r="AA599"/>
      <c r="AB599"/>
      <c r="AC599"/>
      <c r="AD599"/>
      <c r="AE599"/>
      <c r="AF599"/>
      <c r="AG599"/>
      <c r="AH599"/>
      <c r="AI599"/>
      <c r="AJ599"/>
      <c r="AK599"/>
      <c r="AL599"/>
      <c r="AM599"/>
      <c r="AN599"/>
      <c r="AO599"/>
      <c r="AP599"/>
      <c r="AQ599"/>
      <c r="AR599"/>
      <c r="AS599"/>
      <c r="AT599"/>
      <c r="AU599"/>
      <c r="AV599" s="1" t="s">
        <v>38</v>
      </c>
      <c r="BG599" s="7" t="s">
        <v>1242</v>
      </c>
    </row>
    <row r="600" spans="1:59" s="1" customFormat="1" ht="90" x14ac:dyDescent="0.45">
      <c r="A600" s="5">
        <v>599</v>
      </c>
      <c r="B600" s="1" t="s">
        <v>10448</v>
      </c>
      <c r="C600" s="6"/>
      <c r="J600" s="1" t="s">
        <v>7557</v>
      </c>
      <c r="K600" s="2" t="s">
        <v>10450</v>
      </c>
      <c r="P600" s="7" t="s">
        <v>1241</v>
      </c>
      <c r="Q600"/>
      <c r="R600"/>
      <c r="S600"/>
      <c r="T600"/>
      <c r="U600"/>
      <c r="V600"/>
      <c r="W600"/>
      <c r="X600"/>
      <c r="Y600"/>
      <c r="Z600"/>
      <c r="AA600"/>
      <c r="AB600"/>
      <c r="AC600"/>
      <c r="AD600"/>
      <c r="AE600"/>
      <c r="AF600"/>
      <c r="AG600"/>
      <c r="AH600"/>
      <c r="AI600"/>
      <c r="AJ600"/>
      <c r="AK600"/>
      <c r="AL600"/>
      <c r="AM600"/>
      <c r="AN600"/>
      <c r="AO600"/>
      <c r="AP600"/>
      <c r="AQ600"/>
      <c r="AR600"/>
      <c r="AS600"/>
      <c r="AT600"/>
      <c r="AU600"/>
      <c r="AV600" s="1" t="s">
        <v>38</v>
      </c>
      <c r="BG600" s="7" t="s">
        <v>1242</v>
      </c>
    </row>
    <row r="601" spans="1:59" s="1" customFormat="1" ht="36" x14ac:dyDescent="0.45">
      <c r="A601" s="5">
        <v>600</v>
      </c>
      <c r="B601" s="1" t="s">
        <v>11214</v>
      </c>
      <c r="C601" s="6"/>
      <c r="J601" s="1" t="s">
        <v>7557</v>
      </c>
      <c r="K601" s="2" t="s">
        <v>10451</v>
      </c>
      <c r="P601" s="7" t="s">
        <v>1241</v>
      </c>
      <c r="Q601"/>
      <c r="R601"/>
      <c r="S601"/>
      <c r="T601"/>
      <c r="U601"/>
      <c r="V601"/>
      <c r="W601"/>
      <c r="X601"/>
      <c r="Y601"/>
      <c r="Z601"/>
      <c r="AA601"/>
      <c r="AB601"/>
      <c r="AC601"/>
      <c r="AD601"/>
      <c r="AE601"/>
      <c r="AF601"/>
      <c r="AG601"/>
      <c r="AH601"/>
      <c r="AI601"/>
      <c r="AJ601"/>
      <c r="AK601"/>
      <c r="AL601"/>
      <c r="AM601"/>
      <c r="AN601"/>
      <c r="AO601"/>
      <c r="AP601"/>
      <c r="AQ601"/>
      <c r="AR601"/>
      <c r="AS601"/>
      <c r="AT601"/>
      <c r="AU601"/>
      <c r="AV601" s="1" t="s">
        <v>38</v>
      </c>
      <c r="BG601" s="7" t="s">
        <v>1242</v>
      </c>
    </row>
    <row r="602" spans="1:59" s="1" customFormat="1" ht="36" x14ac:dyDescent="0.45">
      <c r="A602" s="5">
        <v>601</v>
      </c>
      <c r="B602" s="1" t="s">
        <v>11215</v>
      </c>
      <c r="C602" s="6"/>
      <c r="J602" s="1" t="s">
        <v>7557</v>
      </c>
      <c r="K602" s="2" t="s">
        <v>10460</v>
      </c>
      <c r="P602" s="7" t="s">
        <v>1241</v>
      </c>
      <c r="Q602"/>
      <c r="R602"/>
      <c r="S602"/>
      <c r="T602"/>
      <c r="U602"/>
      <c r="V602"/>
      <c r="W602"/>
      <c r="X602"/>
      <c r="Y602"/>
      <c r="Z602"/>
      <c r="AA602"/>
      <c r="AB602"/>
      <c r="AC602"/>
      <c r="AD602"/>
      <c r="AE602"/>
      <c r="AF602"/>
      <c r="AG602"/>
      <c r="AH602"/>
      <c r="AI602"/>
      <c r="AJ602"/>
      <c r="AK602"/>
      <c r="AL602"/>
      <c r="AM602"/>
      <c r="AN602"/>
      <c r="AO602"/>
      <c r="AP602"/>
      <c r="AQ602"/>
      <c r="AR602"/>
      <c r="AS602"/>
      <c r="AT602"/>
      <c r="AU602"/>
      <c r="AV602" s="1" t="s">
        <v>38</v>
      </c>
      <c r="BG602" s="7" t="s">
        <v>1242</v>
      </c>
    </row>
    <row r="603" spans="1:59" s="1" customFormat="1" ht="126" x14ac:dyDescent="0.45">
      <c r="A603" s="5">
        <v>602</v>
      </c>
      <c r="B603" s="1" t="s">
        <v>11216</v>
      </c>
      <c r="C603" s="6"/>
      <c r="J603" s="1" t="s">
        <v>7557</v>
      </c>
      <c r="K603" s="2" t="s">
        <v>10461</v>
      </c>
      <c r="P603" s="7" t="s">
        <v>1241</v>
      </c>
      <c r="Q603"/>
      <c r="R603"/>
      <c r="S603"/>
      <c r="T603"/>
      <c r="U603"/>
      <c r="V603"/>
      <c r="W603"/>
      <c r="X603"/>
      <c r="Y603"/>
      <c r="Z603"/>
      <c r="AA603"/>
      <c r="AB603"/>
      <c r="AC603"/>
      <c r="AD603"/>
      <c r="AE603"/>
      <c r="AF603"/>
      <c r="AG603"/>
      <c r="AH603"/>
      <c r="AI603"/>
      <c r="AJ603"/>
      <c r="AK603"/>
      <c r="AL603"/>
      <c r="AM603"/>
      <c r="AN603"/>
      <c r="AO603"/>
      <c r="AP603"/>
      <c r="AQ603"/>
      <c r="AR603"/>
      <c r="AS603"/>
      <c r="AT603"/>
      <c r="AU603"/>
      <c r="AV603" s="1" t="s">
        <v>38</v>
      </c>
      <c r="BG603" s="7" t="s">
        <v>1242</v>
      </c>
    </row>
    <row r="604" spans="1:59" s="1" customFormat="1" ht="144" x14ac:dyDescent="0.45">
      <c r="A604" s="5">
        <v>603</v>
      </c>
      <c r="B604" s="1" t="s">
        <v>11217</v>
      </c>
      <c r="C604" s="6"/>
      <c r="J604" s="1" t="s">
        <v>7557</v>
      </c>
      <c r="K604" s="2" t="s">
        <v>11712</v>
      </c>
      <c r="P604" s="7" t="s">
        <v>1241</v>
      </c>
      <c r="Q604"/>
      <c r="R604"/>
      <c r="S604"/>
      <c r="T604"/>
      <c r="U604"/>
      <c r="V604"/>
      <c r="W604"/>
      <c r="X604"/>
      <c r="Y604"/>
      <c r="Z604"/>
      <c r="AA604"/>
      <c r="AB604"/>
      <c r="AC604"/>
      <c r="AD604"/>
      <c r="AE604"/>
      <c r="AF604"/>
      <c r="AG604"/>
      <c r="AH604"/>
      <c r="AI604"/>
      <c r="AJ604"/>
      <c r="AK604"/>
      <c r="AL604"/>
      <c r="AM604"/>
      <c r="AN604"/>
      <c r="AO604"/>
      <c r="AP604"/>
      <c r="AQ604"/>
      <c r="AR604"/>
      <c r="AS604"/>
      <c r="AT604"/>
      <c r="AU604"/>
      <c r="AV604" s="1" t="s">
        <v>38</v>
      </c>
      <c r="BG604" s="7" t="s">
        <v>1242</v>
      </c>
    </row>
    <row r="605" spans="1:59" s="1" customFormat="1" ht="90" x14ac:dyDescent="0.45">
      <c r="A605" s="5">
        <v>604</v>
      </c>
      <c r="B605" s="1" t="s">
        <v>11218</v>
      </c>
      <c r="C605" s="6"/>
      <c r="J605" s="1" t="s">
        <v>7557</v>
      </c>
      <c r="K605" s="2" t="s">
        <v>10462</v>
      </c>
      <c r="P605" s="7" t="s">
        <v>1241</v>
      </c>
      <c r="Q605"/>
      <c r="R605"/>
      <c r="S605"/>
      <c r="T605"/>
      <c r="U605"/>
      <c r="V605"/>
      <c r="W605"/>
      <c r="X605"/>
      <c r="Y605"/>
      <c r="Z605"/>
      <c r="AA605"/>
      <c r="AB605"/>
      <c r="AC605"/>
      <c r="AD605"/>
      <c r="AE605"/>
      <c r="AF605"/>
      <c r="AG605"/>
      <c r="AH605"/>
      <c r="AI605"/>
      <c r="AJ605"/>
      <c r="AK605"/>
      <c r="AL605"/>
      <c r="AM605"/>
      <c r="AN605"/>
      <c r="AO605"/>
      <c r="AP605"/>
      <c r="AQ605"/>
      <c r="AR605"/>
      <c r="AS605"/>
      <c r="AT605"/>
      <c r="AU605"/>
      <c r="AV605" s="1" t="s">
        <v>38</v>
      </c>
      <c r="BG605" s="7" t="s">
        <v>1242</v>
      </c>
    </row>
    <row r="606" spans="1:59" s="1" customFormat="1" ht="198" x14ac:dyDescent="0.45">
      <c r="A606" s="5">
        <v>605</v>
      </c>
      <c r="B606" s="1" t="s">
        <v>11219</v>
      </c>
      <c r="C606" s="6"/>
      <c r="J606" s="1" t="s">
        <v>7557</v>
      </c>
      <c r="K606" s="11" t="s">
        <v>11988</v>
      </c>
      <c r="P606" s="7" t="s">
        <v>1241</v>
      </c>
      <c r="Q606"/>
      <c r="R606"/>
      <c r="S606"/>
      <c r="T606"/>
      <c r="U606"/>
      <c r="V606"/>
      <c r="W606"/>
      <c r="X606"/>
      <c r="Y606"/>
      <c r="Z606"/>
      <c r="AA606"/>
      <c r="AB606"/>
      <c r="AC606"/>
      <c r="AD606"/>
      <c r="AE606"/>
      <c r="AF606"/>
      <c r="AG606"/>
      <c r="AH606"/>
      <c r="AI606"/>
      <c r="AJ606"/>
      <c r="AK606"/>
      <c r="AL606"/>
      <c r="AM606"/>
      <c r="AN606"/>
      <c r="AO606"/>
      <c r="AP606"/>
      <c r="AQ606"/>
      <c r="AR606"/>
      <c r="AS606"/>
      <c r="AT606"/>
      <c r="AU606"/>
      <c r="AV606" s="1" t="s">
        <v>38</v>
      </c>
      <c r="BG606" s="7" t="s">
        <v>1242</v>
      </c>
    </row>
    <row r="607" spans="1:59" s="1" customFormat="1" ht="126" x14ac:dyDescent="0.45">
      <c r="A607" s="5">
        <v>606</v>
      </c>
      <c r="B607" s="1" t="s">
        <v>11220</v>
      </c>
      <c r="C607" s="6"/>
      <c r="J607" s="1" t="s">
        <v>7557</v>
      </c>
      <c r="K607" s="2" t="s">
        <v>10463</v>
      </c>
      <c r="P607" s="7" t="s">
        <v>1241</v>
      </c>
      <c r="Q607"/>
      <c r="R607"/>
      <c r="S607"/>
      <c r="T607"/>
      <c r="U607"/>
      <c r="V607"/>
      <c r="W607"/>
      <c r="X607"/>
      <c r="Y607"/>
      <c r="Z607"/>
      <c r="AA607"/>
      <c r="AB607"/>
      <c r="AC607"/>
      <c r="AD607"/>
      <c r="AE607"/>
      <c r="AF607"/>
      <c r="AG607"/>
      <c r="AH607"/>
      <c r="AI607"/>
      <c r="AJ607"/>
      <c r="AK607"/>
      <c r="AL607"/>
      <c r="AM607"/>
      <c r="AN607"/>
      <c r="AO607"/>
      <c r="AP607"/>
      <c r="AQ607"/>
      <c r="AR607"/>
      <c r="AS607"/>
      <c r="AT607"/>
      <c r="AU607"/>
      <c r="AV607" s="1" t="s">
        <v>38</v>
      </c>
      <c r="BG607" s="7" t="s">
        <v>1242</v>
      </c>
    </row>
    <row r="608" spans="1:59" s="1" customFormat="1" ht="54" x14ac:dyDescent="0.45">
      <c r="A608" s="5">
        <v>607</v>
      </c>
      <c r="B608" s="1" t="s">
        <v>11221</v>
      </c>
      <c r="C608" s="6"/>
      <c r="J608" s="1" t="s">
        <v>7557</v>
      </c>
      <c r="K608" s="2" t="s">
        <v>11713</v>
      </c>
      <c r="P608" s="7" t="s">
        <v>1241</v>
      </c>
      <c r="Q608"/>
      <c r="R608"/>
      <c r="S608"/>
      <c r="T608"/>
      <c r="U608"/>
      <c r="V608"/>
      <c r="W608"/>
      <c r="X608"/>
      <c r="Y608"/>
      <c r="Z608"/>
      <c r="AA608"/>
      <c r="AB608"/>
      <c r="AC608"/>
      <c r="AD608"/>
      <c r="AE608"/>
      <c r="AF608"/>
      <c r="AG608"/>
      <c r="AH608"/>
      <c r="AI608"/>
      <c r="AJ608"/>
      <c r="AK608"/>
      <c r="AL608"/>
      <c r="AM608"/>
      <c r="AN608"/>
      <c r="AO608"/>
      <c r="AP608"/>
      <c r="AQ608"/>
      <c r="AR608"/>
      <c r="AS608"/>
      <c r="AT608"/>
      <c r="AU608"/>
      <c r="AV608" s="1" t="s">
        <v>38</v>
      </c>
      <c r="BG608" s="7" t="s">
        <v>1242</v>
      </c>
    </row>
    <row r="609" spans="1:59" s="1" customFormat="1" ht="90" x14ac:dyDescent="0.45">
      <c r="A609" s="5">
        <v>608</v>
      </c>
      <c r="B609" s="1" t="s">
        <v>11222</v>
      </c>
      <c r="C609" s="6"/>
      <c r="J609" s="1" t="s">
        <v>7557</v>
      </c>
      <c r="K609" s="2" t="s">
        <v>10464</v>
      </c>
      <c r="P609" s="7" t="s">
        <v>1241</v>
      </c>
      <c r="Q609"/>
      <c r="R609"/>
      <c r="S609"/>
      <c r="T609"/>
      <c r="U609"/>
      <c r="V609"/>
      <c r="W609"/>
      <c r="X609"/>
      <c r="Y609"/>
      <c r="Z609"/>
      <c r="AA609"/>
      <c r="AB609"/>
      <c r="AC609"/>
      <c r="AD609"/>
      <c r="AE609"/>
      <c r="AF609"/>
      <c r="AG609"/>
      <c r="AH609"/>
      <c r="AI609"/>
      <c r="AJ609"/>
      <c r="AK609"/>
      <c r="AL609"/>
      <c r="AM609"/>
      <c r="AN609"/>
      <c r="AO609"/>
      <c r="AP609"/>
      <c r="AQ609"/>
      <c r="AR609"/>
      <c r="AS609"/>
      <c r="AT609"/>
      <c r="AU609"/>
      <c r="AV609" s="1" t="s">
        <v>38</v>
      </c>
      <c r="BG609" s="7" t="s">
        <v>1242</v>
      </c>
    </row>
    <row r="610" spans="1:59" s="1" customFormat="1" ht="72" x14ac:dyDescent="0.45">
      <c r="A610" s="5">
        <v>609</v>
      </c>
      <c r="B610" s="1" t="s">
        <v>11223</v>
      </c>
      <c r="C610" s="6"/>
      <c r="J610" s="1" t="s">
        <v>7557</v>
      </c>
      <c r="K610" s="2" t="s">
        <v>10465</v>
      </c>
      <c r="P610" s="7" t="s">
        <v>1241</v>
      </c>
      <c r="Q610"/>
      <c r="R610"/>
      <c r="S610"/>
      <c r="T610"/>
      <c r="U610"/>
      <c r="V610"/>
      <c r="W610"/>
      <c r="X610"/>
      <c r="Y610"/>
      <c r="Z610"/>
      <c r="AA610"/>
      <c r="AB610"/>
      <c r="AC610"/>
      <c r="AD610"/>
      <c r="AE610"/>
      <c r="AF610"/>
      <c r="AG610"/>
      <c r="AH610"/>
      <c r="AI610"/>
      <c r="AJ610"/>
      <c r="AK610"/>
      <c r="AL610"/>
      <c r="AM610"/>
      <c r="AN610"/>
      <c r="AO610"/>
      <c r="AP610"/>
      <c r="AQ610"/>
      <c r="AR610"/>
      <c r="AS610"/>
      <c r="AT610"/>
      <c r="AU610"/>
      <c r="AV610" s="1" t="s">
        <v>38</v>
      </c>
      <c r="BG610" s="7" t="s">
        <v>1242</v>
      </c>
    </row>
    <row r="611" spans="1:59" s="1" customFormat="1" ht="54" x14ac:dyDescent="0.45">
      <c r="A611" s="5">
        <v>610</v>
      </c>
      <c r="B611" s="1" t="s">
        <v>11224</v>
      </c>
      <c r="C611" s="6"/>
      <c r="J611" s="1" t="s">
        <v>7557</v>
      </c>
      <c r="K611" s="2" t="s">
        <v>11714</v>
      </c>
      <c r="P611" s="7" t="s">
        <v>1241</v>
      </c>
      <c r="Q611"/>
      <c r="R611"/>
      <c r="S611"/>
      <c r="T611"/>
      <c r="U611"/>
      <c r="V611"/>
      <c r="W611"/>
      <c r="X611"/>
      <c r="Y611"/>
      <c r="Z611"/>
      <c r="AA611"/>
      <c r="AB611"/>
      <c r="AC611"/>
      <c r="AD611"/>
      <c r="AE611"/>
      <c r="AF611"/>
      <c r="AG611"/>
      <c r="AH611"/>
      <c r="AI611"/>
      <c r="AJ611"/>
      <c r="AK611"/>
      <c r="AL611"/>
      <c r="AM611"/>
      <c r="AN611"/>
      <c r="AO611"/>
      <c r="AP611"/>
      <c r="AQ611"/>
      <c r="AR611"/>
      <c r="AS611"/>
      <c r="AT611"/>
      <c r="AU611"/>
      <c r="AV611" s="1" t="s">
        <v>38</v>
      </c>
      <c r="BG611" s="7" t="s">
        <v>1242</v>
      </c>
    </row>
    <row r="612" spans="1:59" s="1" customFormat="1" ht="54" x14ac:dyDescent="0.45">
      <c r="A612" s="5">
        <v>611</v>
      </c>
      <c r="B612" s="1" t="s">
        <v>11225</v>
      </c>
      <c r="C612" s="6"/>
      <c r="J612" s="1" t="s">
        <v>7557</v>
      </c>
      <c r="K612" s="2" t="s">
        <v>10466</v>
      </c>
      <c r="P612" s="7" t="s">
        <v>1241</v>
      </c>
      <c r="Q612"/>
      <c r="R612"/>
      <c r="S612"/>
      <c r="T612"/>
      <c r="U612"/>
      <c r="V612"/>
      <c r="W612"/>
      <c r="X612"/>
      <c r="Y612"/>
      <c r="Z612"/>
      <c r="AA612"/>
      <c r="AB612"/>
      <c r="AC612"/>
      <c r="AD612"/>
      <c r="AE612"/>
      <c r="AF612"/>
      <c r="AG612"/>
      <c r="AH612"/>
      <c r="AI612"/>
      <c r="AJ612"/>
      <c r="AK612"/>
      <c r="AL612"/>
      <c r="AM612"/>
      <c r="AN612"/>
      <c r="AO612"/>
      <c r="AP612"/>
      <c r="AQ612"/>
      <c r="AR612"/>
      <c r="AS612"/>
      <c r="AT612"/>
      <c r="AU612"/>
      <c r="AV612" s="1" t="s">
        <v>38</v>
      </c>
      <c r="BG612" s="7" t="s">
        <v>1242</v>
      </c>
    </row>
    <row r="613" spans="1:59" s="1" customFormat="1" ht="108" x14ac:dyDescent="0.45">
      <c r="A613" s="5">
        <v>612</v>
      </c>
      <c r="B613" s="1" t="s">
        <v>11226</v>
      </c>
      <c r="C613" s="6"/>
      <c r="J613" s="1" t="s">
        <v>7557</v>
      </c>
      <c r="K613" s="2" t="s">
        <v>10467</v>
      </c>
      <c r="P613" s="7" t="s">
        <v>1241</v>
      </c>
      <c r="Q613"/>
      <c r="R613"/>
      <c r="S613"/>
      <c r="T613"/>
      <c r="U613"/>
      <c r="V613"/>
      <c r="W613"/>
      <c r="X613"/>
      <c r="Y613"/>
      <c r="Z613"/>
      <c r="AA613"/>
      <c r="AB613"/>
      <c r="AC613"/>
      <c r="AD613"/>
      <c r="AE613"/>
      <c r="AF613"/>
      <c r="AG613"/>
      <c r="AH613"/>
      <c r="AI613"/>
      <c r="AJ613"/>
      <c r="AK613"/>
      <c r="AL613"/>
      <c r="AM613"/>
      <c r="AN613"/>
      <c r="AO613"/>
      <c r="AP613"/>
      <c r="AQ613"/>
      <c r="AR613"/>
      <c r="AS613"/>
      <c r="AT613"/>
      <c r="AU613"/>
      <c r="AV613" s="1" t="s">
        <v>38</v>
      </c>
      <c r="BG613" s="7" t="s">
        <v>1242</v>
      </c>
    </row>
    <row r="614" spans="1:59" s="1" customFormat="1" ht="126" x14ac:dyDescent="0.45">
      <c r="A614" s="5">
        <v>613</v>
      </c>
      <c r="B614" s="1" t="s">
        <v>11227</v>
      </c>
      <c r="C614" s="6"/>
      <c r="J614" s="1" t="s">
        <v>7557</v>
      </c>
      <c r="K614" s="2" t="s">
        <v>10468</v>
      </c>
      <c r="P614" s="7" t="s">
        <v>1241</v>
      </c>
      <c r="Q614"/>
      <c r="R614"/>
      <c r="S614"/>
      <c r="T614"/>
      <c r="U614"/>
      <c r="V614"/>
      <c r="W614"/>
      <c r="X614"/>
      <c r="Y614"/>
      <c r="Z614"/>
      <c r="AA614"/>
      <c r="AB614"/>
      <c r="AC614"/>
      <c r="AD614"/>
      <c r="AE614"/>
      <c r="AF614"/>
      <c r="AG614"/>
      <c r="AH614"/>
      <c r="AI614"/>
      <c r="AJ614"/>
      <c r="AK614"/>
      <c r="AL614"/>
      <c r="AM614"/>
      <c r="AN614"/>
      <c r="AO614"/>
      <c r="AP614"/>
      <c r="AQ614"/>
      <c r="AR614"/>
      <c r="AS614"/>
      <c r="AT614"/>
      <c r="AU614"/>
      <c r="AV614" s="1" t="s">
        <v>38</v>
      </c>
      <c r="BG614" s="7" t="s">
        <v>1242</v>
      </c>
    </row>
    <row r="615" spans="1:59" s="1" customFormat="1" ht="36" x14ac:dyDescent="0.45">
      <c r="A615" s="5">
        <v>614</v>
      </c>
      <c r="B615" s="1" t="s">
        <v>11228</v>
      </c>
      <c r="C615" s="6"/>
      <c r="J615" s="1" t="s">
        <v>7557</v>
      </c>
      <c r="K615" s="2" t="s">
        <v>10469</v>
      </c>
      <c r="P615" s="7" t="s">
        <v>1241</v>
      </c>
      <c r="Q615"/>
      <c r="R615"/>
      <c r="S615"/>
      <c r="T615"/>
      <c r="U615"/>
      <c r="V615"/>
      <c r="W615"/>
      <c r="X615"/>
      <c r="Y615"/>
      <c r="Z615"/>
      <c r="AA615"/>
      <c r="AB615"/>
      <c r="AC615"/>
      <c r="AD615"/>
      <c r="AE615"/>
      <c r="AF615"/>
      <c r="AG615"/>
      <c r="AH615"/>
      <c r="AI615"/>
      <c r="AJ615"/>
      <c r="AK615"/>
      <c r="AL615"/>
      <c r="AM615"/>
      <c r="AN615"/>
      <c r="AO615"/>
      <c r="AP615"/>
      <c r="AQ615"/>
      <c r="AR615"/>
      <c r="AS615"/>
      <c r="AT615"/>
      <c r="AU615"/>
      <c r="AV615" s="1" t="s">
        <v>38</v>
      </c>
      <c r="BG615" s="7" t="s">
        <v>1242</v>
      </c>
    </row>
    <row r="616" spans="1:59" s="1" customFormat="1" ht="90" x14ac:dyDescent="0.45">
      <c r="A616" s="5">
        <v>615</v>
      </c>
      <c r="B616" s="1" t="s">
        <v>11229</v>
      </c>
      <c r="C616" s="6"/>
      <c r="J616" s="1" t="s">
        <v>7557</v>
      </c>
      <c r="K616" s="2" t="s">
        <v>10470</v>
      </c>
      <c r="P616" s="7" t="s">
        <v>1241</v>
      </c>
      <c r="Q616"/>
      <c r="R616"/>
      <c r="S616"/>
      <c r="T616"/>
      <c r="U616"/>
      <c r="V616"/>
      <c r="W616"/>
      <c r="X616"/>
      <c r="Y616"/>
      <c r="Z616"/>
      <c r="AA616"/>
      <c r="AB616"/>
      <c r="AC616"/>
      <c r="AD616"/>
      <c r="AE616"/>
      <c r="AF616"/>
      <c r="AG616"/>
      <c r="AH616"/>
      <c r="AI616"/>
      <c r="AJ616"/>
      <c r="AK616"/>
      <c r="AL616"/>
      <c r="AM616"/>
      <c r="AN616"/>
      <c r="AO616"/>
      <c r="AP616"/>
      <c r="AQ616"/>
      <c r="AR616"/>
      <c r="AS616"/>
      <c r="AT616"/>
      <c r="AU616"/>
      <c r="AV616" s="1" t="s">
        <v>38</v>
      </c>
      <c r="BG616" s="7" t="s">
        <v>1242</v>
      </c>
    </row>
    <row r="617" spans="1:59" s="1" customFormat="1" ht="144" x14ac:dyDescent="0.45">
      <c r="A617" s="5">
        <v>616</v>
      </c>
      <c r="B617" s="1" t="s">
        <v>11230</v>
      </c>
      <c r="C617" s="6"/>
      <c r="J617" s="1" t="s">
        <v>7557</v>
      </c>
      <c r="K617" s="11" t="s">
        <v>11989</v>
      </c>
      <c r="P617" s="7" t="s">
        <v>1241</v>
      </c>
      <c r="Q617"/>
      <c r="R617"/>
      <c r="S617"/>
      <c r="T617"/>
      <c r="U617"/>
      <c r="V617"/>
      <c r="W617"/>
      <c r="X617"/>
      <c r="Y617"/>
      <c r="Z617"/>
      <c r="AA617"/>
      <c r="AB617"/>
      <c r="AC617"/>
      <c r="AD617"/>
      <c r="AE617"/>
      <c r="AF617"/>
      <c r="AG617"/>
      <c r="AH617"/>
      <c r="AI617"/>
      <c r="AJ617"/>
      <c r="AK617"/>
      <c r="AL617"/>
      <c r="AM617"/>
      <c r="AN617"/>
      <c r="AO617"/>
      <c r="AP617"/>
      <c r="AQ617"/>
      <c r="AR617"/>
      <c r="AS617"/>
      <c r="AT617"/>
      <c r="AU617"/>
      <c r="AV617" s="1" t="s">
        <v>38</v>
      </c>
      <c r="BG617" s="7" t="s">
        <v>1242</v>
      </c>
    </row>
    <row r="618" spans="1:59" s="1" customFormat="1" ht="72" x14ac:dyDescent="0.45">
      <c r="A618" s="5">
        <v>617</v>
      </c>
      <c r="B618" s="1" t="s">
        <v>11231</v>
      </c>
      <c r="C618" s="6"/>
      <c r="J618" s="1" t="s">
        <v>7557</v>
      </c>
      <c r="K618" s="2" t="s">
        <v>10471</v>
      </c>
      <c r="P618" s="7" t="s">
        <v>1241</v>
      </c>
      <c r="Q618"/>
      <c r="R618"/>
      <c r="S618"/>
      <c r="T618"/>
      <c r="U618"/>
      <c r="V618"/>
      <c r="W618"/>
      <c r="X618"/>
      <c r="Y618"/>
      <c r="Z618"/>
      <c r="AA618"/>
      <c r="AB618"/>
      <c r="AC618"/>
      <c r="AD618"/>
      <c r="AE618"/>
      <c r="AF618"/>
      <c r="AG618"/>
      <c r="AH618"/>
      <c r="AI618"/>
      <c r="AJ618"/>
      <c r="AK618"/>
      <c r="AL618"/>
      <c r="AM618"/>
      <c r="AN618"/>
      <c r="AO618"/>
      <c r="AP618"/>
      <c r="AQ618"/>
      <c r="AR618"/>
      <c r="AS618"/>
      <c r="AT618"/>
      <c r="AU618"/>
      <c r="AV618" s="1" t="s">
        <v>38</v>
      </c>
      <c r="BG618" s="7" t="s">
        <v>1242</v>
      </c>
    </row>
    <row r="619" spans="1:59" s="1" customFormat="1" ht="108" x14ac:dyDescent="0.45">
      <c r="A619" s="5">
        <v>618</v>
      </c>
      <c r="B619" s="1" t="s">
        <v>11232</v>
      </c>
      <c r="C619" s="6"/>
      <c r="J619" s="1" t="s">
        <v>7557</v>
      </c>
      <c r="K619" s="11" t="s">
        <v>11990</v>
      </c>
      <c r="P619" s="7" t="s">
        <v>1241</v>
      </c>
      <c r="Q619"/>
      <c r="R619"/>
      <c r="S619"/>
      <c r="T619"/>
      <c r="U619"/>
      <c r="V619"/>
      <c r="W619"/>
      <c r="X619"/>
      <c r="Y619"/>
      <c r="Z619"/>
      <c r="AA619"/>
      <c r="AB619"/>
      <c r="AC619"/>
      <c r="AD619"/>
      <c r="AE619"/>
      <c r="AF619"/>
      <c r="AG619"/>
      <c r="AH619"/>
      <c r="AI619"/>
      <c r="AJ619"/>
      <c r="AK619"/>
      <c r="AL619"/>
      <c r="AM619"/>
      <c r="AN619"/>
      <c r="AO619"/>
      <c r="AP619"/>
      <c r="AQ619"/>
      <c r="AR619"/>
      <c r="AS619"/>
      <c r="AT619"/>
      <c r="AU619"/>
      <c r="AV619" s="1" t="s">
        <v>38</v>
      </c>
      <c r="BG619" s="7" t="s">
        <v>1242</v>
      </c>
    </row>
    <row r="620" spans="1:59" s="1" customFormat="1" ht="90" x14ac:dyDescent="0.45">
      <c r="A620" s="5">
        <v>619</v>
      </c>
      <c r="B620" s="1" t="s">
        <v>11233</v>
      </c>
      <c r="C620" s="6"/>
      <c r="J620" s="1" t="s">
        <v>7557</v>
      </c>
      <c r="K620" s="2" t="s">
        <v>10472</v>
      </c>
      <c r="P620" s="7" t="s">
        <v>1241</v>
      </c>
      <c r="Q620"/>
      <c r="R620"/>
      <c r="S620"/>
      <c r="T620"/>
      <c r="U620"/>
      <c r="V620"/>
      <c r="W620"/>
      <c r="X620"/>
      <c r="Y620"/>
      <c r="Z620"/>
      <c r="AA620"/>
      <c r="AB620"/>
      <c r="AC620"/>
      <c r="AD620"/>
      <c r="AE620"/>
      <c r="AF620"/>
      <c r="AG620"/>
      <c r="AH620"/>
      <c r="AI620"/>
      <c r="AJ620"/>
      <c r="AK620"/>
      <c r="AL620"/>
      <c r="AM620"/>
      <c r="AN620"/>
      <c r="AO620"/>
      <c r="AP620"/>
      <c r="AQ620"/>
      <c r="AR620"/>
      <c r="AS620"/>
      <c r="AT620"/>
      <c r="AU620"/>
      <c r="AV620" s="1" t="s">
        <v>38</v>
      </c>
      <c r="BG620" s="7" t="s">
        <v>1242</v>
      </c>
    </row>
    <row r="621" spans="1:59" s="1" customFormat="1" ht="108" x14ac:dyDescent="0.45">
      <c r="A621" s="5">
        <v>620</v>
      </c>
      <c r="B621" s="1" t="s">
        <v>11234</v>
      </c>
      <c r="C621" s="6"/>
      <c r="J621" s="1" t="s">
        <v>7557</v>
      </c>
      <c r="K621" s="2" t="s">
        <v>10473</v>
      </c>
      <c r="P621" s="7" t="s">
        <v>1241</v>
      </c>
      <c r="Q621"/>
      <c r="R621"/>
      <c r="S621"/>
      <c r="T621"/>
      <c r="U621"/>
      <c r="V621"/>
      <c r="W621"/>
      <c r="X621"/>
      <c r="Y621"/>
      <c r="Z621"/>
      <c r="AA621"/>
      <c r="AB621"/>
      <c r="AC621"/>
      <c r="AD621"/>
      <c r="AE621"/>
      <c r="AF621"/>
      <c r="AG621"/>
      <c r="AH621"/>
      <c r="AI621"/>
      <c r="AJ621"/>
      <c r="AK621"/>
      <c r="AL621"/>
      <c r="AM621"/>
      <c r="AN621"/>
      <c r="AO621"/>
      <c r="AP621"/>
      <c r="AQ621"/>
      <c r="AR621"/>
      <c r="AS621"/>
      <c r="AT621"/>
      <c r="AU621"/>
      <c r="AV621" s="1" t="s">
        <v>38</v>
      </c>
      <c r="BG621" s="7" t="s">
        <v>1242</v>
      </c>
    </row>
    <row r="622" spans="1:59" s="1" customFormat="1" ht="144" x14ac:dyDescent="0.45">
      <c r="A622" s="5">
        <v>621</v>
      </c>
      <c r="B622" s="1" t="s">
        <v>11235</v>
      </c>
      <c r="C622" s="6"/>
      <c r="J622" s="1" t="s">
        <v>7557</v>
      </c>
      <c r="K622" s="2" t="s">
        <v>10474</v>
      </c>
      <c r="P622" s="7" t="s">
        <v>1241</v>
      </c>
      <c r="Q622"/>
      <c r="R622"/>
      <c r="S622"/>
      <c r="T622"/>
      <c r="U622"/>
      <c r="V622"/>
      <c r="W622"/>
      <c r="X622"/>
      <c r="Y622"/>
      <c r="Z622"/>
      <c r="AA622"/>
      <c r="AB622"/>
      <c r="AC622"/>
      <c r="AD622"/>
      <c r="AE622"/>
      <c r="AF622"/>
      <c r="AG622"/>
      <c r="AH622"/>
      <c r="AI622"/>
      <c r="AJ622"/>
      <c r="AK622"/>
      <c r="AL622"/>
      <c r="AM622"/>
      <c r="AN622"/>
      <c r="AO622"/>
      <c r="AP622"/>
      <c r="AQ622"/>
      <c r="AR622"/>
      <c r="AS622"/>
      <c r="AT622"/>
      <c r="AU622"/>
      <c r="AV622" s="1" t="s">
        <v>38</v>
      </c>
      <c r="BG622" s="7" t="s">
        <v>1242</v>
      </c>
    </row>
    <row r="623" spans="1:59" s="1" customFormat="1" ht="180" x14ac:dyDescent="0.45">
      <c r="A623" s="5">
        <v>622</v>
      </c>
      <c r="B623" s="1" t="s">
        <v>11236</v>
      </c>
      <c r="C623" s="6"/>
      <c r="J623" s="1" t="s">
        <v>7557</v>
      </c>
      <c r="K623" s="11" t="s">
        <v>11991</v>
      </c>
      <c r="P623" s="7" t="s">
        <v>1241</v>
      </c>
      <c r="Q623"/>
      <c r="R623"/>
      <c r="S623"/>
      <c r="T623"/>
      <c r="U623"/>
      <c r="V623"/>
      <c r="W623"/>
      <c r="X623"/>
      <c r="Y623"/>
      <c r="Z623"/>
      <c r="AA623"/>
      <c r="AB623"/>
      <c r="AC623"/>
      <c r="AD623"/>
      <c r="AE623"/>
      <c r="AF623"/>
      <c r="AG623"/>
      <c r="AH623"/>
      <c r="AI623"/>
      <c r="AJ623"/>
      <c r="AK623"/>
      <c r="AL623"/>
      <c r="AM623"/>
      <c r="AN623"/>
      <c r="AO623"/>
      <c r="AP623"/>
      <c r="AQ623"/>
      <c r="AR623"/>
      <c r="AS623"/>
      <c r="AT623"/>
      <c r="AU623"/>
      <c r="AV623" s="1" t="s">
        <v>38</v>
      </c>
      <c r="BG623" s="7" t="s">
        <v>1242</v>
      </c>
    </row>
    <row r="624" spans="1:59" s="1" customFormat="1" ht="198" x14ac:dyDescent="0.45">
      <c r="A624" s="5">
        <v>623</v>
      </c>
      <c r="B624" s="1" t="s">
        <v>11237</v>
      </c>
      <c r="C624" s="6"/>
      <c r="J624" s="1" t="s">
        <v>7557</v>
      </c>
      <c r="K624" s="11" t="s">
        <v>11992</v>
      </c>
      <c r="P624" s="7" t="s">
        <v>1241</v>
      </c>
      <c r="Q624"/>
      <c r="R624"/>
      <c r="S624"/>
      <c r="T624"/>
      <c r="U624"/>
      <c r="V624"/>
      <c r="W624"/>
      <c r="X624"/>
      <c r="Y624"/>
      <c r="Z624"/>
      <c r="AA624"/>
      <c r="AB624"/>
      <c r="AC624"/>
      <c r="AD624"/>
      <c r="AE624"/>
      <c r="AF624"/>
      <c r="AG624"/>
      <c r="AH624"/>
      <c r="AI624"/>
      <c r="AJ624"/>
      <c r="AK624"/>
      <c r="AL624"/>
      <c r="AM624"/>
      <c r="AN624"/>
      <c r="AO624"/>
      <c r="AP624"/>
      <c r="AQ624"/>
      <c r="AR624"/>
      <c r="AS624"/>
      <c r="AT624"/>
      <c r="AU624"/>
      <c r="AV624" s="1" t="s">
        <v>38</v>
      </c>
      <c r="BG624" s="7" t="s">
        <v>1242</v>
      </c>
    </row>
    <row r="625" spans="1:59" s="1" customFormat="1" ht="162" x14ac:dyDescent="0.45">
      <c r="A625" s="5">
        <v>624</v>
      </c>
      <c r="B625" s="1" t="s">
        <v>11238</v>
      </c>
      <c r="C625" s="6"/>
      <c r="J625" s="1" t="s">
        <v>7557</v>
      </c>
      <c r="K625" s="2" t="s">
        <v>10475</v>
      </c>
      <c r="P625" s="7" t="s">
        <v>1241</v>
      </c>
      <c r="Q625"/>
      <c r="R625"/>
      <c r="S625"/>
      <c r="T625"/>
      <c r="U625"/>
      <c r="V625"/>
      <c r="W625"/>
      <c r="X625"/>
      <c r="Y625"/>
      <c r="Z625"/>
      <c r="AA625"/>
      <c r="AB625"/>
      <c r="AC625"/>
      <c r="AD625"/>
      <c r="AE625"/>
      <c r="AF625"/>
      <c r="AG625"/>
      <c r="AH625"/>
      <c r="AI625"/>
      <c r="AJ625"/>
      <c r="AK625"/>
      <c r="AL625"/>
      <c r="AM625"/>
      <c r="AN625"/>
      <c r="AO625"/>
      <c r="AP625"/>
      <c r="AQ625"/>
      <c r="AR625"/>
      <c r="AS625"/>
      <c r="AT625"/>
      <c r="AU625"/>
      <c r="AV625" s="1" t="s">
        <v>38</v>
      </c>
      <c r="BG625" s="7" t="s">
        <v>1242</v>
      </c>
    </row>
    <row r="626" spans="1:59" s="1" customFormat="1" ht="54" x14ac:dyDescent="0.45">
      <c r="A626" s="5">
        <v>625</v>
      </c>
      <c r="B626" s="1" t="s">
        <v>11239</v>
      </c>
      <c r="C626" s="6"/>
      <c r="J626" s="1" t="s">
        <v>7557</v>
      </c>
      <c r="K626" s="2" t="s">
        <v>10476</v>
      </c>
      <c r="P626" s="7" t="s">
        <v>1241</v>
      </c>
      <c r="Q626"/>
      <c r="R626"/>
      <c r="S626"/>
      <c r="T626"/>
      <c r="U626"/>
      <c r="V626"/>
      <c r="W626"/>
      <c r="X626"/>
      <c r="Y626"/>
      <c r="Z626"/>
      <c r="AA626"/>
      <c r="AB626"/>
      <c r="AC626"/>
      <c r="AD626"/>
      <c r="AE626"/>
      <c r="AF626"/>
      <c r="AG626"/>
      <c r="AH626"/>
      <c r="AI626"/>
      <c r="AJ626"/>
      <c r="AK626"/>
      <c r="AL626"/>
      <c r="AM626"/>
      <c r="AN626"/>
      <c r="AO626"/>
      <c r="AP626"/>
      <c r="AQ626"/>
      <c r="AR626"/>
      <c r="AS626"/>
      <c r="AT626"/>
      <c r="AU626"/>
      <c r="AV626" s="1" t="s">
        <v>38</v>
      </c>
      <c r="BG626" s="7" t="s">
        <v>1242</v>
      </c>
    </row>
    <row r="627" spans="1:59" s="1" customFormat="1" ht="36" x14ac:dyDescent="0.45">
      <c r="A627" s="5">
        <v>626</v>
      </c>
      <c r="B627" s="1" t="s">
        <v>11240</v>
      </c>
      <c r="C627" s="6"/>
      <c r="J627" s="1" t="s">
        <v>7557</v>
      </c>
      <c r="K627" s="2" t="s">
        <v>10477</v>
      </c>
      <c r="P627" s="7" t="s">
        <v>1241</v>
      </c>
      <c r="Q627"/>
      <c r="R627"/>
      <c r="S627"/>
      <c r="T627"/>
      <c r="U627"/>
      <c r="V627"/>
      <c r="W627"/>
      <c r="X627"/>
      <c r="Y627"/>
      <c r="Z627"/>
      <c r="AA627"/>
      <c r="AB627"/>
      <c r="AC627"/>
      <c r="AD627"/>
      <c r="AE627"/>
      <c r="AF627"/>
      <c r="AG627"/>
      <c r="AH627"/>
      <c r="AI627"/>
      <c r="AJ627"/>
      <c r="AK627"/>
      <c r="AL627"/>
      <c r="AM627"/>
      <c r="AN627"/>
      <c r="AO627"/>
      <c r="AP627"/>
      <c r="AQ627"/>
      <c r="AR627"/>
      <c r="AS627"/>
      <c r="AT627"/>
      <c r="AU627"/>
      <c r="AV627" s="1" t="s">
        <v>38</v>
      </c>
      <c r="BG627" s="7" t="s">
        <v>1242</v>
      </c>
    </row>
    <row r="628" spans="1:59" s="1" customFormat="1" ht="90" x14ac:dyDescent="0.45">
      <c r="A628" s="5">
        <v>627</v>
      </c>
      <c r="B628" s="1" t="s">
        <v>11241</v>
      </c>
      <c r="C628" s="6"/>
      <c r="J628" s="1" t="s">
        <v>7557</v>
      </c>
      <c r="K628" s="11" t="s">
        <v>11993</v>
      </c>
      <c r="P628" s="7" t="s">
        <v>1241</v>
      </c>
      <c r="Q628"/>
      <c r="R628"/>
      <c r="S628"/>
      <c r="T628"/>
      <c r="U628"/>
      <c r="V628"/>
      <c r="W628"/>
      <c r="X628"/>
      <c r="Y628"/>
      <c r="Z628"/>
      <c r="AA628"/>
      <c r="AB628"/>
      <c r="AC628"/>
      <c r="AD628"/>
      <c r="AE628"/>
      <c r="AF628"/>
      <c r="AG628"/>
      <c r="AH628"/>
      <c r="AI628"/>
      <c r="AJ628"/>
      <c r="AK628"/>
      <c r="AL628"/>
      <c r="AM628"/>
      <c r="AN628"/>
      <c r="AO628"/>
      <c r="AP628"/>
      <c r="AQ628"/>
      <c r="AR628"/>
      <c r="AS628"/>
      <c r="AT628"/>
      <c r="AU628"/>
      <c r="AV628" s="1" t="s">
        <v>38</v>
      </c>
      <c r="BG628" s="7" t="s">
        <v>1242</v>
      </c>
    </row>
    <row r="629" spans="1:59" s="1" customFormat="1" ht="126" x14ac:dyDescent="0.45">
      <c r="A629" s="5">
        <v>628</v>
      </c>
      <c r="B629" s="1" t="s">
        <v>11242</v>
      </c>
      <c r="C629" s="6"/>
      <c r="J629" s="1" t="s">
        <v>7557</v>
      </c>
      <c r="K629" s="2" t="s">
        <v>10478</v>
      </c>
      <c r="P629" s="7" t="s">
        <v>1241</v>
      </c>
      <c r="Q629"/>
      <c r="R629"/>
      <c r="S629"/>
      <c r="T629"/>
      <c r="U629"/>
      <c r="V629"/>
      <c r="W629"/>
      <c r="X629"/>
      <c r="Y629"/>
      <c r="Z629"/>
      <c r="AA629"/>
      <c r="AB629"/>
      <c r="AC629"/>
      <c r="AD629"/>
      <c r="AE629"/>
      <c r="AF629"/>
      <c r="AG629"/>
      <c r="AH629"/>
      <c r="AI629"/>
      <c r="AJ629"/>
      <c r="AK629"/>
      <c r="AL629"/>
      <c r="AM629"/>
      <c r="AN629"/>
      <c r="AO629"/>
      <c r="AP629"/>
      <c r="AQ629"/>
      <c r="AR629"/>
      <c r="AS629"/>
      <c r="AT629"/>
      <c r="AU629"/>
      <c r="AV629" s="1" t="s">
        <v>38</v>
      </c>
      <c r="BG629" s="7" t="s">
        <v>1242</v>
      </c>
    </row>
    <row r="630" spans="1:59" s="1" customFormat="1" ht="90" x14ac:dyDescent="0.45">
      <c r="A630" s="5">
        <v>629</v>
      </c>
      <c r="B630" s="1" t="s">
        <v>11243</v>
      </c>
      <c r="C630" s="6"/>
      <c r="J630" s="1" t="s">
        <v>7557</v>
      </c>
      <c r="K630" s="2" t="s">
        <v>10479</v>
      </c>
      <c r="P630" s="7" t="s">
        <v>1241</v>
      </c>
      <c r="Q630"/>
      <c r="R630"/>
      <c r="S630"/>
      <c r="T630"/>
      <c r="U630"/>
      <c r="V630"/>
      <c r="W630"/>
      <c r="X630"/>
      <c r="Y630"/>
      <c r="Z630"/>
      <c r="AA630"/>
      <c r="AB630"/>
      <c r="AC630"/>
      <c r="AD630"/>
      <c r="AE630"/>
      <c r="AF630"/>
      <c r="AG630"/>
      <c r="AH630"/>
      <c r="AI630"/>
      <c r="AJ630"/>
      <c r="AK630"/>
      <c r="AL630"/>
      <c r="AM630"/>
      <c r="AN630"/>
      <c r="AO630"/>
      <c r="AP630"/>
      <c r="AQ630"/>
      <c r="AR630"/>
      <c r="AS630"/>
      <c r="AT630"/>
      <c r="AU630"/>
      <c r="AV630" s="1" t="s">
        <v>38</v>
      </c>
      <c r="BG630" s="7" t="s">
        <v>1242</v>
      </c>
    </row>
    <row r="631" spans="1:59" s="1" customFormat="1" ht="162" x14ac:dyDescent="0.45">
      <c r="A631" s="5">
        <v>630</v>
      </c>
      <c r="B631" s="1" t="s">
        <v>11244</v>
      </c>
      <c r="C631" s="6"/>
      <c r="J631" s="1" t="s">
        <v>7557</v>
      </c>
      <c r="K631" s="2" t="s">
        <v>10480</v>
      </c>
      <c r="P631" s="7" t="s">
        <v>1241</v>
      </c>
      <c r="Q631"/>
      <c r="R631"/>
      <c r="S631"/>
      <c r="T631"/>
      <c r="U631"/>
      <c r="V631"/>
      <c r="W631"/>
      <c r="X631"/>
      <c r="Y631"/>
      <c r="Z631"/>
      <c r="AA631"/>
      <c r="AB631"/>
      <c r="AC631"/>
      <c r="AD631"/>
      <c r="AE631"/>
      <c r="AF631"/>
      <c r="AG631"/>
      <c r="AH631"/>
      <c r="AI631"/>
      <c r="AJ631"/>
      <c r="AK631"/>
      <c r="AL631"/>
      <c r="AM631"/>
      <c r="AN631"/>
      <c r="AO631"/>
      <c r="AP631"/>
      <c r="AQ631"/>
      <c r="AR631"/>
      <c r="AS631"/>
      <c r="AT631"/>
      <c r="AU631"/>
      <c r="AV631" s="1" t="s">
        <v>38</v>
      </c>
      <c r="BG631" s="7" t="s">
        <v>1242</v>
      </c>
    </row>
    <row r="632" spans="1:59" s="1" customFormat="1" ht="72" x14ac:dyDescent="0.45">
      <c r="A632" s="5">
        <v>631</v>
      </c>
      <c r="B632" s="1" t="s">
        <v>11245</v>
      </c>
      <c r="C632" s="6"/>
      <c r="J632" s="1" t="s">
        <v>7557</v>
      </c>
      <c r="K632" s="2" t="s">
        <v>10481</v>
      </c>
      <c r="P632" s="7" t="s">
        <v>1241</v>
      </c>
      <c r="Q632"/>
      <c r="R632"/>
      <c r="S632"/>
      <c r="T632"/>
      <c r="U632"/>
      <c r="V632"/>
      <c r="W632"/>
      <c r="X632"/>
      <c r="Y632"/>
      <c r="Z632"/>
      <c r="AA632"/>
      <c r="AB632"/>
      <c r="AC632"/>
      <c r="AD632"/>
      <c r="AE632"/>
      <c r="AF632"/>
      <c r="AG632"/>
      <c r="AH632"/>
      <c r="AI632"/>
      <c r="AJ632"/>
      <c r="AK632"/>
      <c r="AL632"/>
      <c r="AM632"/>
      <c r="AN632"/>
      <c r="AO632"/>
      <c r="AP632"/>
      <c r="AQ632"/>
      <c r="AR632"/>
      <c r="AS632"/>
      <c r="AT632"/>
      <c r="AU632"/>
      <c r="AV632" s="1" t="s">
        <v>38</v>
      </c>
      <c r="BG632" s="7" t="s">
        <v>1242</v>
      </c>
    </row>
    <row r="633" spans="1:59" s="1" customFormat="1" ht="54" x14ac:dyDescent="0.45">
      <c r="A633" s="5">
        <v>632</v>
      </c>
      <c r="B633" s="1" t="s">
        <v>11246</v>
      </c>
      <c r="C633" s="6"/>
      <c r="J633" s="1" t="s">
        <v>7557</v>
      </c>
      <c r="K633" s="2" t="s">
        <v>10482</v>
      </c>
      <c r="P633" s="7" t="s">
        <v>1241</v>
      </c>
      <c r="Q633"/>
      <c r="R633"/>
      <c r="S633"/>
      <c r="T633"/>
      <c r="U633"/>
      <c r="V633"/>
      <c r="W633"/>
      <c r="X633"/>
      <c r="Y633"/>
      <c r="Z633"/>
      <c r="AA633"/>
      <c r="AB633"/>
      <c r="AC633"/>
      <c r="AD633"/>
      <c r="AE633"/>
      <c r="AF633"/>
      <c r="AG633"/>
      <c r="AH633"/>
      <c r="AI633"/>
      <c r="AJ633"/>
      <c r="AK633"/>
      <c r="AL633"/>
      <c r="AM633"/>
      <c r="AN633"/>
      <c r="AO633"/>
      <c r="AP633"/>
      <c r="AQ633"/>
      <c r="AR633"/>
      <c r="AS633"/>
      <c r="AT633"/>
      <c r="AU633"/>
      <c r="AV633" s="1" t="s">
        <v>38</v>
      </c>
      <c r="BG633" s="7" t="s">
        <v>1242</v>
      </c>
    </row>
    <row r="634" spans="1:59" s="1" customFormat="1" ht="36" x14ac:dyDescent="0.45">
      <c r="A634" s="5">
        <v>633</v>
      </c>
      <c r="B634" s="1" t="s">
        <v>11247</v>
      </c>
      <c r="C634" s="6"/>
      <c r="J634" s="1" t="s">
        <v>7557</v>
      </c>
      <c r="K634" s="2" t="s">
        <v>10483</v>
      </c>
      <c r="P634" s="7" t="s">
        <v>1241</v>
      </c>
      <c r="Q634"/>
      <c r="R634"/>
      <c r="S634"/>
      <c r="T634"/>
      <c r="U634"/>
      <c r="V634"/>
      <c r="W634"/>
      <c r="X634"/>
      <c r="Y634"/>
      <c r="Z634"/>
      <c r="AA634"/>
      <c r="AB634"/>
      <c r="AC634"/>
      <c r="AD634"/>
      <c r="AE634"/>
      <c r="AF634"/>
      <c r="AG634"/>
      <c r="AH634"/>
      <c r="AI634"/>
      <c r="AJ634"/>
      <c r="AK634"/>
      <c r="AL634"/>
      <c r="AM634"/>
      <c r="AN634"/>
      <c r="AO634"/>
      <c r="AP634"/>
      <c r="AQ634"/>
      <c r="AR634"/>
      <c r="AS634"/>
      <c r="AT634"/>
      <c r="AU634"/>
      <c r="AV634" s="1" t="s">
        <v>38</v>
      </c>
      <c r="BG634" s="7" t="s">
        <v>1242</v>
      </c>
    </row>
    <row r="635" spans="1:59" s="1" customFormat="1" ht="90" x14ac:dyDescent="0.45">
      <c r="A635" s="5">
        <v>634</v>
      </c>
      <c r="B635" s="1" t="s">
        <v>11248</v>
      </c>
      <c r="C635" s="6"/>
      <c r="J635" s="1" t="s">
        <v>7557</v>
      </c>
      <c r="K635" s="2" t="s">
        <v>10484</v>
      </c>
      <c r="P635" s="7" t="s">
        <v>1241</v>
      </c>
      <c r="Q635"/>
      <c r="R635"/>
      <c r="S635"/>
      <c r="T635"/>
      <c r="U635"/>
      <c r="V635"/>
      <c r="W635"/>
      <c r="X635"/>
      <c r="Y635"/>
      <c r="Z635"/>
      <c r="AA635"/>
      <c r="AB635"/>
      <c r="AC635"/>
      <c r="AD635"/>
      <c r="AE635"/>
      <c r="AF635"/>
      <c r="AG635"/>
      <c r="AH635"/>
      <c r="AI635"/>
      <c r="AJ635"/>
      <c r="AK635"/>
      <c r="AL635"/>
      <c r="AM635"/>
      <c r="AN635"/>
      <c r="AO635"/>
      <c r="AP635"/>
      <c r="AQ635"/>
      <c r="AR635"/>
      <c r="AS635"/>
      <c r="AT635"/>
      <c r="AU635"/>
      <c r="AV635" s="1" t="s">
        <v>38</v>
      </c>
      <c r="BG635" s="7" t="s">
        <v>1242</v>
      </c>
    </row>
    <row r="636" spans="1:59" s="1" customFormat="1" ht="36" x14ac:dyDescent="0.45">
      <c r="A636" s="5">
        <v>635</v>
      </c>
      <c r="B636" s="1" t="s">
        <v>11249</v>
      </c>
      <c r="C636" s="6"/>
      <c r="J636" s="1" t="s">
        <v>7557</v>
      </c>
      <c r="K636" s="2" t="s">
        <v>10485</v>
      </c>
      <c r="P636" s="7" t="s">
        <v>1241</v>
      </c>
      <c r="Q636"/>
      <c r="R636"/>
      <c r="S636"/>
      <c r="T636"/>
      <c r="U636"/>
      <c r="V636"/>
      <c r="W636"/>
      <c r="X636"/>
      <c r="Y636"/>
      <c r="Z636"/>
      <c r="AA636"/>
      <c r="AB636"/>
      <c r="AC636"/>
      <c r="AD636"/>
      <c r="AE636"/>
      <c r="AF636"/>
      <c r="AG636"/>
      <c r="AH636"/>
      <c r="AI636"/>
      <c r="AJ636"/>
      <c r="AK636"/>
      <c r="AL636"/>
      <c r="AM636"/>
      <c r="AN636"/>
      <c r="AO636"/>
      <c r="AP636"/>
      <c r="AQ636"/>
      <c r="AR636"/>
      <c r="AS636"/>
      <c r="AT636"/>
      <c r="AU636"/>
      <c r="AV636" s="1" t="s">
        <v>38</v>
      </c>
      <c r="BG636" s="7" t="s">
        <v>1242</v>
      </c>
    </row>
    <row r="637" spans="1:59" s="1" customFormat="1" ht="36" x14ac:dyDescent="0.45">
      <c r="A637" s="5">
        <v>636</v>
      </c>
      <c r="B637" s="1" t="s">
        <v>11250</v>
      </c>
      <c r="C637" s="6"/>
      <c r="J637" s="1" t="s">
        <v>7557</v>
      </c>
      <c r="K637" s="2" t="s">
        <v>10486</v>
      </c>
      <c r="P637" s="7" t="s">
        <v>1241</v>
      </c>
      <c r="Q637"/>
      <c r="R637"/>
      <c r="S637"/>
      <c r="T637"/>
      <c r="U637"/>
      <c r="V637"/>
      <c r="W637"/>
      <c r="X637"/>
      <c r="Y637"/>
      <c r="Z637"/>
      <c r="AA637"/>
      <c r="AB637"/>
      <c r="AC637"/>
      <c r="AD637"/>
      <c r="AE637"/>
      <c r="AF637"/>
      <c r="AG637"/>
      <c r="AH637"/>
      <c r="AI637"/>
      <c r="AJ637"/>
      <c r="AK637"/>
      <c r="AL637"/>
      <c r="AM637"/>
      <c r="AN637"/>
      <c r="AO637"/>
      <c r="AP637"/>
      <c r="AQ637"/>
      <c r="AR637"/>
      <c r="AS637"/>
      <c r="AT637"/>
      <c r="AU637"/>
      <c r="AV637" s="1" t="s">
        <v>38</v>
      </c>
      <c r="BG637" s="7" t="s">
        <v>1242</v>
      </c>
    </row>
    <row r="638" spans="1:59" s="1" customFormat="1" ht="162" x14ac:dyDescent="0.45">
      <c r="A638" s="5">
        <v>637</v>
      </c>
      <c r="B638" s="1" t="s">
        <v>11251</v>
      </c>
      <c r="C638" s="6"/>
      <c r="J638" s="1" t="s">
        <v>7557</v>
      </c>
      <c r="K638" s="2" t="s">
        <v>10487</v>
      </c>
      <c r="P638" s="7" t="s">
        <v>1241</v>
      </c>
      <c r="Q638"/>
      <c r="R638"/>
      <c r="S638"/>
      <c r="T638"/>
      <c r="U638"/>
      <c r="V638"/>
      <c r="W638"/>
      <c r="X638"/>
      <c r="Y638"/>
      <c r="Z638"/>
      <c r="AA638"/>
      <c r="AB638"/>
      <c r="AC638"/>
      <c r="AD638"/>
      <c r="AE638"/>
      <c r="AF638"/>
      <c r="AG638"/>
      <c r="AH638"/>
      <c r="AI638"/>
      <c r="AJ638"/>
      <c r="AK638"/>
      <c r="AL638"/>
      <c r="AM638"/>
      <c r="AN638"/>
      <c r="AO638"/>
      <c r="AP638"/>
      <c r="AQ638"/>
      <c r="AR638"/>
      <c r="AS638"/>
      <c r="AT638"/>
      <c r="AU638"/>
      <c r="AV638" s="1" t="s">
        <v>38</v>
      </c>
      <c r="BG638" s="7" t="s">
        <v>1242</v>
      </c>
    </row>
    <row r="639" spans="1:59" s="1" customFormat="1" ht="126" x14ac:dyDescent="0.45">
      <c r="A639" s="5">
        <v>638</v>
      </c>
      <c r="B639" s="1" t="s">
        <v>11252</v>
      </c>
      <c r="C639" s="6"/>
      <c r="J639" s="1" t="s">
        <v>7557</v>
      </c>
      <c r="K639" s="2" t="s">
        <v>10488</v>
      </c>
      <c r="P639" s="7" t="s">
        <v>1241</v>
      </c>
      <c r="Q639"/>
      <c r="R639"/>
      <c r="S639"/>
      <c r="T639"/>
      <c r="U639"/>
      <c r="V639"/>
      <c r="W639"/>
      <c r="X639"/>
      <c r="Y639"/>
      <c r="Z639"/>
      <c r="AA639"/>
      <c r="AB639"/>
      <c r="AC639"/>
      <c r="AD639"/>
      <c r="AE639"/>
      <c r="AF639"/>
      <c r="AG639"/>
      <c r="AH639"/>
      <c r="AI639"/>
      <c r="AJ639"/>
      <c r="AK639"/>
      <c r="AL639"/>
      <c r="AM639"/>
      <c r="AN639"/>
      <c r="AO639"/>
      <c r="AP639"/>
      <c r="AQ639"/>
      <c r="AR639"/>
      <c r="AS639"/>
      <c r="AT639"/>
      <c r="AU639"/>
      <c r="AV639" s="1" t="s">
        <v>38</v>
      </c>
      <c r="BG639" s="7" t="s">
        <v>1242</v>
      </c>
    </row>
    <row r="640" spans="1:59" s="1" customFormat="1" ht="216" x14ac:dyDescent="0.45">
      <c r="A640" s="5">
        <v>639</v>
      </c>
      <c r="B640" s="1" t="s">
        <v>11253</v>
      </c>
      <c r="C640" s="6"/>
      <c r="J640" s="1" t="s">
        <v>7557</v>
      </c>
      <c r="K640" s="2" t="s">
        <v>10489</v>
      </c>
      <c r="P640" s="7" t="s">
        <v>1241</v>
      </c>
      <c r="Q640"/>
      <c r="R640"/>
      <c r="S640"/>
      <c r="T640"/>
      <c r="U640"/>
      <c r="V640"/>
      <c r="W640"/>
      <c r="X640"/>
      <c r="Y640"/>
      <c r="Z640"/>
      <c r="AA640"/>
      <c r="AB640"/>
      <c r="AC640"/>
      <c r="AD640"/>
      <c r="AE640"/>
      <c r="AF640"/>
      <c r="AG640"/>
      <c r="AH640"/>
      <c r="AI640"/>
      <c r="AJ640"/>
      <c r="AK640"/>
      <c r="AL640"/>
      <c r="AM640"/>
      <c r="AN640"/>
      <c r="AO640"/>
      <c r="AP640"/>
      <c r="AQ640"/>
      <c r="AR640"/>
      <c r="AS640"/>
      <c r="AT640"/>
      <c r="AU640"/>
      <c r="AV640" s="1" t="s">
        <v>38</v>
      </c>
      <c r="BG640" s="7" t="s">
        <v>1242</v>
      </c>
    </row>
    <row r="641" spans="1:59" s="1" customFormat="1" ht="216" x14ac:dyDescent="0.45">
      <c r="A641" s="5">
        <v>640</v>
      </c>
      <c r="B641" s="1" t="s">
        <v>11254</v>
      </c>
      <c r="C641" s="6"/>
      <c r="J641" s="1" t="s">
        <v>7557</v>
      </c>
      <c r="K641" s="2" t="s">
        <v>10490</v>
      </c>
      <c r="P641" s="7" t="s">
        <v>1241</v>
      </c>
      <c r="Q641"/>
      <c r="R641"/>
      <c r="S641"/>
      <c r="T641"/>
      <c r="U641"/>
      <c r="V641"/>
      <c r="W641"/>
      <c r="X641"/>
      <c r="Y641"/>
      <c r="Z641"/>
      <c r="AA641"/>
      <c r="AB641"/>
      <c r="AC641"/>
      <c r="AD641"/>
      <c r="AE641"/>
      <c r="AF641"/>
      <c r="AG641"/>
      <c r="AH641"/>
      <c r="AI641"/>
      <c r="AJ641"/>
      <c r="AK641"/>
      <c r="AL641"/>
      <c r="AM641"/>
      <c r="AN641"/>
      <c r="AO641"/>
      <c r="AP641"/>
      <c r="AQ641"/>
      <c r="AR641"/>
      <c r="AS641"/>
      <c r="AT641"/>
      <c r="AU641"/>
      <c r="AV641" s="1" t="s">
        <v>38</v>
      </c>
      <c r="BG641" s="7" t="s">
        <v>1242</v>
      </c>
    </row>
    <row r="642" spans="1:59" s="1" customFormat="1" ht="72" x14ac:dyDescent="0.45">
      <c r="A642" s="5">
        <v>641</v>
      </c>
      <c r="B642" s="1" t="s">
        <v>11255</v>
      </c>
      <c r="C642" s="6"/>
      <c r="J642" s="1" t="s">
        <v>7557</v>
      </c>
      <c r="K642" s="2" t="s">
        <v>10491</v>
      </c>
      <c r="P642" s="7" t="s">
        <v>1241</v>
      </c>
      <c r="Q642"/>
      <c r="R642"/>
      <c r="S642"/>
      <c r="T642"/>
      <c r="U642"/>
      <c r="V642"/>
      <c r="W642"/>
      <c r="X642"/>
      <c r="Y642"/>
      <c r="Z642"/>
      <c r="AA642"/>
      <c r="AB642"/>
      <c r="AC642"/>
      <c r="AD642"/>
      <c r="AE642"/>
      <c r="AF642"/>
      <c r="AG642"/>
      <c r="AH642"/>
      <c r="AI642"/>
      <c r="AJ642"/>
      <c r="AK642"/>
      <c r="AL642"/>
      <c r="AM642"/>
      <c r="AN642"/>
      <c r="AO642"/>
      <c r="AP642"/>
      <c r="AQ642"/>
      <c r="AR642"/>
      <c r="AS642"/>
      <c r="AT642"/>
      <c r="AU642"/>
      <c r="AV642" s="1" t="s">
        <v>38</v>
      </c>
      <c r="BG642" s="7" t="s">
        <v>1242</v>
      </c>
    </row>
    <row r="643" spans="1:59" s="1" customFormat="1" ht="36" x14ac:dyDescent="0.45">
      <c r="A643" s="5">
        <v>642</v>
      </c>
      <c r="B643" s="1" t="s">
        <v>11256</v>
      </c>
      <c r="C643" s="6"/>
      <c r="J643" s="1" t="s">
        <v>7557</v>
      </c>
      <c r="K643" s="2" t="s">
        <v>10492</v>
      </c>
      <c r="P643" s="7" t="s">
        <v>1241</v>
      </c>
      <c r="Q643"/>
      <c r="R643"/>
      <c r="S643"/>
      <c r="T643"/>
      <c r="U643"/>
      <c r="V643"/>
      <c r="W643"/>
      <c r="X643"/>
      <c r="Y643"/>
      <c r="Z643"/>
      <c r="AA643"/>
      <c r="AB643"/>
      <c r="AC643"/>
      <c r="AD643"/>
      <c r="AE643"/>
      <c r="AF643"/>
      <c r="AG643"/>
      <c r="AH643"/>
      <c r="AI643"/>
      <c r="AJ643"/>
      <c r="AK643"/>
      <c r="AL643"/>
      <c r="AM643"/>
      <c r="AN643"/>
      <c r="AO643"/>
      <c r="AP643"/>
      <c r="AQ643"/>
      <c r="AR643"/>
      <c r="AS643"/>
      <c r="AT643"/>
      <c r="AU643"/>
      <c r="AV643" s="1" t="s">
        <v>38</v>
      </c>
      <c r="BG643" s="7" t="s">
        <v>1242</v>
      </c>
    </row>
    <row r="644" spans="1:59" s="1" customFormat="1" ht="36" x14ac:dyDescent="0.45">
      <c r="A644" s="5">
        <v>643</v>
      </c>
      <c r="B644" s="1" t="s">
        <v>11257</v>
      </c>
      <c r="C644" s="6"/>
      <c r="J644" s="1" t="s">
        <v>7557</v>
      </c>
      <c r="K644" s="2" t="s">
        <v>10493</v>
      </c>
      <c r="P644" s="7" t="s">
        <v>1241</v>
      </c>
      <c r="Q644"/>
      <c r="R644"/>
      <c r="S644"/>
      <c r="T644"/>
      <c r="U644"/>
      <c r="V644"/>
      <c r="W644"/>
      <c r="X644"/>
      <c r="Y644"/>
      <c r="Z644"/>
      <c r="AA644"/>
      <c r="AB644"/>
      <c r="AC644"/>
      <c r="AD644"/>
      <c r="AE644"/>
      <c r="AF644"/>
      <c r="AG644"/>
      <c r="AH644"/>
      <c r="AI644"/>
      <c r="AJ644"/>
      <c r="AK644"/>
      <c r="AL644"/>
      <c r="AM644"/>
      <c r="AN644"/>
      <c r="AO644"/>
      <c r="AP644"/>
      <c r="AQ644"/>
      <c r="AR644"/>
      <c r="AS644"/>
      <c r="AT644"/>
      <c r="AU644"/>
      <c r="AV644" s="1" t="s">
        <v>38</v>
      </c>
      <c r="BG644" s="7" t="s">
        <v>1242</v>
      </c>
    </row>
    <row r="645" spans="1:59" s="1" customFormat="1" ht="306" x14ac:dyDescent="0.45">
      <c r="A645" s="5">
        <v>644</v>
      </c>
      <c r="B645" s="1" t="s">
        <v>11258</v>
      </c>
      <c r="C645" s="6"/>
      <c r="J645" s="1" t="s">
        <v>7557</v>
      </c>
      <c r="K645" s="2" t="s">
        <v>10494</v>
      </c>
      <c r="P645" s="7" t="s">
        <v>1241</v>
      </c>
      <c r="Q645"/>
      <c r="R645"/>
      <c r="S645"/>
      <c r="T645"/>
      <c r="U645"/>
      <c r="V645"/>
      <c r="W645"/>
      <c r="X645"/>
      <c r="Y645"/>
      <c r="Z645"/>
      <c r="AA645"/>
      <c r="AB645"/>
      <c r="AC645"/>
      <c r="AD645"/>
      <c r="AE645"/>
      <c r="AF645"/>
      <c r="AG645"/>
      <c r="AH645"/>
      <c r="AI645"/>
      <c r="AJ645"/>
      <c r="AK645"/>
      <c r="AL645"/>
      <c r="AM645"/>
      <c r="AN645"/>
      <c r="AO645"/>
      <c r="AP645"/>
      <c r="AQ645"/>
      <c r="AR645"/>
      <c r="AS645"/>
      <c r="AT645"/>
      <c r="AU645"/>
      <c r="AV645" s="1" t="s">
        <v>38</v>
      </c>
      <c r="BG645" s="7" t="s">
        <v>1242</v>
      </c>
    </row>
    <row r="646" spans="1:59" s="1" customFormat="1" ht="72" x14ac:dyDescent="0.45">
      <c r="A646" s="5">
        <v>645</v>
      </c>
      <c r="B646" s="1" t="s">
        <v>11259</v>
      </c>
      <c r="C646" s="6"/>
      <c r="J646" s="1" t="s">
        <v>7557</v>
      </c>
      <c r="K646" s="2" t="s">
        <v>10495</v>
      </c>
      <c r="P646" s="7" t="s">
        <v>1241</v>
      </c>
      <c r="Q646"/>
      <c r="R646"/>
      <c r="S646"/>
      <c r="T646"/>
      <c r="U646"/>
      <c r="V646"/>
      <c r="W646"/>
      <c r="X646"/>
      <c r="Y646"/>
      <c r="Z646"/>
      <c r="AA646"/>
      <c r="AB646"/>
      <c r="AC646"/>
      <c r="AD646"/>
      <c r="AE646"/>
      <c r="AF646"/>
      <c r="AG646"/>
      <c r="AH646"/>
      <c r="AI646"/>
      <c r="AJ646"/>
      <c r="AK646"/>
      <c r="AL646"/>
      <c r="AM646"/>
      <c r="AN646"/>
      <c r="AO646"/>
      <c r="AP646"/>
      <c r="AQ646"/>
      <c r="AR646"/>
      <c r="AS646"/>
      <c r="AT646"/>
      <c r="AU646"/>
      <c r="AV646" s="1" t="s">
        <v>38</v>
      </c>
      <c r="BG646" s="7" t="s">
        <v>1242</v>
      </c>
    </row>
    <row r="647" spans="1:59" s="1" customFormat="1" ht="54" x14ac:dyDescent="0.45">
      <c r="A647" s="5">
        <v>646</v>
      </c>
      <c r="B647" s="1" t="s">
        <v>11260</v>
      </c>
      <c r="C647" s="6"/>
      <c r="J647" s="1" t="s">
        <v>7557</v>
      </c>
      <c r="K647" s="2" t="s">
        <v>10496</v>
      </c>
      <c r="P647" s="7" t="s">
        <v>1241</v>
      </c>
      <c r="Q647"/>
      <c r="R647"/>
      <c r="S647"/>
      <c r="T647"/>
      <c r="U647"/>
      <c r="V647"/>
      <c r="W647"/>
      <c r="X647"/>
      <c r="Y647"/>
      <c r="Z647"/>
      <c r="AA647"/>
      <c r="AB647"/>
      <c r="AC647"/>
      <c r="AD647"/>
      <c r="AE647"/>
      <c r="AF647"/>
      <c r="AG647"/>
      <c r="AH647"/>
      <c r="AI647"/>
      <c r="AJ647"/>
      <c r="AK647"/>
      <c r="AL647"/>
      <c r="AM647"/>
      <c r="AN647"/>
      <c r="AO647"/>
      <c r="AP647"/>
      <c r="AQ647"/>
      <c r="AR647"/>
      <c r="AS647"/>
      <c r="AT647"/>
      <c r="AU647"/>
      <c r="AV647" s="1" t="s">
        <v>38</v>
      </c>
      <c r="BG647" s="7" t="s">
        <v>1242</v>
      </c>
    </row>
    <row r="648" spans="1:59" s="1" customFormat="1" ht="36" x14ac:dyDescent="0.45">
      <c r="A648" s="5">
        <v>647</v>
      </c>
      <c r="B648" s="1" t="s">
        <v>11261</v>
      </c>
      <c r="C648" s="6"/>
      <c r="J648" s="1" t="s">
        <v>7557</v>
      </c>
      <c r="K648" s="2" t="s">
        <v>10497</v>
      </c>
      <c r="P648" s="7" t="s">
        <v>1241</v>
      </c>
      <c r="Q648"/>
      <c r="R648"/>
      <c r="S648"/>
      <c r="T648"/>
      <c r="U648"/>
      <c r="V648"/>
      <c r="W648"/>
      <c r="X648"/>
      <c r="Y648"/>
      <c r="Z648"/>
      <c r="AA648"/>
      <c r="AB648"/>
      <c r="AC648"/>
      <c r="AD648"/>
      <c r="AE648"/>
      <c r="AF648"/>
      <c r="AG648"/>
      <c r="AH648"/>
      <c r="AI648"/>
      <c r="AJ648"/>
      <c r="AK648"/>
      <c r="AL648"/>
      <c r="AM648"/>
      <c r="AN648"/>
      <c r="AO648"/>
      <c r="AP648"/>
      <c r="AQ648"/>
      <c r="AR648"/>
      <c r="AS648"/>
      <c r="AT648"/>
      <c r="AU648"/>
      <c r="AV648" s="1" t="s">
        <v>38</v>
      </c>
      <c r="BG648" s="7" t="s">
        <v>1242</v>
      </c>
    </row>
    <row r="649" spans="1:59" s="1" customFormat="1" ht="36" x14ac:dyDescent="0.45">
      <c r="A649" s="5">
        <v>648</v>
      </c>
      <c r="B649" s="1" t="s">
        <v>11262</v>
      </c>
      <c r="C649" s="6"/>
      <c r="J649" s="1" t="s">
        <v>7557</v>
      </c>
      <c r="K649" s="2" t="s">
        <v>10498</v>
      </c>
      <c r="P649" s="7" t="s">
        <v>1241</v>
      </c>
      <c r="Q649"/>
      <c r="R649"/>
      <c r="S649"/>
      <c r="T649"/>
      <c r="U649"/>
      <c r="V649"/>
      <c r="W649"/>
      <c r="X649"/>
      <c r="Y649"/>
      <c r="Z649"/>
      <c r="AA649"/>
      <c r="AB649"/>
      <c r="AC649"/>
      <c r="AD649"/>
      <c r="AE649"/>
      <c r="AF649"/>
      <c r="AG649"/>
      <c r="AH649"/>
      <c r="AI649"/>
      <c r="AJ649"/>
      <c r="AK649"/>
      <c r="AL649"/>
      <c r="AM649"/>
      <c r="AN649"/>
      <c r="AO649"/>
      <c r="AP649"/>
      <c r="AQ649"/>
      <c r="AR649"/>
      <c r="AS649"/>
      <c r="AT649"/>
      <c r="AU649"/>
      <c r="AV649" s="1" t="s">
        <v>38</v>
      </c>
      <c r="BG649" s="7" t="s">
        <v>1242</v>
      </c>
    </row>
    <row r="650" spans="1:59" s="1" customFormat="1" ht="180" x14ac:dyDescent="0.45">
      <c r="A650" s="5">
        <v>649</v>
      </c>
      <c r="B650" s="1" t="s">
        <v>11263</v>
      </c>
      <c r="C650" s="6"/>
      <c r="J650" s="1" t="s">
        <v>7557</v>
      </c>
      <c r="K650" s="2" t="s">
        <v>10499</v>
      </c>
      <c r="P650" s="7" t="s">
        <v>1241</v>
      </c>
      <c r="Q650"/>
      <c r="R650"/>
      <c r="S650"/>
      <c r="T650"/>
      <c r="U650"/>
      <c r="V650"/>
      <c r="W650"/>
      <c r="X650"/>
      <c r="Y650"/>
      <c r="Z650"/>
      <c r="AA650"/>
      <c r="AB650"/>
      <c r="AC650"/>
      <c r="AD650"/>
      <c r="AE650"/>
      <c r="AF650"/>
      <c r="AG650"/>
      <c r="AH650"/>
      <c r="AI650"/>
      <c r="AJ650"/>
      <c r="AK650"/>
      <c r="AL650"/>
      <c r="AM650"/>
      <c r="AN650"/>
      <c r="AO650"/>
      <c r="AP650"/>
      <c r="AQ650"/>
      <c r="AR650"/>
      <c r="AS650"/>
      <c r="AT650"/>
      <c r="AU650"/>
      <c r="AV650" s="1" t="s">
        <v>38</v>
      </c>
      <c r="BG650" s="7" t="s">
        <v>1242</v>
      </c>
    </row>
    <row r="651" spans="1:59" s="1" customFormat="1" ht="54" x14ac:dyDescent="0.45">
      <c r="A651" s="5">
        <v>650</v>
      </c>
      <c r="B651" s="1" t="s">
        <v>11264</v>
      </c>
      <c r="C651" s="6"/>
      <c r="J651" s="1" t="s">
        <v>7557</v>
      </c>
      <c r="K651" s="2" t="s">
        <v>10500</v>
      </c>
      <c r="P651" s="7" t="s">
        <v>1241</v>
      </c>
      <c r="Q651"/>
      <c r="R651"/>
      <c r="S651"/>
      <c r="T651"/>
      <c r="U651"/>
      <c r="V651"/>
      <c r="W651"/>
      <c r="X651"/>
      <c r="Y651"/>
      <c r="Z651"/>
      <c r="AA651"/>
      <c r="AB651"/>
      <c r="AC651"/>
      <c r="AD651"/>
      <c r="AE651"/>
      <c r="AF651"/>
      <c r="AG651"/>
      <c r="AH651"/>
      <c r="AI651"/>
      <c r="AJ651"/>
      <c r="AK651"/>
      <c r="AL651"/>
      <c r="AM651"/>
      <c r="AN651"/>
      <c r="AO651"/>
      <c r="AP651"/>
      <c r="AQ651"/>
      <c r="AR651"/>
      <c r="AS651"/>
      <c r="AT651"/>
      <c r="AU651"/>
      <c r="AV651" s="1" t="s">
        <v>38</v>
      </c>
      <c r="BG651" s="7" t="s">
        <v>1242</v>
      </c>
    </row>
    <row r="652" spans="1:59" s="1" customFormat="1" ht="90" x14ac:dyDescent="0.45">
      <c r="A652" s="5">
        <v>651</v>
      </c>
      <c r="B652" s="1" t="s">
        <v>11265</v>
      </c>
      <c r="C652" s="6"/>
      <c r="J652" s="1" t="s">
        <v>7557</v>
      </c>
      <c r="K652" s="2" t="s">
        <v>10501</v>
      </c>
      <c r="P652" s="7" t="s">
        <v>1241</v>
      </c>
      <c r="Q652"/>
      <c r="R652"/>
      <c r="S652"/>
      <c r="T652"/>
      <c r="U652"/>
      <c r="V652"/>
      <c r="W652"/>
      <c r="X652"/>
      <c r="Y652"/>
      <c r="Z652"/>
      <c r="AA652"/>
      <c r="AB652"/>
      <c r="AC652"/>
      <c r="AD652"/>
      <c r="AE652"/>
      <c r="AF652"/>
      <c r="AG652"/>
      <c r="AH652"/>
      <c r="AI652"/>
      <c r="AJ652"/>
      <c r="AK652"/>
      <c r="AL652"/>
      <c r="AM652"/>
      <c r="AN652"/>
      <c r="AO652"/>
      <c r="AP652"/>
      <c r="AQ652"/>
      <c r="AR652"/>
      <c r="AS652"/>
      <c r="AT652"/>
      <c r="AU652"/>
      <c r="AV652" s="1" t="s">
        <v>38</v>
      </c>
      <c r="BG652" s="7" t="s">
        <v>1242</v>
      </c>
    </row>
    <row r="653" spans="1:59" s="1" customFormat="1" ht="54" x14ac:dyDescent="0.45">
      <c r="A653" s="5">
        <v>652</v>
      </c>
      <c r="B653" s="1" t="s">
        <v>11266</v>
      </c>
      <c r="C653" s="6"/>
      <c r="J653" s="1" t="s">
        <v>7557</v>
      </c>
      <c r="K653" s="2" t="s">
        <v>10502</v>
      </c>
      <c r="P653" s="7" t="s">
        <v>1241</v>
      </c>
      <c r="Q653"/>
      <c r="R653"/>
      <c r="S653"/>
      <c r="T653"/>
      <c r="U653"/>
      <c r="V653"/>
      <c r="W653"/>
      <c r="X653"/>
      <c r="Y653"/>
      <c r="Z653"/>
      <c r="AA653"/>
      <c r="AB653"/>
      <c r="AC653"/>
      <c r="AD653"/>
      <c r="AE653"/>
      <c r="AF653"/>
      <c r="AG653"/>
      <c r="AH653"/>
      <c r="AI653"/>
      <c r="AJ653"/>
      <c r="AK653"/>
      <c r="AL653"/>
      <c r="AM653"/>
      <c r="AN653"/>
      <c r="AO653"/>
      <c r="AP653"/>
      <c r="AQ653"/>
      <c r="AR653"/>
      <c r="AS653"/>
      <c r="AT653"/>
      <c r="AU653"/>
      <c r="AV653" s="1" t="s">
        <v>38</v>
      </c>
      <c r="BG653" s="7" t="s">
        <v>1242</v>
      </c>
    </row>
    <row r="654" spans="1:59" s="1" customFormat="1" ht="90" x14ac:dyDescent="0.45">
      <c r="A654" s="5">
        <v>653</v>
      </c>
      <c r="B654" s="1" t="s">
        <v>11267</v>
      </c>
      <c r="C654" s="6"/>
      <c r="J654" s="1" t="s">
        <v>7557</v>
      </c>
      <c r="K654" s="2" t="s">
        <v>10503</v>
      </c>
      <c r="P654" s="7" t="s">
        <v>1241</v>
      </c>
      <c r="Q654"/>
      <c r="R654"/>
      <c r="S654"/>
      <c r="T654"/>
      <c r="U654"/>
      <c r="V654"/>
      <c r="W654"/>
      <c r="X654"/>
      <c r="Y654"/>
      <c r="Z654"/>
      <c r="AA654"/>
      <c r="AB654"/>
      <c r="AC654"/>
      <c r="AD654"/>
      <c r="AE654"/>
      <c r="AF654"/>
      <c r="AG654"/>
      <c r="AH654"/>
      <c r="AI654"/>
      <c r="AJ654"/>
      <c r="AK654"/>
      <c r="AL654"/>
      <c r="AM654"/>
      <c r="AN654"/>
      <c r="AO654"/>
      <c r="AP654"/>
      <c r="AQ654"/>
      <c r="AR654"/>
      <c r="AS654"/>
      <c r="AT654"/>
      <c r="AU654"/>
      <c r="AV654" s="1" t="s">
        <v>38</v>
      </c>
      <c r="BG654" s="7" t="s">
        <v>1242</v>
      </c>
    </row>
    <row r="655" spans="1:59" s="1" customFormat="1" ht="108" x14ac:dyDescent="0.45">
      <c r="A655" s="5">
        <v>654</v>
      </c>
      <c r="B655" s="1" t="s">
        <v>11268</v>
      </c>
      <c r="C655" s="6"/>
      <c r="J655" s="1" t="s">
        <v>7557</v>
      </c>
      <c r="K655" s="2" t="s">
        <v>11680</v>
      </c>
      <c r="P655" s="7" t="s">
        <v>1241</v>
      </c>
      <c r="Q655"/>
      <c r="R655"/>
      <c r="S655"/>
      <c r="T655"/>
      <c r="U655"/>
      <c r="V655"/>
      <c r="W655"/>
      <c r="X655"/>
      <c r="Y655"/>
      <c r="Z655"/>
      <c r="AA655"/>
      <c r="AB655"/>
      <c r="AC655"/>
      <c r="AD655"/>
      <c r="AE655"/>
      <c r="AF655"/>
      <c r="AG655"/>
      <c r="AH655"/>
      <c r="AI655"/>
      <c r="AJ655"/>
      <c r="AK655"/>
      <c r="AL655"/>
      <c r="AM655"/>
      <c r="AN655"/>
      <c r="AO655"/>
      <c r="AP655"/>
      <c r="AQ655"/>
      <c r="AR655"/>
      <c r="AS655"/>
      <c r="AT655"/>
      <c r="AU655"/>
      <c r="AV655" s="1" t="s">
        <v>38</v>
      </c>
      <c r="BG655" s="7" t="s">
        <v>1242</v>
      </c>
    </row>
    <row r="656" spans="1:59" s="1" customFormat="1" ht="144" x14ac:dyDescent="0.45">
      <c r="A656" s="5">
        <v>655</v>
      </c>
      <c r="B656" s="1" t="s">
        <v>11269</v>
      </c>
      <c r="C656" s="6"/>
      <c r="J656" s="1" t="s">
        <v>7557</v>
      </c>
      <c r="K656" s="2" t="s">
        <v>10504</v>
      </c>
      <c r="P656" s="7" t="s">
        <v>1241</v>
      </c>
      <c r="Q656"/>
      <c r="R656"/>
      <c r="S656"/>
      <c r="T656"/>
      <c r="U656"/>
      <c r="V656"/>
      <c r="W656"/>
      <c r="X656"/>
      <c r="Y656"/>
      <c r="Z656"/>
      <c r="AA656"/>
      <c r="AB656"/>
      <c r="AC656"/>
      <c r="AD656"/>
      <c r="AE656"/>
      <c r="AF656"/>
      <c r="AG656"/>
      <c r="AH656"/>
      <c r="AI656"/>
      <c r="AJ656"/>
      <c r="AK656"/>
      <c r="AL656"/>
      <c r="AM656"/>
      <c r="AN656"/>
      <c r="AO656"/>
      <c r="AP656"/>
      <c r="AQ656"/>
      <c r="AR656"/>
      <c r="AS656"/>
      <c r="AT656"/>
      <c r="AU656"/>
      <c r="AV656" s="1" t="s">
        <v>38</v>
      </c>
      <c r="BG656" s="7" t="s">
        <v>1242</v>
      </c>
    </row>
    <row r="657" spans="1:59" s="1" customFormat="1" ht="54" x14ac:dyDescent="0.45">
      <c r="A657" s="5">
        <v>656</v>
      </c>
      <c r="B657" s="1" t="s">
        <v>11270</v>
      </c>
      <c r="C657" s="6"/>
      <c r="J657" s="1" t="s">
        <v>7557</v>
      </c>
      <c r="K657" s="2" t="s">
        <v>10505</v>
      </c>
      <c r="P657" s="7" t="s">
        <v>1241</v>
      </c>
      <c r="Q657"/>
      <c r="R657"/>
      <c r="S657"/>
      <c r="T657"/>
      <c r="U657"/>
      <c r="V657"/>
      <c r="W657"/>
      <c r="X657"/>
      <c r="Y657"/>
      <c r="Z657"/>
      <c r="AA657"/>
      <c r="AB657"/>
      <c r="AC657"/>
      <c r="AD657"/>
      <c r="AE657"/>
      <c r="AF657"/>
      <c r="AG657"/>
      <c r="AH657"/>
      <c r="AI657"/>
      <c r="AJ657"/>
      <c r="AK657"/>
      <c r="AL657"/>
      <c r="AM657"/>
      <c r="AN657"/>
      <c r="AO657"/>
      <c r="AP657"/>
      <c r="AQ657"/>
      <c r="AR657"/>
      <c r="AS657"/>
      <c r="AT657"/>
      <c r="AU657"/>
      <c r="AV657" s="1" t="s">
        <v>38</v>
      </c>
      <c r="BG657" s="7" t="s">
        <v>1242</v>
      </c>
    </row>
    <row r="658" spans="1:59" s="1" customFormat="1" ht="126" x14ac:dyDescent="0.45">
      <c r="A658" s="5">
        <v>657</v>
      </c>
      <c r="B658" s="1" t="s">
        <v>11271</v>
      </c>
      <c r="C658" s="6"/>
      <c r="J658" s="1" t="s">
        <v>7557</v>
      </c>
      <c r="K658" s="2" t="s">
        <v>10506</v>
      </c>
      <c r="P658" s="7" t="s">
        <v>1241</v>
      </c>
      <c r="Q658"/>
      <c r="R658"/>
      <c r="S658"/>
      <c r="T658"/>
      <c r="U658"/>
      <c r="V658"/>
      <c r="W658"/>
      <c r="X658"/>
      <c r="Y658"/>
      <c r="Z658"/>
      <c r="AA658"/>
      <c r="AB658"/>
      <c r="AC658"/>
      <c r="AD658"/>
      <c r="AE658"/>
      <c r="AF658"/>
      <c r="AG658"/>
      <c r="AH658"/>
      <c r="AI658"/>
      <c r="AJ658"/>
      <c r="AK658"/>
      <c r="AL658"/>
      <c r="AM658"/>
      <c r="AN658"/>
      <c r="AO658"/>
      <c r="AP658"/>
      <c r="AQ658"/>
      <c r="AR658"/>
      <c r="AS658"/>
      <c r="AT658"/>
      <c r="AU658"/>
      <c r="AV658" s="1" t="s">
        <v>38</v>
      </c>
      <c r="BG658" s="7" t="s">
        <v>1242</v>
      </c>
    </row>
    <row r="659" spans="1:59" s="1" customFormat="1" ht="126" x14ac:dyDescent="0.45">
      <c r="A659" s="5">
        <v>658</v>
      </c>
      <c r="B659" s="1" t="s">
        <v>11272</v>
      </c>
      <c r="C659" s="6"/>
      <c r="J659" s="1" t="s">
        <v>7557</v>
      </c>
      <c r="K659" s="2" t="s">
        <v>10507</v>
      </c>
      <c r="P659" s="7" t="s">
        <v>1241</v>
      </c>
      <c r="Q659"/>
      <c r="R659"/>
      <c r="S659"/>
      <c r="T659"/>
      <c r="U659"/>
      <c r="V659"/>
      <c r="W659"/>
      <c r="X659"/>
      <c r="Y659"/>
      <c r="Z659"/>
      <c r="AA659"/>
      <c r="AB659"/>
      <c r="AC659"/>
      <c r="AD659"/>
      <c r="AE659"/>
      <c r="AF659"/>
      <c r="AG659"/>
      <c r="AH659"/>
      <c r="AI659"/>
      <c r="AJ659"/>
      <c r="AK659"/>
      <c r="AL659"/>
      <c r="AM659"/>
      <c r="AN659"/>
      <c r="AO659"/>
      <c r="AP659"/>
      <c r="AQ659"/>
      <c r="AR659"/>
      <c r="AS659"/>
      <c r="AT659"/>
      <c r="AU659"/>
      <c r="AV659" s="1" t="s">
        <v>38</v>
      </c>
      <c r="BG659" s="7" t="s">
        <v>1242</v>
      </c>
    </row>
    <row r="660" spans="1:59" s="1" customFormat="1" ht="72" x14ac:dyDescent="0.45">
      <c r="A660" s="5">
        <v>659</v>
      </c>
      <c r="B660" s="1" t="s">
        <v>11273</v>
      </c>
      <c r="C660" s="6"/>
      <c r="J660" s="1" t="s">
        <v>7557</v>
      </c>
      <c r="K660" s="2" t="s">
        <v>10508</v>
      </c>
      <c r="P660" s="7" t="s">
        <v>1241</v>
      </c>
      <c r="Q660"/>
      <c r="R660"/>
      <c r="S660"/>
      <c r="T660"/>
      <c r="U660"/>
      <c r="V660"/>
      <c r="W660"/>
      <c r="X660"/>
      <c r="Y660"/>
      <c r="Z660"/>
      <c r="AA660"/>
      <c r="AB660"/>
      <c r="AC660"/>
      <c r="AD660"/>
      <c r="AE660"/>
      <c r="AF660"/>
      <c r="AG660"/>
      <c r="AH660"/>
      <c r="AI660"/>
      <c r="AJ660"/>
      <c r="AK660"/>
      <c r="AL660"/>
      <c r="AM660"/>
      <c r="AN660"/>
      <c r="AO660"/>
      <c r="AP660"/>
      <c r="AQ660"/>
      <c r="AR660"/>
      <c r="AS660"/>
      <c r="AT660"/>
      <c r="AU660"/>
      <c r="AV660" s="1" t="s">
        <v>38</v>
      </c>
      <c r="BG660" s="7" t="s">
        <v>1242</v>
      </c>
    </row>
    <row r="661" spans="1:59" s="1" customFormat="1" ht="54" x14ac:dyDescent="0.45">
      <c r="A661" s="5">
        <v>660</v>
      </c>
      <c r="B661" s="1" t="s">
        <v>11274</v>
      </c>
      <c r="C661" s="6"/>
      <c r="J661" s="1" t="s">
        <v>7557</v>
      </c>
      <c r="K661" s="2" t="s">
        <v>10509</v>
      </c>
      <c r="P661" s="7" t="s">
        <v>1241</v>
      </c>
      <c r="Q661"/>
      <c r="R661"/>
      <c r="S661"/>
      <c r="T661"/>
      <c r="U661"/>
      <c r="V661"/>
      <c r="W661"/>
      <c r="X661"/>
      <c r="Y661"/>
      <c r="Z661"/>
      <c r="AA661"/>
      <c r="AB661"/>
      <c r="AC661"/>
      <c r="AD661"/>
      <c r="AE661"/>
      <c r="AF661"/>
      <c r="AG661"/>
      <c r="AH661"/>
      <c r="AI661"/>
      <c r="AJ661"/>
      <c r="AK661"/>
      <c r="AL661"/>
      <c r="AM661"/>
      <c r="AN661"/>
      <c r="AO661"/>
      <c r="AP661"/>
      <c r="AQ661"/>
      <c r="AR661"/>
      <c r="AS661"/>
      <c r="AT661"/>
      <c r="AU661"/>
      <c r="AV661" s="1" t="s">
        <v>38</v>
      </c>
      <c r="BG661" s="7" t="s">
        <v>1242</v>
      </c>
    </row>
    <row r="662" spans="1:59" s="1" customFormat="1" ht="198" x14ac:dyDescent="0.45">
      <c r="A662" s="5">
        <v>661</v>
      </c>
      <c r="B662" s="1" t="s">
        <v>10510</v>
      </c>
      <c r="C662" s="6"/>
      <c r="J662" s="1" t="s">
        <v>7557</v>
      </c>
      <c r="K662" s="2" t="s">
        <v>10511</v>
      </c>
      <c r="P662" s="7" t="s">
        <v>1241</v>
      </c>
      <c r="Q662"/>
      <c r="R662"/>
      <c r="S662"/>
      <c r="T662"/>
      <c r="U662"/>
      <c r="V662"/>
      <c r="W662"/>
      <c r="X662"/>
      <c r="Y662"/>
      <c r="Z662"/>
      <c r="AA662"/>
      <c r="AB662"/>
      <c r="AC662"/>
      <c r="AD662"/>
      <c r="AE662"/>
      <c r="AF662"/>
      <c r="AG662"/>
      <c r="AH662"/>
      <c r="AI662"/>
      <c r="AJ662"/>
      <c r="AK662"/>
      <c r="AL662"/>
      <c r="AM662"/>
      <c r="AN662"/>
      <c r="AO662"/>
      <c r="AP662"/>
      <c r="AQ662"/>
      <c r="AR662"/>
      <c r="AS662"/>
      <c r="AT662"/>
      <c r="AU662"/>
      <c r="AV662" s="1" t="s">
        <v>38</v>
      </c>
      <c r="BG662" s="7" t="s">
        <v>1242</v>
      </c>
    </row>
    <row r="663" spans="1:59" s="1" customFormat="1" ht="72" x14ac:dyDescent="0.45">
      <c r="A663" s="5">
        <v>662</v>
      </c>
      <c r="B663" s="1" t="s">
        <v>11275</v>
      </c>
      <c r="C663" s="6"/>
      <c r="J663" s="1" t="s">
        <v>7557</v>
      </c>
      <c r="K663" s="2" t="s">
        <v>10512</v>
      </c>
      <c r="P663" s="7" t="s">
        <v>1241</v>
      </c>
      <c r="Q663"/>
      <c r="R663"/>
      <c r="S663"/>
      <c r="T663"/>
      <c r="U663"/>
      <c r="V663"/>
      <c r="W663"/>
      <c r="X663"/>
      <c r="Y663"/>
      <c r="Z663"/>
      <c r="AA663"/>
      <c r="AB663"/>
      <c r="AC663"/>
      <c r="AD663"/>
      <c r="AE663"/>
      <c r="AF663"/>
      <c r="AG663"/>
      <c r="AH663"/>
      <c r="AI663"/>
      <c r="AJ663"/>
      <c r="AK663"/>
      <c r="AL663"/>
      <c r="AM663"/>
      <c r="AN663"/>
      <c r="AO663"/>
      <c r="AP663"/>
      <c r="AQ663"/>
      <c r="AR663"/>
      <c r="AS663"/>
      <c r="AT663"/>
      <c r="AU663"/>
      <c r="AV663" s="1" t="s">
        <v>38</v>
      </c>
      <c r="BG663" s="7" t="s">
        <v>1242</v>
      </c>
    </row>
    <row r="664" spans="1:59" s="1" customFormat="1" ht="360" x14ac:dyDescent="0.45">
      <c r="A664" s="5">
        <v>663</v>
      </c>
      <c r="B664" s="1" t="s">
        <v>11276</v>
      </c>
      <c r="C664" s="6"/>
      <c r="J664" s="1" t="s">
        <v>7557</v>
      </c>
      <c r="K664" s="2" t="s">
        <v>10516</v>
      </c>
      <c r="P664" s="7" t="s">
        <v>1241</v>
      </c>
      <c r="Q664"/>
      <c r="R664"/>
      <c r="S664"/>
      <c r="T664"/>
      <c r="U664"/>
      <c r="V664"/>
      <c r="W664"/>
      <c r="X664"/>
      <c r="Y664"/>
      <c r="Z664"/>
      <c r="AA664"/>
      <c r="AB664"/>
      <c r="AC664"/>
      <c r="AD664"/>
      <c r="AE664"/>
      <c r="AF664"/>
      <c r="AG664"/>
      <c r="AH664"/>
      <c r="AI664"/>
      <c r="AJ664"/>
      <c r="AK664"/>
      <c r="AL664"/>
      <c r="AM664"/>
      <c r="AN664"/>
      <c r="AO664"/>
      <c r="AP664"/>
      <c r="AQ664"/>
      <c r="AR664"/>
      <c r="AS664"/>
      <c r="AT664"/>
      <c r="AU664"/>
      <c r="AV664" s="1" t="s">
        <v>38</v>
      </c>
      <c r="BG664" s="7" t="s">
        <v>1242</v>
      </c>
    </row>
    <row r="665" spans="1:59" s="1" customFormat="1" ht="54" x14ac:dyDescent="0.45">
      <c r="A665" s="5">
        <v>664</v>
      </c>
      <c r="B665" s="1" t="s">
        <v>11277</v>
      </c>
      <c r="C665" s="6"/>
      <c r="J665" s="1" t="s">
        <v>7557</v>
      </c>
      <c r="K665" s="2" t="s">
        <v>10517</v>
      </c>
      <c r="P665" s="7" t="s">
        <v>1241</v>
      </c>
      <c r="Q665"/>
      <c r="R665"/>
      <c r="S665"/>
      <c r="T665"/>
      <c r="U665"/>
      <c r="V665"/>
      <c r="W665"/>
      <c r="X665"/>
      <c r="Y665"/>
      <c r="Z665"/>
      <c r="AA665"/>
      <c r="AB665"/>
      <c r="AC665"/>
      <c r="AD665"/>
      <c r="AE665"/>
      <c r="AF665"/>
      <c r="AG665"/>
      <c r="AH665"/>
      <c r="AI665"/>
      <c r="AJ665"/>
      <c r="AK665"/>
      <c r="AL665"/>
      <c r="AM665"/>
      <c r="AN665"/>
      <c r="AO665"/>
      <c r="AP665"/>
      <c r="AQ665"/>
      <c r="AR665"/>
      <c r="AS665"/>
      <c r="AT665"/>
      <c r="AU665"/>
      <c r="AV665" s="1" t="s">
        <v>38</v>
      </c>
      <c r="BG665" s="7" t="s">
        <v>1242</v>
      </c>
    </row>
    <row r="666" spans="1:59" s="1" customFormat="1" ht="126" x14ac:dyDescent="0.45">
      <c r="A666" s="5">
        <v>665</v>
      </c>
      <c r="B666" s="1" t="s">
        <v>11278</v>
      </c>
      <c r="C666" s="6"/>
      <c r="J666" s="1" t="s">
        <v>7557</v>
      </c>
      <c r="K666" s="2" t="s">
        <v>10518</v>
      </c>
      <c r="P666" s="7" t="s">
        <v>1241</v>
      </c>
      <c r="Q666"/>
      <c r="R666"/>
      <c r="S666"/>
      <c r="T666"/>
      <c r="U666"/>
      <c r="V666"/>
      <c r="W666"/>
      <c r="X666"/>
      <c r="Y666"/>
      <c r="Z666"/>
      <c r="AA666"/>
      <c r="AB666"/>
      <c r="AC666"/>
      <c r="AD666"/>
      <c r="AE666"/>
      <c r="AF666"/>
      <c r="AG666"/>
      <c r="AH666"/>
      <c r="AI666"/>
      <c r="AJ666"/>
      <c r="AK666"/>
      <c r="AL666"/>
      <c r="AM666"/>
      <c r="AN666"/>
      <c r="AO666"/>
      <c r="AP666"/>
      <c r="AQ666"/>
      <c r="AR666"/>
      <c r="AS666"/>
      <c r="AT666"/>
      <c r="AU666"/>
      <c r="AV666" s="1" t="s">
        <v>38</v>
      </c>
      <c r="BG666" s="7" t="s">
        <v>1242</v>
      </c>
    </row>
    <row r="667" spans="1:59" s="1" customFormat="1" ht="108" x14ac:dyDescent="0.45">
      <c r="A667" s="5">
        <v>666</v>
      </c>
      <c r="B667" s="1" t="s">
        <v>11279</v>
      </c>
      <c r="C667" s="6"/>
      <c r="J667" s="1" t="s">
        <v>7557</v>
      </c>
      <c r="K667" s="2" t="s">
        <v>11689</v>
      </c>
      <c r="P667" s="7" t="s">
        <v>1241</v>
      </c>
      <c r="Q667"/>
      <c r="R667"/>
      <c r="S667"/>
      <c r="T667"/>
      <c r="U667"/>
      <c r="V667"/>
      <c r="W667"/>
      <c r="X667"/>
      <c r="Y667"/>
      <c r="Z667"/>
      <c r="AA667"/>
      <c r="AB667"/>
      <c r="AC667"/>
      <c r="AD667"/>
      <c r="AE667"/>
      <c r="AF667"/>
      <c r="AG667"/>
      <c r="AH667"/>
      <c r="AI667"/>
      <c r="AJ667"/>
      <c r="AK667"/>
      <c r="AL667"/>
      <c r="AM667"/>
      <c r="AN667"/>
      <c r="AO667"/>
      <c r="AP667"/>
      <c r="AQ667"/>
      <c r="AR667"/>
      <c r="AS667"/>
      <c r="AT667"/>
      <c r="AU667"/>
      <c r="AV667" s="1" t="s">
        <v>38</v>
      </c>
      <c r="BG667" s="7" t="s">
        <v>1242</v>
      </c>
    </row>
    <row r="668" spans="1:59" s="1" customFormat="1" ht="54" x14ac:dyDescent="0.45">
      <c r="A668" s="5">
        <v>667</v>
      </c>
      <c r="B668" s="1" t="s">
        <v>11280</v>
      </c>
      <c r="C668" s="6"/>
      <c r="J668" s="1" t="s">
        <v>7557</v>
      </c>
      <c r="K668" s="2" t="s">
        <v>10519</v>
      </c>
      <c r="P668" s="7" t="s">
        <v>1241</v>
      </c>
      <c r="Q668"/>
      <c r="R668"/>
      <c r="S668"/>
      <c r="T668"/>
      <c r="U668"/>
      <c r="V668"/>
      <c r="W668"/>
      <c r="X668"/>
      <c r="Y668"/>
      <c r="Z668"/>
      <c r="AA668"/>
      <c r="AB668"/>
      <c r="AC668"/>
      <c r="AD668"/>
      <c r="AE668"/>
      <c r="AF668"/>
      <c r="AG668"/>
      <c r="AH668"/>
      <c r="AI668"/>
      <c r="AJ668"/>
      <c r="AK668"/>
      <c r="AL668"/>
      <c r="AM668"/>
      <c r="AN668"/>
      <c r="AO668"/>
      <c r="AP668"/>
      <c r="AQ668"/>
      <c r="AR668"/>
      <c r="AS668"/>
      <c r="AT668"/>
      <c r="AU668"/>
      <c r="AV668" s="1" t="s">
        <v>38</v>
      </c>
      <c r="BG668" s="7" t="s">
        <v>1242</v>
      </c>
    </row>
    <row r="669" spans="1:59" s="1" customFormat="1" ht="54" x14ac:dyDescent="0.45">
      <c r="A669" s="5">
        <v>668</v>
      </c>
      <c r="B669" s="1" t="s">
        <v>11281</v>
      </c>
      <c r="C669" s="6"/>
      <c r="J669" s="1" t="s">
        <v>7557</v>
      </c>
      <c r="K669" s="2" t="s">
        <v>10520</v>
      </c>
      <c r="P669" s="7" t="s">
        <v>1241</v>
      </c>
      <c r="Q669"/>
      <c r="R669"/>
      <c r="S669"/>
      <c r="T669"/>
      <c r="U669"/>
      <c r="V669"/>
      <c r="W669"/>
      <c r="X669"/>
      <c r="Y669"/>
      <c r="Z669"/>
      <c r="AA669"/>
      <c r="AB669"/>
      <c r="AC669"/>
      <c r="AD669"/>
      <c r="AE669"/>
      <c r="AF669"/>
      <c r="AG669"/>
      <c r="AH669"/>
      <c r="AI669"/>
      <c r="AJ669"/>
      <c r="AK669"/>
      <c r="AL669"/>
      <c r="AM669"/>
      <c r="AN669"/>
      <c r="AO669"/>
      <c r="AP669"/>
      <c r="AQ669"/>
      <c r="AR669"/>
      <c r="AS669"/>
      <c r="AT669"/>
      <c r="AU669"/>
      <c r="AV669" s="1" t="s">
        <v>38</v>
      </c>
      <c r="BG669" s="7" t="s">
        <v>1242</v>
      </c>
    </row>
    <row r="670" spans="1:59" s="1" customFormat="1" ht="306" x14ac:dyDescent="0.45">
      <c r="A670" s="5">
        <v>669</v>
      </c>
      <c r="B670" s="1" t="s">
        <v>11282</v>
      </c>
      <c r="C670" s="6"/>
      <c r="J670" s="1" t="s">
        <v>7557</v>
      </c>
      <c r="K670" s="2" t="s">
        <v>11690</v>
      </c>
      <c r="P670" s="7" t="s">
        <v>1241</v>
      </c>
      <c r="Q670"/>
      <c r="R670"/>
      <c r="S670"/>
      <c r="T670"/>
      <c r="U670"/>
      <c r="V670"/>
      <c r="W670"/>
      <c r="X670"/>
      <c r="Y670"/>
      <c r="Z670"/>
      <c r="AA670"/>
      <c r="AB670"/>
      <c r="AC670"/>
      <c r="AD670"/>
      <c r="AE670"/>
      <c r="AF670"/>
      <c r="AG670"/>
      <c r="AH670"/>
      <c r="AI670"/>
      <c r="AJ670"/>
      <c r="AK670"/>
      <c r="AL670"/>
      <c r="AM670"/>
      <c r="AN670"/>
      <c r="AO670"/>
      <c r="AP670"/>
      <c r="AQ670"/>
      <c r="AR670"/>
      <c r="AS670"/>
      <c r="AT670"/>
      <c r="AU670"/>
      <c r="AV670" s="1" t="s">
        <v>38</v>
      </c>
      <c r="BG670" s="7" t="s">
        <v>1242</v>
      </c>
    </row>
    <row r="671" spans="1:59" s="1" customFormat="1" ht="36" x14ac:dyDescent="0.45">
      <c r="A671" s="5">
        <v>670</v>
      </c>
      <c r="B671" s="1" t="s">
        <v>11283</v>
      </c>
      <c r="C671" s="6"/>
      <c r="J671" s="1" t="s">
        <v>7557</v>
      </c>
      <c r="K671" s="2" t="s">
        <v>10521</v>
      </c>
      <c r="P671" s="7" t="s">
        <v>1241</v>
      </c>
      <c r="Q671"/>
      <c r="R671"/>
      <c r="S671"/>
      <c r="T671"/>
      <c r="U671"/>
      <c r="V671"/>
      <c r="W671"/>
      <c r="X671"/>
      <c r="Y671"/>
      <c r="Z671"/>
      <c r="AA671"/>
      <c r="AB671"/>
      <c r="AC671"/>
      <c r="AD671"/>
      <c r="AE671"/>
      <c r="AF671"/>
      <c r="AG671"/>
      <c r="AH671"/>
      <c r="AI671"/>
      <c r="AJ671"/>
      <c r="AK671"/>
      <c r="AL671"/>
      <c r="AM671"/>
      <c r="AN671"/>
      <c r="AO671"/>
      <c r="AP671"/>
      <c r="AQ671"/>
      <c r="AR671"/>
      <c r="AS671"/>
      <c r="AT671"/>
      <c r="AU671"/>
      <c r="AV671" s="1" t="s">
        <v>38</v>
      </c>
      <c r="BG671" s="7" t="s">
        <v>1242</v>
      </c>
    </row>
    <row r="672" spans="1:59" s="1" customFormat="1" ht="36" x14ac:dyDescent="0.45">
      <c r="A672" s="5">
        <v>671</v>
      </c>
      <c r="B672" s="1" t="s">
        <v>11284</v>
      </c>
      <c r="C672" s="6"/>
      <c r="J672" s="1" t="s">
        <v>7557</v>
      </c>
      <c r="K672" s="2" t="s">
        <v>10522</v>
      </c>
      <c r="P672" s="7" t="s">
        <v>1241</v>
      </c>
      <c r="Q672"/>
      <c r="R672"/>
      <c r="S672"/>
      <c r="T672"/>
      <c r="U672"/>
      <c r="V672"/>
      <c r="W672"/>
      <c r="X672"/>
      <c r="Y672"/>
      <c r="Z672"/>
      <c r="AA672"/>
      <c r="AB672"/>
      <c r="AC672"/>
      <c r="AD672"/>
      <c r="AE672"/>
      <c r="AF672"/>
      <c r="AG672"/>
      <c r="AH672"/>
      <c r="AI672"/>
      <c r="AJ672"/>
      <c r="AK672"/>
      <c r="AL672"/>
      <c r="AM672"/>
      <c r="AN672"/>
      <c r="AO672"/>
      <c r="AP672"/>
      <c r="AQ672"/>
      <c r="AR672"/>
      <c r="AS672"/>
      <c r="AT672"/>
      <c r="AU672"/>
      <c r="AV672" s="1" t="s">
        <v>38</v>
      </c>
      <c r="BG672" s="7" t="s">
        <v>1242</v>
      </c>
    </row>
    <row r="673" spans="1:59" s="1" customFormat="1" ht="36" x14ac:dyDescent="0.45">
      <c r="A673" s="5">
        <v>672</v>
      </c>
      <c r="B673" s="1" t="s">
        <v>11285</v>
      </c>
      <c r="C673" s="6"/>
      <c r="J673" s="1" t="s">
        <v>7557</v>
      </c>
      <c r="K673" s="2" t="s">
        <v>10523</v>
      </c>
      <c r="P673" s="7" t="s">
        <v>1241</v>
      </c>
      <c r="Q673"/>
      <c r="R673"/>
      <c r="S673"/>
      <c r="T673"/>
      <c r="U673"/>
      <c r="V673"/>
      <c r="W673"/>
      <c r="X673"/>
      <c r="Y673"/>
      <c r="Z673"/>
      <c r="AA673"/>
      <c r="AB673"/>
      <c r="AC673"/>
      <c r="AD673"/>
      <c r="AE673"/>
      <c r="AF673"/>
      <c r="AG673"/>
      <c r="AH673"/>
      <c r="AI673"/>
      <c r="AJ673"/>
      <c r="AK673"/>
      <c r="AL673"/>
      <c r="AM673"/>
      <c r="AN673"/>
      <c r="AO673"/>
      <c r="AP673"/>
      <c r="AQ673"/>
      <c r="AR673"/>
      <c r="AS673"/>
      <c r="AT673"/>
      <c r="AU673"/>
      <c r="AV673" s="1" t="s">
        <v>38</v>
      </c>
      <c r="BG673" s="7" t="s">
        <v>1242</v>
      </c>
    </row>
    <row r="674" spans="1:59" s="1" customFormat="1" ht="90" x14ac:dyDescent="0.45">
      <c r="A674" s="5">
        <v>673</v>
      </c>
      <c r="B674" s="1" t="s">
        <v>11286</v>
      </c>
      <c r="C674" s="6"/>
      <c r="J674" s="1" t="s">
        <v>7557</v>
      </c>
      <c r="K674" s="2" t="s">
        <v>10524</v>
      </c>
      <c r="P674" s="7" t="s">
        <v>1241</v>
      </c>
      <c r="Q674"/>
      <c r="R674"/>
      <c r="S674"/>
      <c r="T674"/>
      <c r="U674"/>
      <c r="V674"/>
      <c r="W674"/>
      <c r="X674"/>
      <c r="Y674"/>
      <c r="Z674"/>
      <c r="AA674"/>
      <c r="AB674"/>
      <c r="AC674"/>
      <c r="AD674"/>
      <c r="AE674"/>
      <c r="AF674"/>
      <c r="AG674"/>
      <c r="AH674"/>
      <c r="AI674"/>
      <c r="AJ674"/>
      <c r="AK674"/>
      <c r="AL674"/>
      <c r="AM674"/>
      <c r="AN674"/>
      <c r="AO674"/>
      <c r="AP674"/>
      <c r="AQ674"/>
      <c r="AR674"/>
      <c r="AS674"/>
      <c r="AT674"/>
      <c r="AU674"/>
      <c r="AV674" s="1" t="s">
        <v>38</v>
      </c>
      <c r="BG674" s="7" t="s">
        <v>1242</v>
      </c>
    </row>
    <row r="675" spans="1:59" s="1" customFormat="1" ht="108" x14ac:dyDescent="0.45">
      <c r="A675" s="5">
        <v>674</v>
      </c>
      <c r="B675" s="1" t="s">
        <v>11287</v>
      </c>
      <c r="C675" s="6"/>
      <c r="J675" s="1" t="s">
        <v>7557</v>
      </c>
      <c r="K675" s="2" t="s">
        <v>10525</v>
      </c>
      <c r="P675" s="7" t="s">
        <v>1241</v>
      </c>
      <c r="Q675"/>
      <c r="R675"/>
      <c r="S675"/>
      <c r="T675"/>
      <c r="U675"/>
      <c r="V675"/>
      <c r="W675"/>
      <c r="X675"/>
      <c r="Y675"/>
      <c r="Z675"/>
      <c r="AA675"/>
      <c r="AB675"/>
      <c r="AC675"/>
      <c r="AD675"/>
      <c r="AE675"/>
      <c r="AF675"/>
      <c r="AG675"/>
      <c r="AH675"/>
      <c r="AI675"/>
      <c r="AJ675"/>
      <c r="AK675"/>
      <c r="AL675"/>
      <c r="AM675"/>
      <c r="AN675"/>
      <c r="AO675"/>
      <c r="AP675"/>
      <c r="AQ675"/>
      <c r="AR675"/>
      <c r="AS675"/>
      <c r="AT675"/>
      <c r="AU675"/>
      <c r="AV675" s="1" t="s">
        <v>38</v>
      </c>
      <c r="BG675" s="7" t="s">
        <v>1242</v>
      </c>
    </row>
    <row r="676" spans="1:59" s="1" customFormat="1" ht="54" x14ac:dyDescent="0.45">
      <c r="A676" s="5">
        <v>675</v>
      </c>
      <c r="B676" s="1" t="s">
        <v>11288</v>
      </c>
      <c r="C676" s="6"/>
      <c r="J676" s="1" t="s">
        <v>7557</v>
      </c>
      <c r="K676" s="2" t="s">
        <v>10526</v>
      </c>
      <c r="P676" s="7" t="s">
        <v>1241</v>
      </c>
      <c r="Q676"/>
      <c r="R676"/>
      <c r="S676"/>
      <c r="T676"/>
      <c r="U676"/>
      <c r="V676"/>
      <c r="W676"/>
      <c r="X676"/>
      <c r="Y676"/>
      <c r="Z676"/>
      <c r="AA676"/>
      <c r="AB676"/>
      <c r="AC676"/>
      <c r="AD676"/>
      <c r="AE676"/>
      <c r="AF676"/>
      <c r="AG676"/>
      <c r="AH676"/>
      <c r="AI676"/>
      <c r="AJ676"/>
      <c r="AK676"/>
      <c r="AL676"/>
      <c r="AM676"/>
      <c r="AN676"/>
      <c r="AO676"/>
      <c r="AP676"/>
      <c r="AQ676"/>
      <c r="AR676"/>
      <c r="AS676"/>
      <c r="AT676"/>
      <c r="AU676"/>
      <c r="AV676" s="1" t="s">
        <v>38</v>
      </c>
      <c r="BG676" s="7" t="s">
        <v>1242</v>
      </c>
    </row>
    <row r="677" spans="1:59" s="1" customFormat="1" ht="54" x14ac:dyDescent="0.45">
      <c r="A677" s="5">
        <v>676</v>
      </c>
      <c r="B677" s="1" t="s">
        <v>11289</v>
      </c>
      <c r="C677" s="6"/>
      <c r="J677" s="1" t="s">
        <v>7557</v>
      </c>
      <c r="K677" s="2" t="s">
        <v>10527</v>
      </c>
      <c r="P677" s="7" t="s">
        <v>1241</v>
      </c>
      <c r="Q677"/>
      <c r="R677"/>
      <c r="S677"/>
      <c r="T677"/>
      <c r="U677"/>
      <c r="V677"/>
      <c r="W677"/>
      <c r="X677"/>
      <c r="Y677"/>
      <c r="Z677"/>
      <c r="AA677"/>
      <c r="AB677"/>
      <c r="AC677"/>
      <c r="AD677"/>
      <c r="AE677"/>
      <c r="AF677"/>
      <c r="AG677"/>
      <c r="AH677"/>
      <c r="AI677"/>
      <c r="AJ677"/>
      <c r="AK677"/>
      <c r="AL677"/>
      <c r="AM677"/>
      <c r="AN677"/>
      <c r="AO677"/>
      <c r="AP677"/>
      <c r="AQ677"/>
      <c r="AR677"/>
      <c r="AS677"/>
      <c r="AT677"/>
      <c r="AU677"/>
      <c r="AV677" s="1" t="s">
        <v>38</v>
      </c>
      <c r="BG677" s="7" t="s">
        <v>1242</v>
      </c>
    </row>
    <row r="678" spans="1:59" s="1" customFormat="1" ht="72" x14ac:dyDescent="0.45">
      <c r="A678" s="5">
        <v>677</v>
      </c>
      <c r="B678" s="1" t="s">
        <v>11290</v>
      </c>
      <c r="C678" s="6"/>
      <c r="J678" s="1" t="s">
        <v>7557</v>
      </c>
      <c r="K678" s="2" t="s">
        <v>10528</v>
      </c>
      <c r="P678" s="7" t="s">
        <v>1241</v>
      </c>
      <c r="Q678"/>
      <c r="R678"/>
      <c r="S678"/>
      <c r="T678"/>
      <c r="U678"/>
      <c r="V678"/>
      <c r="W678"/>
      <c r="X678"/>
      <c r="Y678"/>
      <c r="Z678"/>
      <c r="AA678"/>
      <c r="AB678"/>
      <c r="AC678"/>
      <c r="AD678"/>
      <c r="AE678"/>
      <c r="AF678"/>
      <c r="AG678"/>
      <c r="AH678"/>
      <c r="AI678"/>
      <c r="AJ678"/>
      <c r="AK678"/>
      <c r="AL678"/>
      <c r="AM678"/>
      <c r="AN678"/>
      <c r="AO678"/>
      <c r="AP678"/>
      <c r="AQ678"/>
      <c r="AR678"/>
      <c r="AS678"/>
      <c r="AT678"/>
      <c r="AU678"/>
      <c r="AV678" s="1" t="s">
        <v>38</v>
      </c>
      <c r="BG678" s="7" t="s">
        <v>1242</v>
      </c>
    </row>
    <row r="679" spans="1:59" s="1" customFormat="1" ht="54" x14ac:dyDescent="0.45">
      <c r="A679" s="5">
        <v>678</v>
      </c>
      <c r="B679" s="1" t="s">
        <v>11291</v>
      </c>
      <c r="C679" s="6"/>
      <c r="J679" s="1" t="s">
        <v>7557</v>
      </c>
      <c r="K679" s="2" t="s">
        <v>10529</v>
      </c>
      <c r="P679" s="7" t="s">
        <v>1241</v>
      </c>
      <c r="Q679"/>
      <c r="R679"/>
      <c r="S679"/>
      <c r="T679"/>
      <c r="U679"/>
      <c r="V679"/>
      <c r="W679"/>
      <c r="X679"/>
      <c r="Y679"/>
      <c r="Z679"/>
      <c r="AA679"/>
      <c r="AB679"/>
      <c r="AC679"/>
      <c r="AD679"/>
      <c r="AE679"/>
      <c r="AF679"/>
      <c r="AG679"/>
      <c r="AH679"/>
      <c r="AI679"/>
      <c r="AJ679"/>
      <c r="AK679"/>
      <c r="AL679"/>
      <c r="AM679"/>
      <c r="AN679"/>
      <c r="AO679"/>
      <c r="AP679"/>
      <c r="AQ679"/>
      <c r="AR679"/>
      <c r="AS679"/>
      <c r="AT679"/>
      <c r="AU679"/>
      <c r="AV679" s="1" t="s">
        <v>38</v>
      </c>
      <c r="BG679" s="7" t="s">
        <v>1242</v>
      </c>
    </row>
    <row r="680" spans="1:59" s="1" customFormat="1" ht="36" x14ac:dyDescent="0.45">
      <c r="A680" s="5">
        <v>679</v>
      </c>
      <c r="B680" s="1" t="s">
        <v>11292</v>
      </c>
      <c r="C680" s="6"/>
      <c r="J680" s="1" t="s">
        <v>7557</v>
      </c>
      <c r="K680" s="2" t="s">
        <v>10530</v>
      </c>
      <c r="P680" s="7" t="s">
        <v>1241</v>
      </c>
      <c r="Q680"/>
      <c r="R680"/>
      <c r="S680"/>
      <c r="T680"/>
      <c r="U680"/>
      <c r="V680"/>
      <c r="W680"/>
      <c r="X680"/>
      <c r="Y680"/>
      <c r="Z680"/>
      <c r="AA680"/>
      <c r="AB680"/>
      <c r="AC680"/>
      <c r="AD680"/>
      <c r="AE680"/>
      <c r="AF680"/>
      <c r="AG680"/>
      <c r="AH680"/>
      <c r="AI680"/>
      <c r="AJ680"/>
      <c r="AK680"/>
      <c r="AL680"/>
      <c r="AM680"/>
      <c r="AN680"/>
      <c r="AO680"/>
      <c r="AP680"/>
      <c r="AQ680"/>
      <c r="AR680"/>
      <c r="AS680"/>
      <c r="AT680"/>
      <c r="AU680"/>
      <c r="AV680" s="1" t="s">
        <v>38</v>
      </c>
      <c r="BG680" s="7" t="s">
        <v>1242</v>
      </c>
    </row>
    <row r="681" spans="1:59" s="1" customFormat="1" ht="54" x14ac:dyDescent="0.45">
      <c r="A681" s="5">
        <v>680</v>
      </c>
      <c r="B681" s="1" t="s">
        <v>11293</v>
      </c>
      <c r="C681" s="6"/>
      <c r="J681" s="1" t="s">
        <v>7557</v>
      </c>
      <c r="K681" s="2" t="s">
        <v>10531</v>
      </c>
      <c r="P681" s="7" t="s">
        <v>1241</v>
      </c>
      <c r="Q681"/>
      <c r="R681"/>
      <c r="S681"/>
      <c r="T681"/>
      <c r="U681"/>
      <c r="V681"/>
      <c r="W681"/>
      <c r="X681"/>
      <c r="Y681"/>
      <c r="Z681"/>
      <c r="AA681"/>
      <c r="AB681"/>
      <c r="AC681"/>
      <c r="AD681"/>
      <c r="AE681"/>
      <c r="AF681"/>
      <c r="AG681"/>
      <c r="AH681"/>
      <c r="AI681"/>
      <c r="AJ681"/>
      <c r="AK681"/>
      <c r="AL681"/>
      <c r="AM681"/>
      <c r="AN681"/>
      <c r="AO681"/>
      <c r="AP681"/>
      <c r="AQ681"/>
      <c r="AR681"/>
      <c r="AS681"/>
      <c r="AT681"/>
      <c r="AU681"/>
      <c r="AV681" s="1" t="s">
        <v>38</v>
      </c>
      <c r="BG681" s="7" t="s">
        <v>1242</v>
      </c>
    </row>
    <row r="682" spans="1:59" s="1" customFormat="1" ht="90" x14ac:dyDescent="0.45">
      <c r="A682" s="5">
        <v>681</v>
      </c>
      <c r="B682" s="1" t="s">
        <v>11294</v>
      </c>
      <c r="C682" s="6"/>
      <c r="J682" s="1" t="s">
        <v>7557</v>
      </c>
      <c r="K682" s="2" t="s">
        <v>11691</v>
      </c>
      <c r="P682" s="7" t="s">
        <v>1241</v>
      </c>
      <c r="Q682"/>
      <c r="R682"/>
      <c r="S682"/>
      <c r="T682"/>
      <c r="U682"/>
      <c r="V682"/>
      <c r="W682"/>
      <c r="X682"/>
      <c r="Y682"/>
      <c r="Z682"/>
      <c r="AA682"/>
      <c r="AB682"/>
      <c r="AC682"/>
      <c r="AD682"/>
      <c r="AE682"/>
      <c r="AF682"/>
      <c r="AG682"/>
      <c r="AH682"/>
      <c r="AI682"/>
      <c r="AJ682"/>
      <c r="AK682"/>
      <c r="AL682"/>
      <c r="AM682"/>
      <c r="AN682"/>
      <c r="AO682"/>
      <c r="AP682"/>
      <c r="AQ682"/>
      <c r="AR682"/>
      <c r="AS682"/>
      <c r="AT682"/>
      <c r="AU682"/>
      <c r="AV682" s="1" t="s">
        <v>38</v>
      </c>
      <c r="BG682" s="7" t="s">
        <v>1242</v>
      </c>
    </row>
    <row r="683" spans="1:59" s="1" customFormat="1" ht="54" x14ac:dyDescent="0.45">
      <c r="A683" s="5">
        <v>682</v>
      </c>
      <c r="B683" s="1" t="s">
        <v>11295</v>
      </c>
      <c r="C683" s="6"/>
      <c r="J683" s="1" t="s">
        <v>7557</v>
      </c>
      <c r="K683" s="2" t="s">
        <v>10532</v>
      </c>
      <c r="P683" s="7" t="s">
        <v>1241</v>
      </c>
      <c r="Q683"/>
      <c r="R683"/>
      <c r="S683"/>
      <c r="T683"/>
      <c r="U683"/>
      <c r="V683"/>
      <c r="W683"/>
      <c r="X683"/>
      <c r="Y683"/>
      <c r="Z683"/>
      <c r="AA683"/>
      <c r="AB683"/>
      <c r="AC683"/>
      <c r="AD683"/>
      <c r="AE683"/>
      <c r="AF683"/>
      <c r="AG683"/>
      <c r="AH683"/>
      <c r="AI683"/>
      <c r="AJ683"/>
      <c r="AK683"/>
      <c r="AL683"/>
      <c r="AM683"/>
      <c r="AN683"/>
      <c r="AO683"/>
      <c r="AP683"/>
      <c r="AQ683"/>
      <c r="AR683"/>
      <c r="AS683"/>
      <c r="AT683"/>
      <c r="AU683"/>
      <c r="AV683" s="1" t="s">
        <v>38</v>
      </c>
      <c r="BG683" s="7" t="s">
        <v>1242</v>
      </c>
    </row>
    <row r="684" spans="1:59" s="1" customFormat="1" ht="72" x14ac:dyDescent="0.45">
      <c r="A684" s="5">
        <v>683</v>
      </c>
      <c r="B684" s="1" t="s">
        <v>11296</v>
      </c>
      <c r="C684" s="6"/>
      <c r="J684" s="1" t="s">
        <v>7557</v>
      </c>
      <c r="K684" s="2" t="s">
        <v>10533</v>
      </c>
      <c r="P684" s="7" t="s">
        <v>1241</v>
      </c>
      <c r="Q684"/>
      <c r="R684"/>
      <c r="S684"/>
      <c r="T684"/>
      <c r="U684"/>
      <c r="V684"/>
      <c r="W684"/>
      <c r="X684"/>
      <c r="Y684"/>
      <c r="Z684"/>
      <c r="AA684"/>
      <c r="AB684"/>
      <c r="AC684"/>
      <c r="AD684"/>
      <c r="AE684"/>
      <c r="AF684"/>
      <c r="AG684"/>
      <c r="AH684"/>
      <c r="AI684"/>
      <c r="AJ684"/>
      <c r="AK684"/>
      <c r="AL684"/>
      <c r="AM684"/>
      <c r="AN684"/>
      <c r="AO684"/>
      <c r="AP684"/>
      <c r="AQ684"/>
      <c r="AR684"/>
      <c r="AS684"/>
      <c r="AT684"/>
      <c r="AU684"/>
      <c r="AV684" s="1" t="s">
        <v>38</v>
      </c>
      <c r="BG684" s="7" t="s">
        <v>1242</v>
      </c>
    </row>
    <row r="685" spans="1:59" s="1" customFormat="1" ht="72" x14ac:dyDescent="0.45">
      <c r="A685" s="5">
        <v>684</v>
      </c>
      <c r="B685" s="1" t="s">
        <v>11297</v>
      </c>
      <c r="C685" s="6"/>
      <c r="J685" s="1" t="s">
        <v>7557</v>
      </c>
      <c r="K685" s="2" t="s">
        <v>11692</v>
      </c>
      <c r="P685" s="7" t="s">
        <v>1241</v>
      </c>
      <c r="Q685"/>
      <c r="R685"/>
      <c r="S685"/>
      <c r="T685"/>
      <c r="U685"/>
      <c r="V685"/>
      <c r="W685"/>
      <c r="X685"/>
      <c r="Y685"/>
      <c r="Z685"/>
      <c r="AA685"/>
      <c r="AB685"/>
      <c r="AC685"/>
      <c r="AD685"/>
      <c r="AE685"/>
      <c r="AF685"/>
      <c r="AG685"/>
      <c r="AH685"/>
      <c r="AI685"/>
      <c r="AJ685"/>
      <c r="AK685"/>
      <c r="AL685"/>
      <c r="AM685"/>
      <c r="AN685"/>
      <c r="AO685"/>
      <c r="AP685"/>
      <c r="AQ685"/>
      <c r="AR685"/>
      <c r="AS685"/>
      <c r="AT685"/>
      <c r="AU685"/>
      <c r="AV685" s="1" t="s">
        <v>38</v>
      </c>
      <c r="BG685" s="7" t="s">
        <v>1242</v>
      </c>
    </row>
    <row r="686" spans="1:59" s="1" customFormat="1" ht="54" x14ac:dyDescent="0.45">
      <c r="A686" s="5">
        <v>685</v>
      </c>
      <c r="B686" s="1" t="s">
        <v>11298</v>
      </c>
      <c r="C686" s="6"/>
      <c r="J686" s="1" t="s">
        <v>7557</v>
      </c>
      <c r="K686" s="2" t="s">
        <v>10534</v>
      </c>
      <c r="P686" s="7" t="s">
        <v>1241</v>
      </c>
      <c r="Q686"/>
      <c r="R686"/>
      <c r="S686"/>
      <c r="T686"/>
      <c r="U686"/>
      <c r="V686"/>
      <c r="W686"/>
      <c r="X686"/>
      <c r="Y686"/>
      <c r="Z686"/>
      <c r="AA686"/>
      <c r="AB686"/>
      <c r="AC686"/>
      <c r="AD686"/>
      <c r="AE686"/>
      <c r="AF686"/>
      <c r="AG686"/>
      <c r="AH686"/>
      <c r="AI686"/>
      <c r="AJ686"/>
      <c r="AK686"/>
      <c r="AL686"/>
      <c r="AM686"/>
      <c r="AN686"/>
      <c r="AO686"/>
      <c r="AP686"/>
      <c r="AQ686"/>
      <c r="AR686"/>
      <c r="AS686"/>
      <c r="AT686"/>
      <c r="AU686"/>
      <c r="AV686" s="1" t="s">
        <v>38</v>
      </c>
      <c r="BG686" s="7" t="s">
        <v>1242</v>
      </c>
    </row>
    <row r="687" spans="1:59" s="1" customFormat="1" ht="108" x14ac:dyDescent="0.45">
      <c r="A687" s="5">
        <v>686</v>
      </c>
      <c r="B687" s="1" t="s">
        <v>11299</v>
      </c>
      <c r="C687" s="6"/>
      <c r="J687" s="1" t="s">
        <v>7557</v>
      </c>
      <c r="K687" s="2" t="s">
        <v>11693</v>
      </c>
      <c r="P687" s="7" t="s">
        <v>1241</v>
      </c>
      <c r="Q687"/>
      <c r="R687"/>
      <c r="S687"/>
      <c r="T687"/>
      <c r="U687"/>
      <c r="V687"/>
      <c r="W687"/>
      <c r="X687"/>
      <c r="Y687"/>
      <c r="Z687"/>
      <c r="AA687"/>
      <c r="AB687"/>
      <c r="AC687"/>
      <c r="AD687"/>
      <c r="AE687"/>
      <c r="AF687"/>
      <c r="AG687"/>
      <c r="AH687"/>
      <c r="AI687"/>
      <c r="AJ687"/>
      <c r="AK687"/>
      <c r="AL687"/>
      <c r="AM687"/>
      <c r="AN687"/>
      <c r="AO687"/>
      <c r="AP687"/>
      <c r="AQ687"/>
      <c r="AR687"/>
      <c r="AS687"/>
      <c r="AT687"/>
      <c r="AU687"/>
      <c r="AV687" s="1" t="s">
        <v>38</v>
      </c>
      <c r="BG687" s="7" t="s">
        <v>1242</v>
      </c>
    </row>
    <row r="688" spans="1:59" s="1" customFormat="1" ht="72" x14ac:dyDescent="0.45">
      <c r="A688" s="5">
        <v>687</v>
      </c>
      <c r="B688" s="1" t="s">
        <v>11300</v>
      </c>
      <c r="C688" s="6"/>
      <c r="J688" s="1" t="s">
        <v>7557</v>
      </c>
      <c r="K688" s="2" t="s">
        <v>11694</v>
      </c>
      <c r="P688" s="7" t="s">
        <v>1241</v>
      </c>
      <c r="Q688"/>
      <c r="R688"/>
      <c r="S688"/>
      <c r="T688"/>
      <c r="U688"/>
      <c r="V688"/>
      <c r="W688"/>
      <c r="X688"/>
      <c r="Y688"/>
      <c r="Z688"/>
      <c r="AA688"/>
      <c r="AB688"/>
      <c r="AC688"/>
      <c r="AD688"/>
      <c r="AE688"/>
      <c r="AF688"/>
      <c r="AG688"/>
      <c r="AH688"/>
      <c r="AI688"/>
      <c r="AJ688"/>
      <c r="AK688"/>
      <c r="AL688"/>
      <c r="AM688"/>
      <c r="AN688"/>
      <c r="AO688"/>
      <c r="AP688"/>
      <c r="AQ688"/>
      <c r="AR688"/>
      <c r="AS688"/>
      <c r="AT688"/>
      <c r="AU688"/>
      <c r="AV688" s="1" t="s">
        <v>38</v>
      </c>
      <c r="BG688" s="7" t="s">
        <v>1242</v>
      </c>
    </row>
    <row r="689" spans="1:59" s="1" customFormat="1" ht="126" x14ac:dyDescent="0.45">
      <c r="A689" s="5">
        <v>688</v>
      </c>
      <c r="B689" s="1" t="s">
        <v>11301</v>
      </c>
      <c r="C689" s="6"/>
      <c r="J689" s="1" t="s">
        <v>7557</v>
      </c>
      <c r="K689" s="2" t="s">
        <v>11695</v>
      </c>
      <c r="P689" s="7" t="s">
        <v>1241</v>
      </c>
      <c r="Q689"/>
      <c r="R689"/>
      <c r="S689"/>
      <c r="T689"/>
      <c r="U689"/>
      <c r="V689"/>
      <c r="W689"/>
      <c r="X689"/>
      <c r="Y689"/>
      <c r="Z689"/>
      <c r="AA689"/>
      <c r="AB689"/>
      <c r="AC689"/>
      <c r="AD689"/>
      <c r="AE689"/>
      <c r="AF689"/>
      <c r="AG689"/>
      <c r="AH689"/>
      <c r="AI689"/>
      <c r="AJ689"/>
      <c r="AK689"/>
      <c r="AL689"/>
      <c r="AM689"/>
      <c r="AN689"/>
      <c r="AO689"/>
      <c r="AP689"/>
      <c r="AQ689"/>
      <c r="AR689"/>
      <c r="AS689"/>
      <c r="AT689"/>
      <c r="AU689"/>
      <c r="AV689" s="1" t="s">
        <v>38</v>
      </c>
      <c r="BG689" s="7" t="s">
        <v>1242</v>
      </c>
    </row>
    <row r="690" spans="1:59" s="1" customFormat="1" ht="72" x14ac:dyDescent="0.45">
      <c r="A690" s="5">
        <v>689</v>
      </c>
      <c r="B690" s="1" t="s">
        <v>11302</v>
      </c>
      <c r="C690" s="6"/>
      <c r="J690" s="1" t="s">
        <v>7557</v>
      </c>
      <c r="K690" s="2" t="s">
        <v>10535</v>
      </c>
      <c r="P690" s="7" t="s">
        <v>1241</v>
      </c>
      <c r="Q690"/>
      <c r="R690"/>
      <c r="S690"/>
      <c r="T690"/>
      <c r="U690"/>
      <c r="V690"/>
      <c r="W690"/>
      <c r="X690"/>
      <c r="Y690"/>
      <c r="Z690"/>
      <c r="AA690"/>
      <c r="AB690"/>
      <c r="AC690"/>
      <c r="AD690"/>
      <c r="AE690"/>
      <c r="AF690"/>
      <c r="AG690"/>
      <c r="AH690"/>
      <c r="AI690"/>
      <c r="AJ690"/>
      <c r="AK690"/>
      <c r="AL690"/>
      <c r="AM690"/>
      <c r="AN690"/>
      <c r="AO690"/>
      <c r="AP690"/>
      <c r="AQ690"/>
      <c r="AR690"/>
      <c r="AS690"/>
      <c r="AT690"/>
      <c r="AU690"/>
      <c r="AV690" s="1" t="s">
        <v>38</v>
      </c>
      <c r="BG690" s="7" t="s">
        <v>1242</v>
      </c>
    </row>
    <row r="691" spans="1:59" s="1" customFormat="1" ht="162" x14ac:dyDescent="0.45">
      <c r="A691" s="5">
        <v>690</v>
      </c>
      <c r="B691" s="1" t="s">
        <v>11303</v>
      </c>
      <c r="C691" s="6"/>
      <c r="J691" s="1" t="s">
        <v>7557</v>
      </c>
      <c r="K691" s="2" t="s">
        <v>10536</v>
      </c>
      <c r="P691" s="7" t="s">
        <v>1241</v>
      </c>
      <c r="Q691"/>
      <c r="R691"/>
      <c r="S691"/>
      <c r="T691"/>
      <c r="U691"/>
      <c r="V691"/>
      <c r="W691"/>
      <c r="X691"/>
      <c r="Y691"/>
      <c r="Z691"/>
      <c r="AA691"/>
      <c r="AB691"/>
      <c r="AC691"/>
      <c r="AD691"/>
      <c r="AE691"/>
      <c r="AF691"/>
      <c r="AG691"/>
      <c r="AH691"/>
      <c r="AI691"/>
      <c r="AJ691"/>
      <c r="AK691"/>
      <c r="AL691"/>
      <c r="AM691"/>
      <c r="AN691"/>
      <c r="AO691"/>
      <c r="AP691"/>
      <c r="AQ691"/>
      <c r="AR691"/>
      <c r="AS691"/>
      <c r="AT691"/>
      <c r="AU691"/>
      <c r="AV691" s="1" t="s">
        <v>38</v>
      </c>
      <c r="BG691" s="7" t="s">
        <v>1242</v>
      </c>
    </row>
    <row r="692" spans="1:59" s="1" customFormat="1" ht="108" x14ac:dyDescent="0.45">
      <c r="A692" s="5">
        <v>691</v>
      </c>
      <c r="B692" s="1" t="s">
        <v>11304</v>
      </c>
      <c r="C692" s="6"/>
      <c r="J692" s="1" t="s">
        <v>7557</v>
      </c>
      <c r="K692" s="2" t="s">
        <v>10537</v>
      </c>
      <c r="P692" s="7" t="s">
        <v>1241</v>
      </c>
      <c r="Q692"/>
      <c r="R692"/>
      <c r="S692"/>
      <c r="T692"/>
      <c r="U692"/>
      <c r="V692"/>
      <c r="W692"/>
      <c r="X692"/>
      <c r="Y692"/>
      <c r="Z692"/>
      <c r="AA692"/>
      <c r="AB692"/>
      <c r="AC692"/>
      <c r="AD692"/>
      <c r="AE692"/>
      <c r="AF692"/>
      <c r="AG692"/>
      <c r="AH692"/>
      <c r="AI692"/>
      <c r="AJ692"/>
      <c r="AK692"/>
      <c r="AL692"/>
      <c r="AM692"/>
      <c r="AN692"/>
      <c r="AO692"/>
      <c r="AP692"/>
      <c r="AQ692"/>
      <c r="AR692"/>
      <c r="AS692"/>
      <c r="AT692"/>
      <c r="AU692"/>
      <c r="AV692" s="1" t="s">
        <v>38</v>
      </c>
      <c r="BG692" s="7" t="s">
        <v>1242</v>
      </c>
    </row>
    <row r="693" spans="1:59" s="1" customFormat="1" ht="72" x14ac:dyDescent="0.45">
      <c r="A693" s="5">
        <v>692</v>
      </c>
      <c r="B693" s="1" t="s">
        <v>11305</v>
      </c>
      <c r="C693" s="6"/>
      <c r="J693" s="1" t="s">
        <v>7557</v>
      </c>
      <c r="K693" s="2" t="s">
        <v>10538</v>
      </c>
      <c r="P693" s="7" t="s">
        <v>1241</v>
      </c>
      <c r="Q693"/>
      <c r="R693"/>
      <c r="S693"/>
      <c r="T693"/>
      <c r="U693"/>
      <c r="V693"/>
      <c r="W693"/>
      <c r="X693"/>
      <c r="Y693"/>
      <c r="Z693"/>
      <c r="AA693"/>
      <c r="AB693"/>
      <c r="AC693"/>
      <c r="AD693"/>
      <c r="AE693"/>
      <c r="AF693"/>
      <c r="AG693"/>
      <c r="AH693"/>
      <c r="AI693"/>
      <c r="AJ693"/>
      <c r="AK693"/>
      <c r="AL693"/>
      <c r="AM693"/>
      <c r="AN693"/>
      <c r="AO693"/>
      <c r="AP693"/>
      <c r="AQ693"/>
      <c r="AR693"/>
      <c r="AS693"/>
      <c r="AT693"/>
      <c r="AU693"/>
      <c r="AV693" s="1" t="s">
        <v>38</v>
      </c>
      <c r="BG693" s="7" t="s">
        <v>1242</v>
      </c>
    </row>
    <row r="694" spans="1:59" s="1" customFormat="1" ht="54" x14ac:dyDescent="0.45">
      <c r="A694" s="5">
        <v>693</v>
      </c>
      <c r="B694" s="1" t="s">
        <v>11306</v>
      </c>
      <c r="C694" s="6"/>
      <c r="J694" s="1" t="s">
        <v>7557</v>
      </c>
      <c r="K694" s="2" t="s">
        <v>11696</v>
      </c>
      <c r="P694" s="7" t="s">
        <v>1241</v>
      </c>
      <c r="Q694"/>
      <c r="R694"/>
      <c r="S694"/>
      <c r="T694"/>
      <c r="U694"/>
      <c r="V694"/>
      <c r="W694"/>
      <c r="X694"/>
      <c r="Y694"/>
      <c r="Z694"/>
      <c r="AA694"/>
      <c r="AB694"/>
      <c r="AC694"/>
      <c r="AD694"/>
      <c r="AE694"/>
      <c r="AF694"/>
      <c r="AG694"/>
      <c r="AH694"/>
      <c r="AI694"/>
      <c r="AJ694"/>
      <c r="AK694"/>
      <c r="AL694"/>
      <c r="AM694"/>
      <c r="AN694"/>
      <c r="AO694"/>
      <c r="AP694"/>
      <c r="AQ694"/>
      <c r="AR694"/>
      <c r="AS694"/>
      <c r="AT694"/>
      <c r="AU694"/>
      <c r="AV694" s="1" t="s">
        <v>38</v>
      </c>
      <c r="BG694" s="7" t="s">
        <v>1242</v>
      </c>
    </row>
    <row r="695" spans="1:59" s="1" customFormat="1" ht="72" x14ac:dyDescent="0.45">
      <c r="A695" s="5">
        <v>694</v>
      </c>
      <c r="B695" s="1" t="s">
        <v>11307</v>
      </c>
      <c r="C695" s="6"/>
      <c r="J695" s="1" t="s">
        <v>7557</v>
      </c>
      <c r="K695" s="2" t="s">
        <v>10539</v>
      </c>
      <c r="P695" s="7" t="s">
        <v>1241</v>
      </c>
      <c r="Q695"/>
      <c r="R695"/>
      <c r="S695"/>
      <c r="T695"/>
      <c r="U695"/>
      <c r="V695"/>
      <c r="W695"/>
      <c r="X695"/>
      <c r="Y695"/>
      <c r="Z695"/>
      <c r="AA695"/>
      <c r="AB695"/>
      <c r="AC695"/>
      <c r="AD695"/>
      <c r="AE695"/>
      <c r="AF695"/>
      <c r="AG695"/>
      <c r="AH695"/>
      <c r="AI695"/>
      <c r="AJ695"/>
      <c r="AK695"/>
      <c r="AL695"/>
      <c r="AM695"/>
      <c r="AN695"/>
      <c r="AO695"/>
      <c r="AP695"/>
      <c r="AQ695"/>
      <c r="AR695"/>
      <c r="AS695"/>
      <c r="AT695"/>
      <c r="AU695"/>
      <c r="AV695" s="1" t="s">
        <v>38</v>
      </c>
      <c r="BG695" s="7" t="s">
        <v>1242</v>
      </c>
    </row>
    <row r="696" spans="1:59" s="1" customFormat="1" ht="54" x14ac:dyDescent="0.45">
      <c r="A696" s="5">
        <v>695</v>
      </c>
      <c r="B696" s="1" t="s">
        <v>11308</v>
      </c>
      <c r="C696" s="6"/>
      <c r="J696" s="1" t="s">
        <v>7557</v>
      </c>
      <c r="K696" s="2" t="s">
        <v>11697</v>
      </c>
      <c r="P696" s="7" t="s">
        <v>1241</v>
      </c>
      <c r="Q696"/>
      <c r="R696"/>
      <c r="S696"/>
      <c r="T696"/>
      <c r="U696"/>
      <c r="V696"/>
      <c r="W696"/>
      <c r="X696"/>
      <c r="Y696"/>
      <c r="Z696"/>
      <c r="AA696"/>
      <c r="AB696"/>
      <c r="AC696"/>
      <c r="AD696"/>
      <c r="AE696"/>
      <c r="AF696"/>
      <c r="AG696"/>
      <c r="AH696"/>
      <c r="AI696"/>
      <c r="AJ696"/>
      <c r="AK696"/>
      <c r="AL696"/>
      <c r="AM696"/>
      <c r="AN696"/>
      <c r="AO696"/>
      <c r="AP696"/>
      <c r="AQ696"/>
      <c r="AR696"/>
      <c r="AS696"/>
      <c r="AT696"/>
      <c r="AU696"/>
      <c r="AV696" s="1" t="s">
        <v>38</v>
      </c>
      <c r="BG696" s="7" t="s">
        <v>1242</v>
      </c>
    </row>
    <row r="697" spans="1:59" s="1" customFormat="1" ht="54" x14ac:dyDescent="0.45">
      <c r="A697" s="5">
        <v>696</v>
      </c>
      <c r="B697" s="1" t="s">
        <v>11309</v>
      </c>
      <c r="C697" s="6"/>
      <c r="J697" s="1" t="s">
        <v>7557</v>
      </c>
      <c r="K697" s="2" t="s">
        <v>11681</v>
      </c>
      <c r="P697" s="7" t="s">
        <v>1241</v>
      </c>
      <c r="Q697"/>
      <c r="R697"/>
      <c r="S697"/>
      <c r="T697"/>
      <c r="U697"/>
      <c r="V697"/>
      <c r="W697"/>
      <c r="X697"/>
      <c r="Y697"/>
      <c r="Z697"/>
      <c r="AA697"/>
      <c r="AB697"/>
      <c r="AC697"/>
      <c r="AD697"/>
      <c r="AE697"/>
      <c r="AF697"/>
      <c r="AG697"/>
      <c r="AH697"/>
      <c r="AI697"/>
      <c r="AJ697"/>
      <c r="AK697"/>
      <c r="AL697"/>
      <c r="AM697"/>
      <c r="AN697"/>
      <c r="AO697"/>
      <c r="AP697"/>
      <c r="AQ697"/>
      <c r="AR697"/>
      <c r="AS697"/>
      <c r="AT697"/>
      <c r="AU697"/>
      <c r="AV697" s="1" t="s">
        <v>38</v>
      </c>
      <c r="BG697" s="7" t="s">
        <v>1242</v>
      </c>
    </row>
    <row r="698" spans="1:59" s="1" customFormat="1" ht="90" x14ac:dyDescent="0.45">
      <c r="A698" s="5">
        <v>697</v>
      </c>
      <c r="B698" s="1" t="s">
        <v>11310</v>
      </c>
      <c r="C698" s="6"/>
      <c r="J698" s="1" t="s">
        <v>7557</v>
      </c>
      <c r="K698" s="2" t="s">
        <v>10540</v>
      </c>
      <c r="P698" s="7" t="s">
        <v>1241</v>
      </c>
      <c r="Q698"/>
      <c r="R698"/>
      <c r="S698"/>
      <c r="T698"/>
      <c r="U698"/>
      <c r="V698"/>
      <c r="W698"/>
      <c r="X698"/>
      <c r="Y698"/>
      <c r="Z698"/>
      <c r="AA698"/>
      <c r="AB698"/>
      <c r="AC698"/>
      <c r="AD698"/>
      <c r="AE698"/>
      <c r="AF698"/>
      <c r="AG698"/>
      <c r="AH698"/>
      <c r="AI698"/>
      <c r="AJ698"/>
      <c r="AK698"/>
      <c r="AL698"/>
      <c r="AM698"/>
      <c r="AN698"/>
      <c r="AO698"/>
      <c r="AP698"/>
      <c r="AQ698"/>
      <c r="AR698"/>
      <c r="AS698"/>
      <c r="AT698"/>
      <c r="AU698"/>
      <c r="AV698" s="1" t="s">
        <v>38</v>
      </c>
      <c r="BG698" s="7" t="s">
        <v>1242</v>
      </c>
    </row>
    <row r="699" spans="1:59" s="1" customFormat="1" ht="54" x14ac:dyDescent="0.45">
      <c r="A699" s="5">
        <v>698</v>
      </c>
      <c r="B699" s="1" t="s">
        <v>11311</v>
      </c>
      <c r="C699" s="6"/>
      <c r="J699" s="1" t="s">
        <v>7557</v>
      </c>
      <c r="K699" s="2" t="s">
        <v>10541</v>
      </c>
      <c r="P699" s="7" t="s">
        <v>1241</v>
      </c>
      <c r="Q699"/>
      <c r="R699"/>
      <c r="S699"/>
      <c r="T699"/>
      <c r="U699"/>
      <c r="V699"/>
      <c r="W699"/>
      <c r="X699"/>
      <c r="Y699"/>
      <c r="Z699"/>
      <c r="AA699"/>
      <c r="AB699"/>
      <c r="AC699"/>
      <c r="AD699"/>
      <c r="AE699"/>
      <c r="AF699"/>
      <c r="AG699"/>
      <c r="AH699"/>
      <c r="AI699"/>
      <c r="AJ699"/>
      <c r="AK699"/>
      <c r="AL699"/>
      <c r="AM699"/>
      <c r="AN699"/>
      <c r="AO699"/>
      <c r="AP699"/>
      <c r="AQ699"/>
      <c r="AR699"/>
      <c r="AS699"/>
      <c r="AT699"/>
      <c r="AU699"/>
      <c r="AV699" s="1" t="s">
        <v>38</v>
      </c>
      <c r="BG699" s="7" t="s">
        <v>1242</v>
      </c>
    </row>
    <row r="700" spans="1:59" s="1" customFormat="1" ht="54" x14ac:dyDescent="0.45">
      <c r="A700" s="5">
        <v>699</v>
      </c>
      <c r="B700" s="1" t="s">
        <v>11312</v>
      </c>
      <c r="C700" s="6"/>
      <c r="J700" s="1" t="s">
        <v>7557</v>
      </c>
      <c r="K700" s="2" t="s">
        <v>10542</v>
      </c>
      <c r="P700" s="7" t="s">
        <v>1241</v>
      </c>
      <c r="Q700"/>
      <c r="R700"/>
      <c r="S700"/>
      <c r="T700"/>
      <c r="U700"/>
      <c r="V700"/>
      <c r="W700"/>
      <c r="X700"/>
      <c r="Y700"/>
      <c r="Z700"/>
      <c r="AA700"/>
      <c r="AB700"/>
      <c r="AC700"/>
      <c r="AD700"/>
      <c r="AE700"/>
      <c r="AF700"/>
      <c r="AG700"/>
      <c r="AH700"/>
      <c r="AI700"/>
      <c r="AJ700"/>
      <c r="AK700"/>
      <c r="AL700"/>
      <c r="AM700"/>
      <c r="AN700"/>
      <c r="AO700"/>
      <c r="AP700"/>
      <c r="AQ700"/>
      <c r="AR700"/>
      <c r="AS700"/>
      <c r="AT700"/>
      <c r="AU700"/>
      <c r="AV700" s="1" t="s">
        <v>38</v>
      </c>
      <c r="BG700" s="7" t="s">
        <v>1242</v>
      </c>
    </row>
    <row r="701" spans="1:59" s="1" customFormat="1" ht="144" x14ac:dyDescent="0.45">
      <c r="A701" s="5">
        <v>700</v>
      </c>
      <c r="B701" s="1" t="s">
        <v>11313</v>
      </c>
      <c r="C701" s="6"/>
      <c r="J701" s="1" t="s">
        <v>7557</v>
      </c>
      <c r="K701" s="2" t="s">
        <v>10543</v>
      </c>
      <c r="P701" s="7" t="s">
        <v>1241</v>
      </c>
      <c r="Q701"/>
      <c r="R701"/>
      <c r="S701"/>
      <c r="T701"/>
      <c r="U701"/>
      <c r="V701"/>
      <c r="W701"/>
      <c r="X701"/>
      <c r="Y701"/>
      <c r="Z701"/>
      <c r="AA701"/>
      <c r="AB701"/>
      <c r="AC701"/>
      <c r="AD701"/>
      <c r="AE701"/>
      <c r="AF701"/>
      <c r="AG701"/>
      <c r="AH701"/>
      <c r="AI701"/>
      <c r="AJ701"/>
      <c r="AK701"/>
      <c r="AL701"/>
      <c r="AM701"/>
      <c r="AN701"/>
      <c r="AO701"/>
      <c r="AP701"/>
      <c r="AQ701"/>
      <c r="AR701"/>
      <c r="AS701"/>
      <c r="AT701"/>
      <c r="AU701"/>
      <c r="AV701" s="1" t="s">
        <v>38</v>
      </c>
      <c r="BG701" s="7" t="s">
        <v>1242</v>
      </c>
    </row>
    <row r="702" spans="1:59" s="1" customFormat="1" ht="108" x14ac:dyDescent="0.45">
      <c r="A702" s="5">
        <v>701</v>
      </c>
      <c r="B702" s="1" t="s">
        <v>11314</v>
      </c>
      <c r="C702" s="6"/>
      <c r="J702" s="1" t="s">
        <v>7557</v>
      </c>
      <c r="K702" s="2" t="s">
        <v>10544</v>
      </c>
      <c r="P702" s="7" t="s">
        <v>1241</v>
      </c>
      <c r="Q702"/>
      <c r="R702"/>
      <c r="S702"/>
      <c r="T702"/>
      <c r="U702"/>
      <c r="V702"/>
      <c r="W702"/>
      <c r="X702"/>
      <c r="Y702"/>
      <c r="Z702"/>
      <c r="AA702"/>
      <c r="AB702"/>
      <c r="AC702"/>
      <c r="AD702"/>
      <c r="AE702"/>
      <c r="AF702"/>
      <c r="AG702"/>
      <c r="AH702"/>
      <c r="AI702"/>
      <c r="AJ702"/>
      <c r="AK702"/>
      <c r="AL702"/>
      <c r="AM702"/>
      <c r="AN702"/>
      <c r="AO702"/>
      <c r="AP702"/>
      <c r="AQ702"/>
      <c r="AR702"/>
      <c r="AS702"/>
      <c r="AT702"/>
      <c r="AU702"/>
      <c r="AV702" s="1" t="s">
        <v>38</v>
      </c>
      <c r="BG702" s="7" t="s">
        <v>1242</v>
      </c>
    </row>
    <row r="703" spans="1:59" s="1" customFormat="1" ht="72" x14ac:dyDescent="0.45">
      <c r="A703" s="5">
        <v>702</v>
      </c>
      <c r="B703" s="1" t="s">
        <v>11315</v>
      </c>
      <c r="C703" s="6"/>
      <c r="J703" s="1" t="s">
        <v>7557</v>
      </c>
      <c r="K703" s="2" t="s">
        <v>11698</v>
      </c>
      <c r="P703" s="7" t="s">
        <v>1241</v>
      </c>
      <c r="Q703"/>
      <c r="R703"/>
      <c r="S703"/>
      <c r="T703"/>
      <c r="U703"/>
      <c r="V703"/>
      <c r="W703"/>
      <c r="X703"/>
      <c r="Y703"/>
      <c r="Z703"/>
      <c r="AA703"/>
      <c r="AB703"/>
      <c r="AC703"/>
      <c r="AD703"/>
      <c r="AE703"/>
      <c r="AF703"/>
      <c r="AG703"/>
      <c r="AH703"/>
      <c r="AI703"/>
      <c r="AJ703"/>
      <c r="AK703"/>
      <c r="AL703"/>
      <c r="AM703"/>
      <c r="AN703"/>
      <c r="AO703"/>
      <c r="AP703"/>
      <c r="AQ703"/>
      <c r="AR703"/>
      <c r="AS703"/>
      <c r="AT703"/>
      <c r="AU703"/>
      <c r="AV703" s="1" t="s">
        <v>38</v>
      </c>
      <c r="BG703" s="7" t="s">
        <v>1242</v>
      </c>
    </row>
    <row r="704" spans="1:59" s="1" customFormat="1" ht="198" x14ac:dyDescent="0.45">
      <c r="A704" s="5">
        <v>703</v>
      </c>
      <c r="B704" s="1" t="s">
        <v>11316</v>
      </c>
      <c r="C704" s="6"/>
      <c r="J704" s="1" t="s">
        <v>7557</v>
      </c>
      <c r="K704" s="2" t="s">
        <v>10545</v>
      </c>
      <c r="P704" s="7" t="s">
        <v>1241</v>
      </c>
      <c r="Q704"/>
      <c r="R704"/>
      <c r="S704"/>
      <c r="T704"/>
      <c r="U704"/>
      <c r="V704"/>
      <c r="W704"/>
      <c r="X704"/>
      <c r="Y704"/>
      <c r="Z704"/>
      <c r="AA704"/>
      <c r="AB704"/>
      <c r="AC704"/>
      <c r="AD704"/>
      <c r="AE704"/>
      <c r="AF704"/>
      <c r="AG704"/>
      <c r="AH704"/>
      <c r="AI704"/>
      <c r="AJ704"/>
      <c r="AK704"/>
      <c r="AL704"/>
      <c r="AM704"/>
      <c r="AN704"/>
      <c r="AO704"/>
      <c r="AP704"/>
      <c r="AQ704"/>
      <c r="AR704"/>
      <c r="AS704"/>
      <c r="AT704"/>
      <c r="AU704"/>
      <c r="AV704" s="1" t="s">
        <v>38</v>
      </c>
      <c r="BG704" s="7" t="s">
        <v>1242</v>
      </c>
    </row>
    <row r="705" spans="1:59" s="1" customFormat="1" ht="54" x14ac:dyDescent="0.45">
      <c r="A705" s="5">
        <v>704</v>
      </c>
      <c r="B705" s="1" t="s">
        <v>11317</v>
      </c>
      <c r="C705" s="6"/>
      <c r="J705" s="1" t="s">
        <v>7557</v>
      </c>
      <c r="K705" s="2" t="s">
        <v>10546</v>
      </c>
      <c r="P705" s="7" t="s">
        <v>1241</v>
      </c>
      <c r="Q705"/>
      <c r="R705"/>
      <c r="S705"/>
      <c r="T705"/>
      <c r="U705"/>
      <c r="V705"/>
      <c r="W705"/>
      <c r="X705"/>
      <c r="Y705"/>
      <c r="Z705"/>
      <c r="AA705"/>
      <c r="AB705"/>
      <c r="AC705"/>
      <c r="AD705"/>
      <c r="AE705"/>
      <c r="AF705"/>
      <c r="AG705"/>
      <c r="AH705"/>
      <c r="AI705"/>
      <c r="AJ705"/>
      <c r="AK705"/>
      <c r="AL705"/>
      <c r="AM705"/>
      <c r="AN705"/>
      <c r="AO705"/>
      <c r="AP705"/>
      <c r="AQ705"/>
      <c r="AR705"/>
      <c r="AS705"/>
      <c r="AT705"/>
      <c r="AU705"/>
      <c r="AV705" s="1" t="s">
        <v>38</v>
      </c>
      <c r="BG705" s="7" t="s">
        <v>1242</v>
      </c>
    </row>
    <row r="706" spans="1:59" s="1" customFormat="1" ht="360" x14ac:dyDescent="0.45">
      <c r="A706" s="5">
        <v>705</v>
      </c>
      <c r="B706" s="1" t="s">
        <v>11318</v>
      </c>
      <c r="C706" s="6"/>
      <c r="J706" s="1" t="s">
        <v>7557</v>
      </c>
      <c r="K706" s="2" t="s">
        <v>10547</v>
      </c>
      <c r="P706" s="7" t="s">
        <v>1241</v>
      </c>
      <c r="Q706"/>
      <c r="R706"/>
      <c r="S706"/>
      <c r="T706"/>
      <c r="U706"/>
      <c r="V706"/>
      <c r="W706"/>
      <c r="X706"/>
      <c r="Y706"/>
      <c r="Z706"/>
      <c r="AA706"/>
      <c r="AB706"/>
      <c r="AC706"/>
      <c r="AD706"/>
      <c r="AE706"/>
      <c r="AF706"/>
      <c r="AG706"/>
      <c r="AH706"/>
      <c r="AI706"/>
      <c r="AJ706"/>
      <c r="AK706"/>
      <c r="AL706"/>
      <c r="AM706"/>
      <c r="AN706"/>
      <c r="AO706"/>
      <c r="AP706"/>
      <c r="AQ706"/>
      <c r="AR706"/>
      <c r="AS706"/>
      <c r="AT706"/>
      <c r="AU706"/>
      <c r="AV706" s="1" t="s">
        <v>38</v>
      </c>
      <c r="BG706" s="7" t="s">
        <v>1242</v>
      </c>
    </row>
    <row r="707" spans="1:59" s="1" customFormat="1" ht="72" x14ac:dyDescent="0.45">
      <c r="A707" s="5">
        <v>706</v>
      </c>
      <c r="B707" s="1" t="s">
        <v>11319</v>
      </c>
      <c r="C707" s="6"/>
      <c r="J707" s="1" t="s">
        <v>7557</v>
      </c>
      <c r="K707" s="2" t="s">
        <v>11699</v>
      </c>
      <c r="P707" s="7" t="s">
        <v>1241</v>
      </c>
      <c r="Q707"/>
      <c r="R707"/>
      <c r="S707"/>
      <c r="T707"/>
      <c r="U707"/>
      <c r="V707"/>
      <c r="W707"/>
      <c r="X707"/>
      <c r="Y707"/>
      <c r="Z707"/>
      <c r="AA707"/>
      <c r="AB707"/>
      <c r="AC707"/>
      <c r="AD707"/>
      <c r="AE707"/>
      <c r="AF707"/>
      <c r="AG707"/>
      <c r="AH707"/>
      <c r="AI707"/>
      <c r="AJ707"/>
      <c r="AK707"/>
      <c r="AL707"/>
      <c r="AM707"/>
      <c r="AN707"/>
      <c r="AO707"/>
      <c r="AP707"/>
      <c r="AQ707"/>
      <c r="AR707"/>
      <c r="AS707"/>
      <c r="AT707"/>
      <c r="AU707"/>
      <c r="AV707" s="1" t="s">
        <v>38</v>
      </c>
      <c r="BG707" s="7" t="s">
        <v>1242</v>
      </c>
    </row>
    <row r="708" spans="1:59" s="1" customFormat="1" ht="108" x14ac:dyDescent="0.45">
      <c r="A708" s="5">
        <v>707</v>
      </c>
      <c r="B708" s="1" t="s">
        <v>11320</v>
      </c>
      <c r="C708" s="6"/>
      <c r="J708" s="1" t="s">
        <v>7557</v>
      </c>
      <c r="K708" s="2" t="s">
        <v>10548</v>
      </c>
      <c r="P708" s="7" t="s">
        <v>1241</v>
      </c>
      <c r="Q708"/>
      <c r="R708"/>
      <c r="S708"/>
      <c r="T708"/>
      <c r="U708"/>
      <c r="V708"/>
      <c r="W708"/>
      <c r="X708"/>
      <c r="Y708"/>
      <c r="Z708"/>
      <c r="AA708"/>
      <c r="AB708"/>
      <c r="AC708"/>
      <c r="AD708"/>
      <c r="AE708"/>
      <c r="AF708"/>
      <c r="AG708"/>
      <c r="AH708"/>
      <c r="AI708"/>
      <c r="AJ708"/>
      <c r="AK708"/>
      <c r="AL708"/>
      <c r="AM708"/>
      <c r="AN708"/>
      <c r="AO708"/>
      <c r="AP708"/>
      <c r="AQ708"/>
      <c r="AR708"/>
      <c r="AS708"/>
      <c r="AT708"/>
      <c r="AU708"/>
      <c r="AV708" s="1" t="s">
        <v>38</v>
      </c>
      <c r="BG708" s="7" t="s">
        <v>1242</v>
      </c>
    </row>
    <row r="709" spans="1:59" s="1" customFormat="1" ht="126" x14ac:dyDescent="0.45">
      <c r="A709" s="5">
        <v>708</v>
      </c>
      <c r="B709" s="1" t="s">
        <v>11321</v>
      </c>
      <c r="C709" s="6"/>
      <c r="J709" s="1" t="s">
        <v>7557</v>
      </c>
      <c r="K709" s="2" t="s">
        <v>10549</v>
      </c>
      <c r="P709" s="7" t="s">
        <v>1241</v>
      </c>
      <c r="Q709"/>
      <c r="R709"/>
      <c r="S709"/>
      <c r="T709"/>
      <c r="U709"/>
      <c r="V709"/>
      <c r="W709"/>
      <c r="X709"/>
      <c r="Y709"/>
      <c r="Z709"/>
      <c r="AA709"/>
      <c r="AB709"/>
      <c r="AC709"/>
      <c r="AD709"/>
      <c r="AE709"/>
      <c r="AF709"/>
      <c r="AG709"/>
      <c r="AH709"/>
      <c r="AI709"/>
      <c r="AJ709"/>
      <c r="AK709"/>
      <c r="AL709"/>
      <c r="AM709"/>
      <c r="AN709"/>
      <c r="AO709"/>
      <c r="AP709"/>
      <c r="AQ709"/>
      <c r="AR709"/>
      <c r="AS709"/>
      <c r="AT709"/>
      <c r="AU709"/>
      <c r="AV709" s="1" t="s">
        <v>38</v>
      </c>
      <c r="BG709" s="7" t="s">
        <v>1242</v>
      </c>
    </row>
    <row r="710" spans="1:59" s="1" customFormat="1" ht="144" x14ac:dyDescent="0.45">
      <c r="A710" s="5">
        <v>709</v>
      </c>
      <c r="B710" s="1" t="s">
        <v>11322</v>
      </c>
      <c r="C710" s="6"/>
      <c r="J710" s="1" t="s">
        <v>7557</v>
      </c>
      <c r="K710" s="2" t="s">
        <v>10550</v>
      </c>
      <c r="P710" s="7" t="s">
        <v>1241</v>
      </c>
      <c r="Q710"/>
      <c r="R710"/>
      <c r="S710"/>
      <c r="T710"/>
      <c r="U710"/>
      <c r="V710"/>
      <c r="W710"/>
      <c r="X710"/>
      <c r="Y710"/>
      <c r="Z710"/>
      <c r="AA710"/>
      <c r="AB710"/>
      <c r="AC710"/>
      <c r="AD710"/>
      <c r="AE710"/>
      <c r="AF710"/>
      <c r="AG710"/>
      <c r="AH710"/>
      <c r="AI710"/>
      <c r="AJ710"/>
      <c r="AK710"/>
      <c r="AL710"/>
      <c r="AM710"/>
      <c r="AN710"/>
      <c r="AO710"/>
      <c r="AP710"/>
      <c r="AQ710"/>
      <c r="AR710"/>
      <c r="AS710"/>
      <c r="AT710"/>
      <c r="AU710"/>
      <c r="AV710" s="1" t="s">
        <v>38</v>
      </c>
      <c r="BG710" s="7" t="s">
        <v>1242</v>
      </c>
    </row>
    <row r="711" spans="1:59" s="1" customFormat="1" ht="90" x14ac:dyDescent="0.45">
      <c r="A711" s="5">
        <v>710</v>
      </c>
      <c r="B711" s="1" t="s">
        <v>11323</v>
      </c>
      <c r="C711" s="6"/>
      <c r="J711" s="1" t="s">
        <v>7557</v>
      </c>
      <c r="K711" s="2" t="s">
        <v>10551</v>
      </c>
      <c r="P711" s="7" t="s">
        <v>1241</v>
      </c>
      <c r="Q711"/>
      <c r="R711"/>
      <c r="S711"/>
      <c r="T711"/>
      <c r="U711"/>
      <c r="V711"/>
      <c r="W711"/>
      <c r="X711"/>
      <c r="Y711"/>
      <c r="Z711"/>
      <c r="AA711"/>
      <c r="AB711"/>
      <c r="AC711"/>
      <c r="AD711"/>
      <c r="AE711"/>
      <c r="AF711"/>
      <c r="AG711"/>
      <c r="AH711"/>
      <c r="AI711"/>
      <c r="AJ711"/>
      <c r="AK711"/>
      <c r="AL711"/>
      <c r="AM711"/>
      <c r="AN711"/>
      <c r="AO711"/>
      <c r="AP711"/>
      <c r="AQ711"/>
      <c r="AR711"/>
      <c r="AS711"/>
      <c r="AT711"/>
      <c r="AU711"/>
      <c r="AV711" s="1" t="s">
        <v>38</v>
      </c>
      <c r="BG711" s="7" t="s">
        <v>1242</v>
      </c>
    </row>
    <row r="712" spans="1:59" s="1" customFormat="1" ht="198" x14ac:dyDescent="0.45">
      <c r="A712" s="5">
        <v>711</v>
      </c>
      <c r="B712" s="1" t="s">
        <v>11324</v>
      </c>
      <c r="C712" s="6"/>
      <c r="J712" s="1" t="s">
        <v>7557</v>
      </c>
      <c r="K712" s="2" t="s">
        <v>11700</v>
      </c>
      <c r="P712" s="7" t="s">
        <v>1241</v>
      </c>
      <c r="Q712"/>
      <c r="R712"/>
      <c r="S712"/>
      <c r="T712"/>
      <c r="U712"/>
      <c r="V712"/>
      <c r="W712"/>
      <c r="X712"/>
      <c r="Y712"/>
      <c r="Z712"/>
      <c r="AA712"/>
      <c r="AB712"/>
      <c r="AC712"/>
      <c r="AD712"/>
      <c r="AE712"/>
      <c r="AF712"/>
      <c r="AG712"/>
      <c r="AH712"/>
      <c r="AI712"/>
      <c r="AJ712"/>
      <c r="AK712"/>
      <c r="AL712"/>
      <c r="AM712"/>
      <c r="AN712"/>
      <c r="AO712"/>
      <c r="AP712"/>
      <c r="AQ712"/>
      <c r="AR712"/>
      <c r="AS712"/>
      <c r="AT712"/>
      <c r="AU712"/>
      <c r="AV712" s="1" t="s">
        <v>38</v>
      </c>
      <c r="BG712" s="7" t="s">
        <v>1242</v>
      </c>
    </row>
    <row r="713" spans="1:59" s="1" customFormat="1" ht="54" x14ac:dyDescent="0.45">
      <c r="A713" s="5">
        <v>712</v>
      </c>
      <c r="B713" s="1" t="s">
        <v>11325</v>
      </c>
      <c r="C713" s="6"/>
      <c r="J713" s="1" t="s">
        <v>7557</v>
      </c>
      <c r="K713" s="2" t="s">
        <v>10552</v>
      </c>
      <c r="P713" s="7" t="s">
        <v>1241</v>
      </c>
      <c r="Q713"/>
      <c r="R713"/>
      <c r="S713"/>
      <c r="T713"/>
      <c r="U713"/>
      <c r="V713"/>
      <c r="W713"/>
      <c r="X713"/>
      <c r="Y713"/>
      <c r="Z713"/>
      <c r="AA713"/>
      <c r="AB713"/>
      <c r="AC713"/>
      <c r="AD713"/>
      <c r="AE713"/>
      <c r="AF713"/>
      <c r="AG713"/>
      <c r="AH713"/>
      <c r="AI713"/>
      <c r="AJ713"/>
      <c r="AK713"/>
      <c r="AL713"/>
      <c r="AM713"/>
      <c r="AN713"/>
      <c r="AO713"/>
      <c r="AP713"/>
      <c r="AQ713"/>
      <c r="AR713"/>
      <c r="AS713"/>
      <c r="AT713"/>
      <c r="AU713"/>
      <c r="AV713" s="1" t="s">
        <v>38</v>
      </c>
      <c r="BG713" s="7" t="s">
        <v>1242</v>
      </c>
    </row>
    <row r="714" spans="1:59" s="1" customFormat="1" ht="198" x14ac:dyDescent="0.45">
      <c r="A714" s="5">
        <v>713</v>
      </c>
      <c r="B714" s="1" t="s">
        <v>11326</v>
      </c>
      <c r="C714" s="6"/>
      <c r="J714" s="1" t="s">
        <v>7557</v>
      </c>
      <c r="K714" s="2" t="s">
        <v>11701</v>
      </c>
      <c r="P714" s="7" t="s">
        <v>1241</v>
      </c>
      <c r="Q714"/>
      <c r="R714"/>
      <c r="S714"/>
      <c r="T714"/>
      <c r="U714"/>
      <c r="V714"/>
      <c r="W714"/>
      <c r="X714"/>
      <c r="Y714"/>
      <c r="Z714"/>
      <c r="AA714"/>
      <c r="AB714"/>
      <c r="AC714"/>
      <c r="AD714"/>
      <c r="AE714"/>
      <c r="AF714"/>
      <c r="AG714"/>
      <c r="AH714"/>
      <c r="AI714"/>
      <c r="AJ714"/>
      <c r="AK714"/>
      <c r="AL714"/>
      <c r="AM714"/>
      <c r="AN714"/>
      <c r="AO714"/>
      <c r="AP714"/>
      <c r="AQ714"/>
      <c r="AR714"/>
      <c r="AS714"/>
      <c r="AT714"/>
      <c r="AU714"/>
      <c r="AV714" s="1" t="s">
        <v>38</v>
      </c>
      <c r="BG714" s="7" t="s">
        <v>1242</v>
      </c>
    </row>
    <row r="715" spans="1:59" s="1" customFormat="1" ht="198" x14ac:dyDescent="0.45">
      <c r="A715" s="5">
        <v>714</v>
      </c>
      <c r="B715" s="1" t="s">
        <v>11327</v>
      </c>
      <c r="C715" s="6"/>
      <c r="J715" s="1" t="s">
        <v>7557</v>
      </c>
      <c r="K715" s="2" t="s">
        <v>10553</v>
      </c>
      <c r="P715" s="7" t="s">
        <v>1241</v>
      </c>
      <c r="Q715"/>
      <c r="R715"/>
      <c r="S715"/>
      <c r="T715"/>
      <c r="U715"/>
      <c r="V715"/>
      <c r="W715"/>
      <c r="X715"/>
      <c r="Y715"/>
      <c r="Z715"/>
      <c r="AA715"/>
      <c r="AB715"/>
      <c r="AC715"/>
      <c r="AD715"/>
      <c r="AE715"/>
      <c r="AF715"/>
      <c r="AG715"/>
      <c r="AH715"/>
      <c r="AI715"/>
      <c r="AJ715"/>
      <c r="AK715"/>
      <c r="AL715"/>
      <c r="AM715"/>
      <c r="AN715"/>
      <c r="AO715"/>
      <c r="AP715"/>
      <c r="AQ715"/>
      <c r="AR715"/>
      <c r="AS715"/>
      <c r="AT715"/>
      <c r="AU715"/>
      <c r="AV715" s="1" t="s">
        <v>38</v>
      </c>
      <c r="BG715" s="7" t="s">
        <v>1242</v>
      </c>
    </row>
    <row r="716" spans="1:59" s="1" customFormat="1" ht="90" x14ac:dyDescent="0.45">
      <c r="A716" s="5">
        <v>715</v>
      </c>
      <c r="B716" s="1" t="s">
        <v>11328</v>
      </c>
      <c r="C716" s="6"/>
      <c r="J716" s="1" t="s">
        <v>7557</v>
      </c>
      <c r="K716" s="2" t="s">
        <v>10554</v>
      </c>
      <c r="P716" s="7" t="s">
        <v>1241</v>
      </c>
      <c r="Q716"/>
      <c r="R716"/>
      <c r="S716"/>
      <c r="T716"/>
      <c r="U716"/>
      <c r="V716"/>
      <c r="W716"/>
      <c r="X716"/>
      <c r="Y716"/>
      <c r="Z716"/>
      <c r="AA716"/>
      <c r="AB716"/>
      <c r="AC716"/>
      <c r="AD716"/>
      <c r="AE716"/>
      <c r="AF716"/>
      <c r="AG716"/>
      <c r="AH716"/>
      <c r="AI716"/>
      <c r="AJ716"/>
      <c r="AK716"/>
      <c r="AL716"/>
      <c r="AM716"/>
      <c r="AN716"/>
      <c r="AO716"/>
      <c r="AP716"/>
      <c r="AQ716"/>
      <c r="AR716"/>
      <c r="AS716"/>
      <c r="AT716"/>
      <c r="AU716"/>
      <c r="AV716" s="1" t="s">
        <v>38</v>
      </c>
      <c r="BG716" s="7" t="s">
        <v>1242</v>
      </c>
    </row>
    <row r="717" spans="1:59" s="1" customFormat="1" ht="144" x14ac:dyDescent="0.45">
      <c r="A717" s="5">
        <v>716</v>
      </c>
      <c r="B717" s="1" t="s">
        <v>11329</v>
      </c>
      <c r="C717" s="6"/>
      <c r="J717" s="1" t="s">
        <v>7557</v>
      </c>
      <c r="K717" s="2" t="s">
        <v>10555</v>
      </c>
      <c r="P717" s="7" t="s">
        <v>1241</v>
      </c>
      <c r="Q717"/>
      <c r="R717"/>
      <c r="S717"/>
      <c r="T717"/>
      <c r="U717"/>
      <c r="V717"/>
      <c r="W717"/>
      <c r="X717"/>
      <c r="Y717"/>
      <c r="Z717"/>
      <c r="AA717"/>
      <c r="AB717"/>
      <c r="AC717"/>
      <c r="AD717"/>
      <c r="AE717"/>
      <c r="AF717"/>
      <c r="AG717"/>
      <c r="AH717"/>
      <c r="AI717"/>
      <c r="AJ717"/>
      <c r="AK717"/>
      <c r="AL717"/>
      <c r="AM717"/>
      <c r="AN717"/>
      <c r="AO717"/>
      <c r="AP717"/>
      <c r="AQ717"/>
      <c r="AR717"/>
      <c r="AS717"/>
      <c r="AT717"/>
      <c r="AU717"/>
      <c r="AV717" s="1" t="s">
        <v>38</v>
      </c>
      <c r="BG717" s="7" t="s">
        <v>1242</v>
      </c>
    </row>
    <row r="718" spans="1:59" s="1" customFormat="1" ht="108" x14ac:dyDescent="0.45">
      <c r="A718" s="5">
        <v>717</v>
      </c>
      <c r="B718" s="1" t="s">
        <v>11330</v>
      </c>
      <c r="C718" s="6"/>
      <c r="J718" s="1" t="s">
        <v>7557</v>
      </c>
      <c r="K718" s="2" t="s">
        <v>10556</v>
      </c>
      <c r="P718" s="7" t="s">
        <v>1241</v>
      </c>
      <c r="Q718"/>
      <c r="R718"/>
      <c r="S718"/>
      <c r="T718"/>
      <c r="U718"/>
      <c r="V718"/>
      <c r="W718"/>
      <c r="X718"/>
      <c r="Y718"/>
      <c r="Z718"/>
      <c r="AA718"/>
      <c r="AB718"/>
      <c r="AC718"/>
      <c r="AD718"/>
      <c r="AE718"/>
      <c r="AF718"/>
      <c r="AG718"/>
      <c r="AH718"/>
      <c r="AI718"/>
      <c r="AJ718"/>
      <c r="AK718"/>
      <c r="AL718"/>
      <c r="AM718"/>
      <c r="AN718"/>
      <c r="AO718"/>
      <c r="AP718"/>
      <c r="AQ718"/>
      <c r="AR718"/>
      <c r="AS718"/>
      <c r="AT718"/>
      <c r="AU718"/>
      <c r="AV718" s="1" t="s">
        <v>38</v>
      </c>
      <c r="BG718" s="7" t="s">
        <v>1242</v>
      </c>
    </row>
    <row r="719" spans="1:59" s="1" customFormat="1" ht="126" x14ac:dyDescent="0.45">
      <c r="A719" s="5">
        <v>718</v>
      </c>
      <c r="B719" s="1" t="s">
        <v>11331</v>
      </c>
      <c r="C719" s="6"/>
      <c r="J719" s="1" t="s">
        <v>7557</v>
      </c>
      <c r="K719" s="2" t="s">
        <v>10557</v>
      </c>
      <c r="P719" s="7" t="s">
        <v>1241</v>
      </c>
      <c r="Q719"/>
      <c r="R719"/>
      <c r="S719"/>
      <c r="T719"/>
      <c r="U719"/>
      <c r="V719"/>
      <c r="W719"/>
      <c r="X719"/>
      <c r="Y719"/>
      <c r="Z719"/>
      <c r="AA719"/>
      <c r="AB719"/>
      <c r="AC719"/>
      <c r="AD719"/>
      <c r="AE719"/>
      <c r="AF719"/>
      <c r="AG719"/>
      <c r="AH719"/>
      <c r="AI719"/>
      <c r="AJ719"/>
      <c r="AK719"/>
      <c r="AL719"/>
      <c r="AM719"/>
      <c r="AN719"/>
      <c r="AO719"/>
      <c r="AP719"/>
      <c r="AQ719"/>
      <c r="AR719"/>
      <c r="AS719"/>
      <c r="AT719"/>
      <c r="AU719"/>
      <c r="AV719" s="1" t="s">
        <v>38</v>
      </c>
      <c r="BG719" s="7" t="s">
        <v>1242</v>
      </c>
    </row>
    <row r="720" spans="1:59" s="1" customFormat="1" ht="54" x14ac:dyDescent="0.45">
      <c r="A720" s="5">
        <v>719</v>
      </c>
      <c r="B720" s="1" t="s">
        <v>11332</v>
      </c>
      <c r="C720" s="6"/>
      <c r="J720" s="1" t="s">
        <v>7557</v>
      </c>
      <c r="K720" s="2" t="s">
        <v>10558</v>
      </c>
      <c r="P720" s="7" t="s">
        <v>1241</v>
      </c>
      <c r="Q720"/>
      <c r="R720"/>
      <c r="S720"/>
      <c r="T720"/>
      <c r="U720"/>
      <c r="V720"/>
      <c r="W720"/>
      <c r="X720"/>
      <c r="Y720"/>
      <c r="Z720"/>
      <c r="AA720"/>
      <c r="AB720"/>
      <c r="AC720"/>
      <c r="AD720"/>
      <c r="AE720"/>
      <c r="AF720"/>
      <c r="AG720"/>
      <c r="AH720"/>
      <c r="AI720"/>
      <c r="AJ720"/>
      <c r="AK720"/>
      <c r="AL720"/>
      <c r="AM720"/>
      <c r="AN720"/>
      <c r="AO720"/>
      <c r="AP720"/>
      <c r="AQ720"/>
      <c r="AR720"/>
      <c r="AS720"/>
      <c r="AT720"/>
      <c r="AU720"/>
      <c r="AV720" s="1" t="s">
        <v>38</v>
      </c>
      <c r="BG720" s="7" t="s">
        <v>1242</v>
      </c>
    </row>
    <row r="721" spans="1:59" s="1" customFormat="1" ht="90" x14ac:dyDescent="0.45">
      <c r="A721" s="5">
        <v>720</v>
      </c>
      <c r="B721" s="1" t="s">
        <v>11333</v>
      </c>
      <c r="C721" s="6"/>
      <c r="J721" s="1" t="s">
        <v>7557</v>
      </c>
      <c r="K721" s="2" t="s">
        <v>10559</v>
      </c>
      <c r="P721" s="7" t="s">
        <v>1241</v>
      </c>
      <c r="Q721"/>
      <c r="R721"/>
      <c r="S721"/>
      <c r="T721"/>
      <c r="U721"/>
      <c r="V721"/>
      <c r="W721"/>
      <c r="X721"/>
      <c r="Y721"/>
      <c r="Z721"/>
      <c r="AA721"/>
      <c r="AB721"/>
      <c r="AC721"/>
      <c r="AD721"/>
      <c r="AE721"/>
      <c r="AF721"/>
      <c r="AG721"/>
      <c r="AH721"/>
      <c r="AI721"/>
      <c r="AJ721"/>
      <c r="AK721"/>
      <c r="AL721"/>
      <c r="AM721"/>
      <c r="AN721"/>
      <c r="AO721"/>
      <c r="AP721"/>
      <c r="AQ721"/>
      <c r="AR721"/>
      <c r="AS721"/>
      <c r="AT721"/>
      <c r="AU721"/>
      <c r="AV721" s="1" t="s">
        <v>38</v>
      </c>
      <c r="BG721" s="7" t="s">
        <v>1242</v>
      </c>
    </row>
    <row r="722" spans="1:59" s="1" customFormat="1" ht="144" x14ac:dyDescent="0.45">
      <c r="A722" s="5">
        <v>721</v>
      </c>
      <c r="B722" s="1" t="s">
        <v>11334</v>
      </c>
      <c r="C722" s="6"/>
      <c r="J722" s="1" t="s">
        <v>7557</v>
      </c>
      <c r="K722" s="2" t="s">
        <v>10560</v>
      </c>
      <c r="P722" s="7" t="s">
        <v>1241</v>
      </c>
      <c r="Q722"/>
      <c r="R722"/>
      <c r="S722"/>
      <c r="T722"/>
      <c r="U722"/>
      <c r="V722"/>
      <c r="W722"/>
      <c r="X722"/>
      <c r="Y722"/>
      <c r="Z722"/>
      <c r="AA722"/>
      <c r="AB722"/>
      <c r="AC722"/>
      <c r="AD722"/>
      <c r="AE722"/>
      <c r="AF722"/>
      <c r="AG722"/>
      <c r="AH722"/>
      <c r="AI722"/>
      <c r="AJ722"/>
      <c r="AK722"/>
      <c r="AL722"/>
      <c r="AM722"/>
      <c r="AN722"/>
      <c r="AO722"/>
      <c r="AP722"/>
      <c r="AQ722"/>
      <c r="AR722"/>
      <c r="AS722"/>
      <c r="AT722"/>
      <c r="AU722"/>
      <c r="AV722" s="1" t="s">
        <v>38</v>
      </c>
      <c r="BG722" s="7" t="s">
        <v>1242</v>
      </c>
    </row>
    <row r="723" spans="1:59" s="1" customFormat="1" ht="54" x14ac:dyDescent="0.45">
      <c r="A723" s="5">
        <v>722</v>
      </c>
      <c r="B723" s="1" t="s">
        <v>11335</v>
      </c>
      <c r="C723" s="6"/>
      <c r="J723" s="1" t="s">
        <v>7557</v>
      </c>
      <c r="K723" s="2" t="s">
        <v>10561</v>
      </c>
      <c r="P723" s="7" t="s">
        <v>1241</v>
      </c>
      <c r="Q723"/>
      <c r="R723"/>
      <c r="S723"/>
      <c r="T723"/>
      <c r="U723"/>
      <c r="V723"/>
      <c r="W723"/>
      <c r="X723"/>
      <c r="Y723"/>
      <c r="Z723"/>
      <c r="AA723"/>
      <c r="AB723"/>
      <c r="AC723"/>
      <c r="AD723"/>
      <c r="AE723"/>
      <c r="AF723"/>
      <c r="AG723"/>
      <c r="AH723"/>
      <c r="AI723"/>
      <c r="AJ723"/>
      <c r="AK723"/>
      <c r="AL723"/>
      <c r="AM723"/>
      <c r="AN723"/>
      <c r="AO723"/>
      <c r="AP723"/>
      <c r="AQ723"/>
      <c r="AR723"/>
      <c r="AS723"/>
      <c r="AT723"/>
      <c r="AU723"/>
      <c r="AV723" s="1" t="s">
        <v>38</v>
      </c>
      <c r="BG723" s="7" t="s">
        <v>1242</v>
      </c>
    </row>
    <row r="724" spans="1:59" s="1" customFormat="1" ht="216" x14ac:dyDescent="0.45">
      <c r="A724" s="5">
        <v>723</v>
      </c>
      <c r="B724" s="1" t="s">
        <v>11336</v>
      </c>
      <c r="C724" s="6"/>
      <c r="J724" s="1" t="s">
        <v>7557</v>
      </c>
      <c r="K724" s="2" t="s">
        <v>10562</v>
      </c>
      <c r="P724" s="7" t="s">
        <v>1241</v>
      </c>
      <c r="Q724"/>
      <c r="R724"/>
      <c r="S724"/>
      <c r="T724"/>
      <c r="U724"/>
      <c r="V724"/>
      <c r="W724"/>
      <c r="X724"/>
      <c r="Y724"/>
      <c r="Z724"/>
      <c r="AA724"/>
      <c r="AB724"/>
      <c r="AC724"/>
      <c r="AD724"/>
      <c r="AE724"/>
      <c r="AF724"/>
      <c r="AG724"/>
      <c r="AH724"/>
      <c r="AI724"/>
      <c r="AJ724"/>
      <c r="AK724"/>
      <c r="AL724"/>
      <c r="AM724"/>
      <c r="AN724"/>
      <c r="AO724"/>
      <c r="AP724"/>
      <c r="AQ724"/>
      <c r="AR724"/>
      <c r="AS724"/>
      <c r="AT724"/>
      <c r="AU724"/>
      <c r="AV724" s="1" t="s">
        <v>38</v>
      </c>
      <c r="BG724" s="7" t="s">
        <v>1242</v>
      </c>
    </row>
    <row r="725" spans="1:59" s="1" customFormat="1" ht="270" x14ac:dyDescent="0.45">
      <c r="A725" s="5">
        <v>724</v>
      </c>
      <c r="B725" s="1" t="s">
        <v>11337</v>
      </c>
      <c r="C725" s="6"/>
      <c r="J725" s="1" t="s">
        <v>7557</v>
      </c>
      <c r="K725" s="11" t="s">
        <v>11994</v>
      </c>
      <c r="P725" s="7" t="s">
        <v>1241</v>
      </c>
      <c r="Q725"/>
      <c r="R725"/>
      <c r="S725"/>
      <c r="T725"/>
      <c r="U725"/>
      <c r="V725"/>
      <c r="W725"/>
      <c r="X725"/>
      <c r="Y725"/>
      <c r="Z725"/>
      <c r="AA725"/>
      <c r="AB725"/>
      <c r="AC725"/>
      <c r="AD725"/>
      <c r="AE725"/>
      <c r="AF725"/>
      <c r="AG725"/>
      <c r="AH725"/>
      <c r="AI725"/>
      <c r="AJ725"/>
      <c r="AK725"/>
      <c r="AL725"/>
      <c r="AM725"/>
      <c r="AN725"/>
      <c r="AO725"/>
      <c r="AP725"/>
      <c r="AQ725"/>
      <c r="AR725"/>
      <c r="AS725"/>
      <c r="AT725"/>
      <c r="AU725"/>
      <c r="AV725" s="1" t="s">
        <v>38</v>
      </c>
      <c r="BG725" s="7" t="s">
        <v>1242</v>
      </c>
    </row>
    <row r="726" spans="1:59" s="1" customFormat="1" ht="54" x14ac:dyDescent="0.45">
      <c r="A726" s="5">
        <v>725</v>
      </c>
      <c r="B726" s="1" t="s">
        <v>11338</v>
      </c>
      <c r="C726" s="6"/>
      <c r="J726" s="1" t="s">
        <v>7557</v>
      </c>
      <c r="K726" s="2" t="s">
        <v>10563</v>
      </c>
      <c r="P726" s="7" t="s">
        <v>1241</v>
      </c>
      <c r="Q726"/>
      <c r="R726"/>
      <c r="S726"/>
      <c r="T726"/>
      <c r="U726"/>
      <c r="V726"/>
      <c r="W726"/>
      <c r="X726"/>
      <c r="Y726"/>
      <c r="Z726"/>
      <c r="AA726"/>
      <c r="AB726"/>
      <c r="AC726"/>
      <c r="AD726"/>
      <c r="AE726"/>
      <c r="AF726"/>
      <c r="AG726"/>
      <c r="AH726"/>
      <c r="AI726"/>
      <c r="AJ726"/>
      <c r="AK726"/>
      <c r="AL726"/>
      <c r="AM726"/>
      <c r="AN726"/>
      <c r="AO726"/>
      <c r="AP726"/>
      <c r="AQ726"/>
      <c r="AR726"/>
      <c r="AS726"/>
      <c r="AT726"/>
      <c r="AU726"/>
      <c r="AV726" s="1" t="s">
        <v>38</v>
      </c>
      <c r="BG726" s="7" t="s">
        <v>1242</v>
      </c>
    </row>
    <row r="727" spans="1:59" s="1" customFormat="1" ht="90" x14ac:dyDescent="0.45">
      <c r="A727" s="5">
        <v>726</v>
      </c>
      <c r="B727" s="1" t="s">
        <v>11339</v>
      </c>
      <c r="C727" s="6"/>
      <c r="J727" s="1" t="s">
        <v>7557</v>
      </c>
      <c r="K727" s="2" t="s">
        <v>10564</v>
      </c>
      <c r="P727" s="7" t="s">
        <v>1241</v>
      </c>
      <c r="Q727"/>
      <c r="R727"/>
      <c r="S727"/>
      <c r="T727"/>
      <c r="U727"/>
      <c r="V727"/>
      <c r="W727"/>
      <c r="X727"/>
      <c r="Y727"/>
      <c r="Z727"/>
      <c r="AA727"/>
      <c r="AB727"/>
      <c r="AC727"/>
      <c r="AD727"/>
      <c r="AE727"/>
      <c r="AF727"/>
      <c r="AG727"/>
      <c r="AH727"/>
      <c r="AI727"/>
      <c r="AJ727"/>
      <c r="AK727"/>
      <c r="AL727"/>
      <c r="AM727"/>
      <c r="AN727"/>
      <c r="AO727"/>
      <c r="AP727"/>
      <c r="AQ727"/>
      <c r="AR727"/>
      <c r="AS727"/>
      <c r="AT727"/>
      <c r="AU727"/>
      <c r="AV727" s="1" t="s">
        <v>38</v>
      </c>
      <c r="BG727" s="7" t="s">
        <v>1242</v>
      </c>
    </row>
    <row r="728" spans="1:59" s="1" customFormat="1" ht="72" x14ac:dyDescent="0.45">
      <c r="A728" s="5">
        <v>727</v>
      </c>
      <c r="B728" s="1" t="s">
        <v>11340</v>
      </c>
      <c r="C728" s="6"/>
      <c r="J728" s="1" t="s">
        <v>7557</v>
      </c>
      <c r="K728" s="2" t="s">
        <v>11682</v>
      </c>
      <c r="P728" s="7" t="s">
        <v>1241</v>
      </c>
      <c r="Q728"/>
      <c r="R728"/>
      <c r="S728"/>
      <c r="T728"/>
      <c r="U728"/>
      <c r="V728"/>
      <c r="W728"/>
      <c r="X728"/>
      <c r="Y728"/>
      <c r="Z728"/>
      <c r="AA728"/>
      <c r="AB728"/>
      <c r="AC728"/>
      <c r="AD728"/>
      <c r="AE728"/>
      <c r="AF728"/>
      <c r="AG728"/>
      <c r="AH728"/>
      <c r="AI728"/>
      <c r="AJ728"/>
      <c r="AK728"/>
      <c r="AL728"/>
      <c r="AM728"/>
      <c r="AN728"/>
      <c r="AO728"/>
      <c r="AP728"/>
      <c r="AQ728"/>
      <c r="AR728"/>
      <c r="AS728"/>
      <c r="AT728"/>
      <c r="AU728"/>
      <c r="AV728" s="1" t="s">
        <v>38</v>
      </c>
      <c r="BG728" s="7" t="s">
        <v>1242</v>
      </c>
    </row>
    <row r="729" spans="1:59" s="1" customFormat="1" ht="54" x14ac:dyDescent="0.45">
      <c r="A729" s="5">
        <v>728</v>
      </c>
      <c r="B729" s="1" t="s">
        <v>11341</v>
      </c>
      <c r="C729" s="6"/>
      <c r="J729" s="1" t="s">
        <v>7557</v>
      </c>
      <c r="K729" s="2" t="s">
        <v>10565</v>
      </c>
      <c r="P729" s="7" t="s">
        <v>1241</v>
      </c>
      <c r="Q729"/>
      <c r="R729"/>
      <c r="S729"/>
      <c r="T729"/>
      <c r="U729"/>
      <c r="V729"/>
      <c r="W729"/>
      <c r="X729"/>
      <c r="Y729"/>
      <c r="Z729"/>
      <c r="AA729"/>
      <c r="AB729"/>
      <c r="AC729"/>
      <c r="AD729"/>
      <c r="AE729"/>
      <c r="AF729"/>
      <c r="AG729"/>
      <c r="AH729"/>
      <c r="AI729"/>
      <c r="AJ729"/>
      <c r="AK729"/>
      <c r="AL729"/>
      <c r="AM729"/>
      <c r="AN729"/>
      <c r="AO729"/>
      <c r="AP729"/>
      <c r="AQ729"/>
      <c r="AR729"/>
      <c r="AS729"/>
      <c r="AT729"/>
      <c r="AU729"/>
      <c r="AV729" s="1" t="s">
        <v>38</v>
      </c>
      <c r="BG729" s="7" t="s">
        <v>1242</v>
      </c>
    </row>
    <row r="730" spans="1:59" s="1" customFormat="1" ht="162" x14ac:dyDescent="0.45">
      <c r="A730" s="5">
        <v>729</v>
      </c>
      <c r="B730" s="1" t="s">
        <v>11342</v>
      </c>
      <c r="C730" s="6"/>
      <c r="J730" s="1" t="s">
        <v>7557</v>
      </c>
      <c r="K730" s="2" t="s">
        <v>11683</v>
      </c>
      <c r="P730" s="7" t="s">
        <v>1241</v>
      </c>
      <c r="Q730"/>
      <c r="R730"/>
      <c r="S730"/>
      <c r="T730"/>
      <c r="U730"/>
      <c r="V730"/>
      <c r="W730"/>
      <c r="X730"/>
      <c r="Y730"/>
      <c r="Z730"/>
      <c r="AA730"/>
      <c r="AB730"/>
      <c r="AC730"/>
      <c r="AD730"/>
      <c r="AE730"/>
      <c r="AF730"/>
      <c r="AG730"/>
      <c r="AH730"/>
      <c r="AI730"/>
      <c r="AJ730"/>
      <c r="AK730"/>
      <c r="AL730"/>
      <c r="AM730"/>
      <c r="AN730"/>
      <c r="AO730"/>
      <c r="AP730"/>
      <c r="AQ730"/>
      <c r="AR730"/>
      <c r="AS730"/>
      <c r="AT730"/>
      <c r="AU730"/>
      <c r="AV730" s="1" t="s">
        <v>38</v>
      </c>
      <c r="BG730" s="7" t="s">
        <v>1242</v>
      </c>
    </row>
    <row r="731" spans="1:59" s="1" customFormat="1" ht="90" x14ac:dyDescent="0.45">
      <c r="A731" s="5">
        <v>730</v>
      </c>
      <c r="B731" s="1" t="s">
        <v>11343</v>
      </c>
      <c r="C731" s="6"/>
      <c r="J731" s="1" t="s">
        <v>7557</v>
      </c>
      <c r="K731" s="2" t="s">
        <v>11684</v>
      </c>
      <c r="P731" s="7" t="s">
        <v>1241</v>
      </c>
      <c r="Q731"/>
      <c r="R731"/>
      <c r="S731"/>
      <c r="T731"/>
      <c r="U731"/>
      <c r="V731"/>
      <c r="W731"/>
      <c r="X731"/>
      <c r="Y731"/>
      <c r="Z731"/>
      <c r="AA731"/>
      <c r="AB731"/>
      <c r="AC731"/>
      <c r="AD731"/>
      <c r="AE731"/>
      <c r="AF731"/>
      <c r="AG731"/>
      <c r="AH731"/>
      <c r="AI731"/>
      <c r="AJ731"/>
      <c r="AK731"/>
      <c r="AL731"/>
      <c r="AM731"/>
      <c r="AN731"/>
      <c r="AO731"/>
      <c r="AP731"/>
      <c r="AQ731"/>
      <c r="AR731"/>
      <c r="AS731"/>
      <c r="AT731"/>
      <c r="AU731"/>
      <c r="AV731" s="1" t="s">
        <v>38</v>
      </c>
      <c r="BG731" s="7" t="s">
        <v>1242</v>
      </c>
    </row>
    <row r="732" spans="1:59" s="1" customFormat="1" ht="72" x14ac:dyDescent="0.45">
      <c r="A732" s="5">
        <v>731</v>
      </c>
      <c r="B732" s="1" t="s">
        <v>11344</v>
      </c>
      <c r="C732" s="6"/>
      <c r="J732" s="1" t="s">
        <v>7557</v>
      </c>
      <c r="K732" s="2" t="s">
        <v>11685</v>
      </c>
      <c r="P732" s="7" t="s">
        <v>1241</v>
      </c>
      <c r="Q732"/>
      <c r="R732"/>
      <c r="S732"/>
      <c r="T732"/>
      <c r="U732"/>
      <c r="V732"/>
      <c r="W732"/>
      <c r="X732"/>
      <c r="Y732"/>
      <c r="Z732"/>
      <c r="AA732"/>
      <c r="AB732"/>
      <c r="AC732"/>
      <c r="AD732"/>
      <c r="AE732"/>
      <c r="AF732"/>
      <c r="AG732"/>
      <c r="AH732"/>
      <c r="AI732"/>
      <c r="AJ732"/>
      <c r="AK732"/>
      <c r="AL732"/>
      <c r="AM732"/>
      <c r="AN732"/>
      <c r="AO732"/>
      <c r="AP732"/>
      <c r="AQ732"/>
      <c r="AR732"/>
      <c r="AS732"/>
      <c r="AT732"/>
      <c r="AU732"/>
      <c r="AV732" s="1" t="s">
        <v>38</v>
      </c>
      <c r="BG732" s="7" t="s">
        <v>1242</v>
      </c>
    </row>
    <row r="733" spans="1:59" s="1" customFormat="1" ht="216" x14ac:dyDescent="0.45">
      <c r="A733" s="5">
        <v>732</v>
      </c>
      <c r="B733" s="1" t="s">
        <v>11345</v>
      </c>
      <c r="C733" s="6"/>
      <c r="J733" s="1" t="s">
        <v>7557</v>
      </c>
      <c r="K733" s="2" t="s">
        <v>11702</v>
      </c>
      <c r="P733" s="7" t="s">
        <v>1241</v>
      </c>
      <c r="Q733"/>
      <c r="R733"/>
      <c r="S733"/>
      <c r="T733"/>
      <c r="U733"/>
      <c r="V733"/>
      <c r="W733"/>
      <c r="X733"/>
      <c r="Y733"/>
      <c r="Z733"/>
      <c r="AA733"/>
      <c r="AB733"/>
      <c r="AC733"/>
      <c r="AD733"/>
      <c r="AE733"/>
      <c r="AF733"/>
      <c r="AG733"/>
      <c r="AH733"/>
      <c r="AI733"/>
      <c r="AJ733"/>
      <c r="AK733"/>
      <c r="AL733"/>
      <c r="AM733"/>
      <c r="AN733"/>
      <c r="AO733"/>
      <c r="AP733"/>
      <c r="AQ733"/>
      <c r="AR733"/>
      <c r="AS733"/>
      <c r="AT733"/>
      <c r="AU733"/>
      <c r="AV733" s="1" t="s">
        <v>38</v>
      </c>
      <c r="BG733" s="7" t="s">
        <v>1242</v>
      </c>
    </row>
    <row r="734" spans="1:59" s="1" customFormat="1" ht="180" x14ac:dyDescent="0.45">
      <c r="A734" s="5">
        <v>733</v>
      </c>
      <c r="B734" s="1" t="s">
        <v>11346</v>
      </c>
      <c r="C734" s="6"/>
      <c r="J734" s="1" t="s">
        <v>7557</v>
      </c>
      <c r="K734" s="2" t="s">
        <v>10567</v>
      </c>
      <c r="P734" s="7" t="s">
        <v>1241</v>
      </c>
      <c r="Q734"/>
      <c r="R734"/>
      <c r="S734"/>
      <c r="T734"/>
      <c r="U734"/>
      <c r="V734"/>
      <c r="W734"/>
      <c r="X734"/>
      <c r="Y734"/>
      <c r="Z734"/>
      <c r="AA734"/>
      <c r="AB734"/>
      <c r="AC734"/>
      <c r="AD734"/>
      <c r="AE734"/>
      <c r="AF734"/>
      <c r="AG734"/>
      <c r="AH734"/>
      <c r="AI734"/>
      <c r="AJ734"/>
      <c r="AK734"/>
      <c r="AL734"/>
      <c r="AM734"/>
      <c r="AN734"/>
      <c r="AO734"/>
      <c r="AP734"/>
      <c r="AQ734"/>
      <c r="AR734"/>
      <c r="AS734"/>
      <c r="AT734"/>
      <c r="AU734"/>
      <c r="AV734" s="1" t="s">
        <v>38</v>
      </c>
      <c r="BG734" s="7" t="s">
        <v>1242</v>
      </c>
    </row>
    <row r="735" spans="1:59" s="1" customFormat="1" ht="126" x14ac:dyDescent="0.45">
      <c r="A735" s="5">
        <v>734</v>
      </c>
      <c r="B735" s="1" t="s">
        <v>11347</v>
      </c>
      <c r="C735" s="6"/>
      <c r="J735" s="1" t="s">
        <v>7557</v>
      </c>
      <c r="K735" s="2" t="s">
        <v>10568</v>
      </c>
      <c r="P735" s="7" t="s">
        <v>1241</v>
      </c>
      <c r="Q735"/>
      <c r="R735"/>
      <c r="S735"/>
      <c r="T735"/>
      <c r="U735"/>
      <c r="V735"/>
      <c r="W735"/>
      <c r="X735"/>
      <c r="Y735"/>
      <c r="Z735"/>
      <c r="AA735"/>
      <c r="AB735"/>
      <c r="AC735"/>
      <c r="AD735"/>
      <c r="AE735"/>
      <c r="AF735"/>
      <c r="AG735"/>
      <c r="AH735"/>
      <c r="AI735"/>
      <c r="AJ735"/>
      <c r="AK735"/>
      <c r="AL735"/>
      <c r="AM735"/>
      <c r="AN735"/>
      <c r="AO735"/>
      <c r="AP735"/>
      <c r="AQ735"/>
      <c r="AR735"/>
      <c r="AS735"/>
      <c r="AT735"/>
      <c r="AU735"/>
      <c r="AV735" s="1" t="s">
        <v>38</v>
      </c>
      <c r="BG735" s="7" t="s">
        <v>1242</v>
      </c>
    </row>
    <row r="736" spans="1:59" s="1" customFormat="1" ht="54" x14ac:dyDescent="0.45">
      <c r="A736" s="5">
        <v>735</v>
      </c>
      <c r="B736" s="1" t="s">
        <v>11348</v>
      </c>
      <c r="C736" s="6"/>
      <c r="J736" s="1" t="s">
        <v>7557</v>
      </c>
      <c r="K736" s="2" t="s">
        <v>10569</v>
      </c>
      <c r="P736" s="7" t="s">
        <v>1241</v>
      </c>
      <c r="Q736"/>
      <c r="R736"/>
      <c r="S736"/>
      <c r="T736"/>
      <c r="U736"/>
      <c r="V736"/>
      <c r="W736"/>
      <c r="X736"/>
      <c r="Y736"/>
      <c r="Z736"/>
      <c r="AA736"/>
      <c r="AB736"/>
      <c r="AC736"/>
      <c r="AD736"/>
      <c r="AE736"/>
      <c r="AF736"/>
      <c r="AG736"/>
      <c r="AH736"/>
      <c r="AI736"/>
      <c r="AJ736"/>
      <c r="AK736"/>
      <c r="AL736"/>
      <c r="AM736"/>
      <c r="AN736"/>
      <c r="AO736"/>
      <c r="AP736"/>
      <c r="AQ736"/>
      <c r="AR736"/>
      <c r="AS736"/>
      <c r="AT736"/>
      <c r="AU736"/>
      <c r="AV736" s="1" t="s">
        <v>38</v>
      </c>
      <c r="BG736" s="7" t="s">
        <v>1242</v>
      </c>
    </row>
    <row r="737" spans="1:59" s="1" customFormat="1" ht="180" x14ac:dyDescent="0.45">
      <c r="A737" s="5">
        <v>736</v>
      </c>
      <c r="B737" s="1" t="s">
        <v>11349</v>
      </c>
      <c r="C737" s="6"/>
      <c r="J737" s="1" t="s">
        <v>7557</v>
      </c>
      <c r="K737" s="2" t="s">
        <v>10570</v>
      </c>
      <c r="P737" s="7" t="s">
        <v>1241</v>
      </c>
      <c r="Q737"/>
      <c r="R737"/>
      <c r="S737"/>
      <c r="T737"/>
      <c r="U737"/>
      <c r="V737"/>
      <c r="W737"/>
      <c r="X737"/>
      <c r="Y737"/>
      <c r="Z737"/>
      <c r="AA737"/>
      <c r="AB737"/>
      <c r="AC737"/>
      <c r="AD737"/>
      <c r="AE737"/>
      <c r="AF737"/>
      <c r="AG737"/>
      <c r="AH737"/>
      <c r="AI737"/>
      <c r="AJ737"/>
      <c r="AK737"/>
      <c r="AL737"/>
      <c r="AM737"/>
      <c r="AN737"/>
      <c r="AO737"/>
      <c r="AP737"/>
      <c r="AQ737"/>
      <c r="AR737"/>
      <c r="AS737"/>
      <c r="AT737"/>
      <c r="AU737"/>
      <c r="AV737" s="1" t="s">
        <v>38</v>
      </c>
      <c r="BG737" s="7" t="s">
        <v>1242</v>
      </c>
    </row>
    <row r="738" spans="1:59" s="1" customFormat="1" ht="72" x14ac:dyDescent="0.45">
      <c r="A738" s="5">
        <v>737</v>
      </c>
      <c r="B738" s="1" t="s">
        <v>11350</v>
      </c>
      <c r="C738" s="6"/>
      <c r="J738" s="1" t="s">
        <v>7557</v>
      </c>
      <c r="K738" s="2" t="s">
        <v>10571</v>
      </c>
      <c r="P738" s="7" t="s">
        <v>1241</v>
      </c>
      <c r="Q738"/>
      <c r="R738"/>
      <c r="S738"/>
      <c r="T738"/>
      <c r="U738"/>
      <c r="V738"/>
      <c r="W738"/>
      <c r="X738"/>
      <c r="Y738"/>
      <c r="Z738"/>
      <c r="AA738"/>
      <c r="AB738"/>
      <c r="AC738"/>
      <c r="AD738"/>
      <c r="AE738"/>
      <c r="AF738"/>
      <c r="AG738"/>
      <c r="AH738"/>
      <c r="AI738"/>
      <c r="AJ738"/>
      <c r="AK738"/>
      <c r="AL738"/>
      <c r="AM738"/>
      <c r="AN738"/>
      <c r="AO738"/>
      <c r="AP738"/>
      <c r="AQ738"/>
      <c r="AR738"/>
      <c r="AS738"/>
      <c r="AT738"/>
      <c r="AU738"/>
      <c r="AV738" s="1" t="s">
        <v>38</v>
      </c>
      <c r="BG738" s="7" t="s">
        <v>1242</v>
      </c>
    </row>
    <row r="739" spans="1:59" s="1" customFormat="1" ht="72" x14ac:dyDescent="0.45">
      <c r="A739" s="5">
        <v>738</v>
      </c>
      <c r="B739" s="1" t="s">
        <v>11351</v>
      </c>
      <c r="C739" s="6"/>
      <c r="J739" s="1" t="s">
        <v>7557</v>
      </c>
      <c r="K739" s="2" t="s">
        <v>10572</v>
      </c>
      <c r="P739" s="7" t="s">
        <v>1241</v>
      </c>
      <c r="Q739"/>
      <c r="R739"/>
      <c r="S739"/>
      <c r="T739"/>
      <c r="U739"/>
      <c r="V739"/>
      <c r="W739"/>
      <c r="X739"/>
      <c r="Y739"/>
      <c r="Z739"/>
      <c r="AA739"/>
      <c r="AB739"/>
      <c r="AC739"/>
      <c r="AD739"/>
      <c r="AE739"/>
      <c r="AF739"/>
      <c r="AG739"/>
      <c r="AH739"/>
      <c r="AI739"/>
      <c r="AJ739"/>
      <c r="AK739"/>
      <c r="AL739"/>
      <c r="AM739"/>
      <c r="AN739"/>
      <c r="AO739"/>
      <c r="AP739"/>
      <c r="AQ739"/>
      <c r="AR739"/>
      <c r="AS739"/>
      <c r="AT739"/>
      <c r="AU739"/>
      <c r="AV739" s="1" t="s">
        <v>38</v>
      </c>
      <c r="BG739" s="7" t="s">
        <v>1242</v>
      </c>
    </row>
    <row r="740" spans="1:59" s="1" customFormat="1" ht="126" x14ac:dyDescent="0.45">
      <c r="A740" s="5">
        <v>739</v>
      </c>
      <c r="B740" s="1" t="s">
        <v>11352</v>
      </c>
      <c r="C740" s="6"/>
      <c r="J740" s="1" t="s">
        <v>7557</v>
      </c>
      <c r="K740" s="2" t="s">
        <v>10573</v>
      </c>
      <c r="P740" s="7" t="s">
        <v>1241</v>
      </c>
      <c r="Q740"/>
      <c r="R740"/>
      <c r="S740"/>
      <c r="T740"/>
      <c r="U740"/>
      <c r="V740"/>
      <c r="W740"/>
      <c r="X740"/>
      <c r="Y740"/>
      <c r="Z740"/>
      <c r="AA740"/>
      <c r="AB740"/>
      <c r="AC740"/>
      <c r="AD740"/>
      <c r="AE740"/>
      <c r="AF740"/>
      <c r="AG740"/>
      <c r="AH740"/>
      <c r="AI740"/>
      <c r="AJ740"/>
      <c r="AK740"/>
      <c r="AL740"/>
      <c r="AM740"/>
      <c r="AN740"/>
      <c r="AO740"/>
      <c r="AP740"/>
      <c r="AQ740"/>
      <c r="AR740"/>
      <c r="AS740"/>
      <c r="AT740"/>
      <c r="AU740"/>
      <c r="AV740" s="1" t="s">
        <v>38</v>
      </c>
      <c r="BG740" s="7" t="s">
        <v>1242</v>
      </c>
    </row>
    <row r="741" spans="1:59" s="1" customFormat="1" ht="324" x14ac:dyDescent="0.45">
      <c r="A741" s="5">
        <v>740</v>
      </c>
      <c r="B741" s="1" t="s">
        <v>11353</v>
      </c>
      <c r="C741" s="6"/>
      <c r="J741" s="1" t="s">
        <v>7557</v>
      </c>
      <c r="K741" s="2" t="s">
        <v>11703</v>
      </c>
      <c r="P741" s="7" t="s">
        <v>1241</v>
      </c>
      <c r="Q741"/>
      <c r="R741"/>
      <c r="S741"/>
      <c r="T741"/>
      <c r="U741"/>
      <c r="V741"/>
      <c r="W741"/>
      <c r="X741"/>
      <c r="Y741"/>
      <c r="Z741"/>
      <c r="AA741"/>
      <c r="AB741"/>
      <c r="AC741"/>
      <c r="AD741"/>
      <c r="AE741"/>
      <c r="AF741"/>
      <c r="AG741"/>
      <c r="AH741"/>
      <c r="AI741"/>
      <c r="AJ741"/>
      <c r="AK741"/>
      <c r="AL741"/>
      <c r="AM741"/>
      <c r="AN741"/>
      <c r="AO741"/>
      <c r="AP741"/>
      <c r="AQ741"/>
      <c r="AR741"/>
      <c r="AS741"/>
      <c r="AT741"/>
      <c r="AU741"/>
      <c r="AV741" s="1" t="s">
        <v>38</v>
      </c>
      <c r="BG741" s="7" t="s">
        <v>1242</v>
      </c>
    </row>
    <row r="742" spans="1:59" s="1" customFormat="1" ht="54" x14ac:dyDescent="0.45">
      <c r="A742" s="5">
        <v>741</v>
      </c>
      <c r="B742" s="1" t="s">
        <v>11354</v>
      </c>
      <c r="C742" s="6"/>
      <c r="J742" s="1" t="s">
        <v>7557</v>
      </c>
      <c r="K742" s="2" t="s">
        <v>10574</v>
      </c>
      <c r="P742" s="7" t="s">
        <v>1241</v>
      </c>
      <c r="Q742"/>
      <c r="R742"/>
      <c r="S742"/>
      <c r="T742"/>
      <c r="U742"/>
      <c r="V742"/>
      <c r="W742"/>
      <c r="X742"/>
      <c r="Y742"/>
      <c r="Z742"/>
      <c r="AA742"/>
      <c r="AB742"/>
      <c r="AC742"/>
      <c r="AD742"/>
      <c r="AE742"/>
      <c r="AF742"/>
      <c r="AG742"/>
      <c r="AH742"/>
      <c r="AI742"/>
      <c r="AJ742"/>
      <c r="AK742"/>
      <c r="AL742"/>
      <c r="AM742"/>
      <c r="AN742"/>
      <c r="AO742"/>
      <c r="AP742"/>
      <c r="AQ742"/>
      <c r="AR742"/>
      <c r="AS742"/>
      <c r="AT742"/>
      <c r="AU742"/>
      <c r="AV742" s="1" t="s">
        <v>38</v>
      </c>
      <c r="BG742" s="7" t="s">
        <v>1242</v>
      </c>
    </row>
    <row r="743" spans="1:59" s="1" customFormat="1" ht="108" x14ac:dyDescent="0.45">
      <c r="A743" s="5">
        <v>742</v>
      </c>
      <c r="B743" s="1" t="s">
        <v>11355</v>
      </c>
      <c r="C743" s="6"/>
      <c r="J743" s="1" t="s">
        <v>7557</v>
      </c>
      <c r="K743" s="11" t="s">
        <v>11995</v>
      </c>
      <c r="P743" s="7" t="s">
        <v>1241</v>
      </c>
      <c r="Q743"/>
      <c r="R743"/>
      <c r="S743"/>
      <c r="T743"/>
      <c r="U743"/>
      <c r="V743"/>
      <c r="W743"/>
      <c r="X743"/>
      <c r="Y743"/>
      <c r="Z743"/>
      <c r="AA743"/>
      <c r="AB743"/>
      <c r="AC743"/>
      <c r="AD743"/>
      <c r="AE743"/>
      <c r="AF743"/>
      <c r="AG743"/>
      <c r="AH743"/>
      <c r="AI743"/>
      <c r="AJ743"/>
      <c r="AK743"/>
      <c r="AL743"/>
      <c r="AM743"/>
      <c r="AN743"/>
      <c r="AO743"/>
      <c r="AP743"/>
      <c r="AQ743"/>
      <c r="AR743"/>
      <c r="AS743"/>
      <c r="AT743"/>
      <c r="AU743"/>
      <c r="AV743" s="1" t="s">
        <v>38</v>
      </c>
      <c r="BG743" s="7" t="s">
        <v>1242</v>
      </c>
    </row>
    <row r="744" spans="1:59" s="1" customFormat="1" ht="198" x14ac:dyDescent="0.45">
      <c r="A744" s="5">
        <v>743</v>
      </c>
      <c r="B744" s="1" t="s">
        <v>11356</v>
      </c>
      <c r="C744" s="6"/>
      <c r="J744" s="1" t="s">
        <v>7557</v>
      </c>
      <c r="K744" s="2" t="s">
        <v>11704</v>
      </c>
      <c r="P744" s="7" t="s">
        <v>1241</v>
      </c>
      <c r="Q744"/>
      <c r="R744"/>
      <c r="S744"/>
      <c r="T744"/>
      <c r="U744"/>
      <c r="V744"/>
      <c r="W744"/>
      <c r="X744"/>
      <c r="Y744"/>
      <c r="Z744"/>
      <c r="AA744"/>
      <c r="AB744"/>
      <c r="AC744"/>
      <c r="AD744"/>
      <c r="AE744"/>
      <c r="AF744"/>
      <c r="AG744"/>
      <c r="AH744"/>
      <c r="AI744"/>
      <c r="AJ744"/>
      <c r="AK744"/>
      <c r="AL744"/>
      <c r="AM744"/>
      <c r="AN744"/>
      <c r="AO744"/>
      <c r="AP744"/>
      <c r="AQ744"/>
      <c r="AR744"/>
      <c r="AS744"/>
      <c r="AT744"/>
      <c r="AU744"/>
      <c r="AV744" s="1" t="s">
        <v>38</v>
      </c>
      <c r="BG744" s="7" t="s">
        <v>1242</v>
      </c>
    </row>
    <row r="745" spans="1:59" s="1" customFormat="1" ht="126" x14ac:dyDescent="0.45">
      <c r="A745" s="5">
        <v>744</v>
      </c>
      <c r="B745" s="1" t="s">
        <v>11357</v>
      </c>
      <c r="C745" s="6"/>
      <c r="J745" s="1" t="s">
        <v>7557</v>
      </c>
      <c r="K745" s="11" t="s">
        <v>11996</v>
      </c>
      <c r="P745" s="7" t="s">
        <v>1241</v>
      </c>
      <c r="Q745"/>
      <c r="R745"/>
      <c r="S745"/>
      <c r="T745"/>
      <c r="U745"/>
      <c r="V745"/>
      <c r="W745"/>
      <c r="X745"/>
      <c r="Y745"/>
      <c r="Z745"/>
      <c r="AA745"/>
      <c r="AB745"/>
      <c r="AC745"/>
      <c r="AD745"/>
      <c r="AE745"/>
      <c r="AF745"/>
      <c r="AG745"/>
      <c r="AH745"/>
      <c r="AI745"/>
      <c r="AJ745"/>
      <c r="AK745"/>
      <c r="AL745"/>
      <c r="AM745"/>
      <c r="AN745"/>
      <c r="AO745"/>
      <c r="AP745"/>
      <c r="AQ745"/>
      <c r="AR745"/>
      <c r="AS745"/>
      <c r="AT745"/>
      <c r="AU745"/>
      <c r="AV745" s="1" t="s">
        <v>38</v>
      </c>
      <c r="BG745" s="7" t="s">
        <v>1242</v>
      </c>
    </row>
    <row r="746" spans="1:59" s="1" customFormat="1" ht="72" x14ac:dyDescent="0.45">
      <c r="A746" s="5">
        <v>745</v>
      </c>
      <c r="B746" s="1" t="s">
        <v>11358</v>
      </c>
      <c r="C746" s="6"/>
      <c r="J746" s="1" t="s">
        <v>7557</v>
      </c>
      <c r="K746" s="2" t="s">
        <v>10575</v>
      </c>
      <c r="P746" s="7" t="s">
        <v>1241</v>
      </c>
      <c r="Q746"/>
      <c r="R746"/>
      <c r="S746"/>
      <c r="T746"/>
      <c r="U746"/>
      <c r="V746"/>
      <c r="W746"/>
      <c r="X746"/>
      <c r="Y746"/>
      <c r="Z746"/>
      <c r="AA746"/>
      <c r="AB746"/>
      <c r="AC746"/>
      <c r="AD746"/>
      <c r="AE746"/>
      <c r="AF746"/>
      <c r="AG746"/>
      <c r="AH746"/>
      <c r="AI746"/>
      <c r="AJ746"/>
      <c r="AK746"/>
      <c r="AL746"/>
      <c r="AM746"/>
      <c r="AN746"/>
      <c r="AO746"/>
      <c r="AP746"/>
      <c r="AQ746"/>
      <c r="AR746"/>
      <c r="AS746"/>
      <c r="AT746"/>
      <c r="AU746"/>
      <c r="AV746" s="1" t="s">
        <v>38</v>
      </c>
      <c r="BG746" s="7" t="s">
        <v>1242</v>
      </c>
    </row>
    <row r="747" spans="1:59" s="1" customFormat="1" ht="90" x14ac:dyDescent="0.45">
      <c r="A747" s="5">
        <v>746</v>
      </c>
      <c r="B747" s="1" t="s">
        <v>11359</v>
      </c>
      <c r="C747" s="6"/>
      <c r="J747" s="1" t="s">
        <v>7557</v>
      </c>
      <c r="K747" s="2" t="s">
        <v>10576</v>
      </c>
      <c r="P747" s="7" t="s">
        <v>1241</v>
      </c>
      <c r="Q747"/>
      <c r="R747"/>
      <c r="S747"/>
      <c r="T747"/>
      <c r="U747"/>
      <c r="V747"/>
      <c r="W747"/>
      <c r="X747"/>
      <c r="Y747"/>
      <c r="Z747"/>
      <c r="AA747"/>
      <c r="AB747"/>
      <c r="AC747"/>
      <c r="AD747"/>
      <c r="AE747"/>
      <c r="AF747"/>
      <c r="AG747"/>
      <c r="AH747"/>
      <c r="AI747"/>
      <c r="AJ747"/>
      <c r="AK747"/>
      <c r="AL747"/>
      <c r="AM747"/>
      <c r="AN747"/>
      <c r="AO747"/>
      <c r="AP747"/>
      <c r="AQ747"/>
      <c r="AR747"/>
      <c r="AS747"/>
      <c r="AT747"/>
      <c r="AU747"/>
      <c r="AV747" s="1" t="s">
        <v>38</v>
      </c>
      <c r="BG747" s="7" t="s">
        <v>1242</v>
      </c>
    </row>
    <row r="748" spans="1:59" s="1" customFormat="1" ht="144" x14ac:dyDescent="0.45">
      <c r="A748" s="5">
        <v>747</v>
      </c>
      <c r="B748" s="1" t="s">
        <v>11360</v>
      </c>
      <c r="C748" s="6"/>
      <c r="J748" s="1" t="s">
        <v>7557</v>
      </c>
      <c r="K748" s="11" t="s">
        <v>11997</v>
      </c>
      <c r="P748" s="7" t="s">
        <v>1241</v>
      </c>
      <c r="Q748"/>
      <c r="R748"/>
      <c r="S748"/>
      <c r="T748"/>
      <c r="U748"/>
      <c r="V748"/>
      <c r="W748"/>
      <c r="X748"/>
      <c r="Y748"/>
      <c r="Z748"/>
      <c r="AA748"/>
      <c r="AB748"/>
      <c r="AC748"/>
      <c r="AD748"/>
      <c r="AE748"/>
      <c r="AF748"/>
      <c r="AG748"/>
      <c r="AH748"/>
      <c r="AI748"/>
      <c r="AJ748"/>
      <c r="AK748"/>
      <c r="AL748"/>
      <c r="AM748"/>
      <c r="AN748"/>
      <c r="AO748"/>
      <c r="AP748"/>
      <c r="AQ748"/>
      <c r="AR748"/>
      <c r="AS748"/>
      <c r="AT748"/>
      <c r="AU748"/>
      <c r="AV748" s="1" t="s">
        <v>38</v>
      </c>
      <c r="BG748" s="7" t="s">
        <v>1242</v>
      </c>
    </row>
    <row r="749" spans="1:59" s="1" customFormat="1" ht="126" x14ac:dyDescent="0.45">
      <c r="A749" s="5">
        <v>748</v>
      </c>
      <c r="B749" s="1" t="s">
        <v>11361</v>
      </c>
      <c r="C749" s="6"/>
      <c r="J749" s="1" t="s">
        <v>7557</v>
      </c>
      <c r="K749" s="11" t="s">
        <v>11998</v>
      </c>
      <c r="P749" s="7" t="s">
        <v>1241</v>
      </c>
      <c r="Q749"/>
      <c r="R749"/>
      <c r="S749"/>
      <c r="T749"/>
      <c r="U749"/>
      <c r="V749"/>
      <c r="W749"/>
      <c r="X749"/>
      <c r="Y749"/>
      <c r="Z749"/>
      <c r="AA749"/>
      <c r="AB749"/>
      <c r="AC749"/>
      <c r="AD749"/>
      <c r="AE749"/>
      <c r="AF749"/>
      <c r="AG749"/>
      <c r="AH749"/>
      <c r="AI749"/>
      <c r="AJ749"/>
      <c r="AK749"/>
      <c r="AL749"/>
      <c r="AM749"/>
      <c r="AN749"/>
      <c r="AO749"/>
      <c r="AP749"/>
      <c r="AQ749"/>
      <c r="AR749"/>
      <c r="AS749"/>
      <c r="AT749"/>
      <c r="AU749"/>
      <c r="AV749" s="1" t="s">
        <v>38</v>
      </c>
      <c r="BG749" s="7" t="s">
        <v>1242</v>
      </c>
    </row>
    <row r="750" spans="1:59" s="1" customFormat="1" ht="144" x14ac:dyDescent="0.45">
      <c r="A750" s="5">
        <v>749</v>
      </c>
      <c r="B750" s="1" t="s">
        <v>11362</v>
      </c>
      <c r="C750" s="6"/>
      <c r="J750" s="1" t="s">
        <v>7557</v>
      </c>
      <c r="K750" s="2" t="s">
        <v>10577</v>
      </c>
      <c r="P750" s="7" t="s">
        <v>1241</v>
      </c>
      <c r="Q750"/>
      <c r="R750"/>
      <c r="S750"/>
      <c r="T750"/>
      <c r="U750"/>
      <c r="V750"/>
      <c r="W750"/>
      <c r="X750"/>
      <c r="Y750"/>
      <c r="Z750"/>
      <c r="AA750"/>
      <c r="AB750"/>
      <c r="AC750"/>
      <c r="AD750"/>
      <c r="AE750"/>
      <c r="AF750"/>
      <c r="AG750"/>
      <c r="AH750"/>
      <c r="AI750"/>
      <c r="AJ750"/>
      <c r="AK750"/>
      <c r="AL750"/>
      <c r="AM750"/>
      <c r="AN750"/>
      <c r="AO750"/>
      <c r="AP750"/>
      <c r="AQ750"/>
      <c r="AR750"/>
      <c r="AS750"/>
      <c r="AT750"/>
      <c r="AU750"/>
      <c r="AV750" s="1" t="s">
        <v>38</v>
      </c>
      <c r="BG750" s="7" t="s">
        <v>1242</v>
      </c>
    </row>
    <row r="751" spans="1:59" s="1" customFormat="1" ht="54" x14ac:dyDescent="0.45">
      <c r="A751" s="5">
        <v>750</v>
      </c>
      <c r="B751" s="1" t="s">
        <v>11363</v>
      </c>
      <c r="C751" s="6"/>
      <c r="J751" s="1" t="s">
        <v>7557</v>
      </c>
      <c r="K751" s="2" t="s">
        <v>10578</v>
      </c>
      <c r="P751" s="7" t="s">
        <v>1241</v>
      </c>
      <c r="Q751"/>
      <c r="R751"/>
      <c r="S751"/>
      <c r="T751"/>
      <c r="U751"/>
      <c r="V751"/>
      <c r="W751"/>
      <c r="X751"/>
      <c r="Y751"/>
      <c r="Z751"/>
      <c r="AA751"/>
      <c r="AB751"/>
      <c r="AC751"/>
      <c r="AD751"/>
      <c r="AE751"/>
      <c r="AF751"/>
      <c r="AG751"/>
      <c r="AH751"/>
      <c r="AI751"/>
      <c r="AJ751"/>
      <c r="AK751"/>
      <c r="AL751"/>
      <c r="AM751"/>
      <c r="AN751"/>
      <c r="AO751"/>
      <c r="AP751"/>
      <c r="AQ751"/>
      <c r="AR751"/>
      <c r="AS751"/>
      <c r="AT751"/>
      <c r="AU751"/>
      <c r="AV751" s="1" t="s">
        <v>38</v>
      </c>
      <c r="BG751" s="7" t="s">
        <v>1242</v>
      </c>
    </row>
    <row r="752" spans="1:59" s="1" customFormat="1" ht="180" x14ac:dyDescent="0.45">
      <c r="A752" s="5">
        <v>751</v>
      </c>
      <c r="B752" s="1" t="s">
        <v>11364</v>
      </c>
      <c r="C752" s="6"/>
      <c r="J752" s="1" t="s">
        <v>7557</v>
      </c>
      <c r="K752" s="11" t="s">
        <v>11999</v>
      </c>
      <c r="P752" s="7" t="s">
        <v>1241</v>
      </c>
      <c r="Q752"/>
      <c r="R752"/>
      <c r="S752"/>
      <c r="T752"/>
      <c r="U752"/>
      <c r="V752"/>
      <c r="W752"/>
      <c r="X752"/>
      <c r="Y752"/>
      <c r="Z752"/>
      <c r="AA752"/>
      <c r="AB752"/>
      <c r="AC752"/>
      <c r="AD752"/>
      <c r="AE752"/>
      <c r="AF752"/>
      <c r="AG752"/>
      <c r="AH752"/>
      <c r="AI752"/>
      <c r="AJ752"/>
      <c r="AK752"/>
      <c r="AL752"/>
      <c r="AM752"/>
      <c r="AN752"/>
      <c r="AO752"/>
      <c r="AP752"/>
      <c r="AQ752"/>
      <c r="AR752"/>
      <c r="AS752"/>
      <c r="AT752"/>
      <c r="AU752"/>
      <c r="AV752" s="1" t="s">
        <v>38</v>
      </c>
      <c r="BG752" s="7" t="s">
        <v>1242</v>
      </c>
    </row>
    <row r="753" spans="1:59" s="1" customFormat="1" ht="126" x14ac:dyDescent="0.45">
      <c r="A753" s="5">
        <v>752</v>
      </c>
      <c r="B753" s="1" t="s">
        <v>11365</v>
      </c>
      <c r="C753" s="6"/>
      <c r="J753" s="1" t="s">
        <v>7557</v>
      </c>
      <c r="K753" s="2" t="s">
        <v>11686</v>
      </c>
      <c r="P753" s="7" t="s">
        <v>1241</v>
      </c>
      <c r="Q753"/>
      <c r="R753"/>
      <c r="S753"/>
      <c r="T753"/>
      <c r="U753"/>
      <c r="V753"/>
      <c r="W753"/>
      <c r="X753"/>
      <c r="Y753"/>
      <c r="Z753"/>
      <c r="AA753"/>
      <c r="AB753"/>
      <c r="AC753"/>
      <c r="AD753"/>
      <c r="AE753"/>
      <c r="AF753"/>
      <c r="AG753"/>
      <c r="AH753"/>
      <c r="AI753"/>
      <c r="AJ753"/>
      <c r="AK753"/>
      <c r="AL753"/>
      <c r="AM753"/>
      <c r="AN753"/>
      <c r="AO753"/>
      <c r="AP753"/>
      <c r="AQ753"/>
      <c r="AR753"/>
      <c r="AS753"/>
      <c r="AT753"/>
      <c r="AU753"/>
      <c r="AV753" s="1" t="s">
        <v>38</v>
      </c>
      <c r="BG753" s="7" t="s">
        <v>1242</v>
      </c>
    </row>
    <row r="754" spans="1:59" s="1" customFormat="1" ht="54" x14ac:dyDescent="0.45">
      <c r="A754" s="5">
        <v>753</v>
      </c>
      <c r="B754" s="1" t="s">
        <v>11366</v>
      </c>
      <c r="C754" s="6"/>
      <c r="J754" s="1" t="s">
        <v>7557</v>
      </c>
      <c r="K754" s="2" t="s">
        <v>10579</v>
      </c>
      <c r="P754" s="7" t="s">
        <v>1241</v>
      </c>
      <c r="Q754"/>
      <c r="R754"/>
      <c r="S754"/>
      <c r="T754"/>
      <c r="U754"/>
      <c r="V754"/>
      <c r="W754"/>
      <c r="X754"/>
      <c r="Y754"/>
      <c r="Z754"/>
      <c r="AA754"/>
      <c r="AB754"/>
      <c r="AC754"/>
      <c r="AD754"/>
      <c r="AE754"/>
      <c r="AF754"/>
      <c r="AG754"/>
      <c r="AH754"/>
      <c r="AI754"/>
      <c r="AJ754"/>
      <c r="AK754"/>
      <c r="AL754"/>
      <c r="AM754"/>
      <c r="AN754"/>
      <c r="AO754"/>
      <c r="AP754"/>
      <c r="AQ754"/>
      <c r="AR754"/>
      <c r="AS754"/>
      <c r="AT754"/>
      <c r="AU754"/>
      <c r="AV754" s="1" t="s">
        <v>38</v>
      </c>
      <c r="BG754" s="7" t="s">
        <v>1242</v>
      </c>
    </row>
    <row r="755" spans="1:59" s="1" customFormat="1" ht="72" x14ac:dyDescent="0.45">
      <c r="A755" s="5">
        <v>754</v>
      </c>
      <c r="B755" s="1" t="s">
        <v>11367</v>
      </c>
      <c r="C755" s="6"/>
      <c r="J755" s="1" t="s">
        <v>7557</v>
      </c>
      <c r="K755" s="2" t="s">
        <v>10580</v>
      </c>
      <c r="P755" s="7" t="s">
        <v>1241</v>
      </c>
      <c r="Q755"/>
      <c r="R755"/>
      <c r="S755"/>
      <c r="T755"/>
      <c r="U755"/>
      <c r="V755"/>
      <c r="W755"/>
      <c r="X755"/>
      <c r="Y755"/>
      <c r="Z755"/>
      <c r="AA755"/>
      <c r="AB755"/>
      <c r="AC755"/>
      <c r="AD755"/>
      <c r="AE755"/>
      <c r="AF755"/>
      <c r="AG755"/>
      <c r="AH755"/>
      <c r="AI755"/>
      <c r="AJ755"/>
      <c r="AK755"/>
      <c r="AL755"/>
      <c r="AM755"/>
      <c r="AN755"/>
      <c r="AO755"/>
      <c r="AP755"/>
      <c r="AQ755"/>
      <c r="AR755"/>
      <c r="AS755"/>
      <c r="AT755"/>
      <c r="AU755"/>
      <c r="AV755" s="1" t="s">
        <v>38</v>
      </c>
      <c r="BG755" s="7" t="s">
        <v>1242</v>
      </c>
    </row>
    <row r="756" spans="1:59" s="1" customFormat="1" ht="180" x14ac:dyDescent="0.45">
      <c r="A756" s="5">
        <v>755</v>
      </c>
      <c r="B756" s="1" t="s">
        <v>11368</v>
      </c>
      <c r="C756" s="6"/>
      <c r="J756" s="1" t="s">
        <v>7557</v>
      </c>
      <c r="K756" s="2" t="s">
        <v>10581</v>
      </c>
      <c r="P756" s="7" t="s">
        <v>1241</v>
      </c>
      <c r="Q756"/>
      <c r="R756"/>
      <c r="S756"/>
      <c r="T756"/>
      <c r="U756"/>
      <c r="V756"/>
      <c r="W756"/>
      <c r="X756"/>
      <c r="Y756"/>
      <c r="Z756"/>
      <c r="AA756"/>
      <c r="AB756"/>
      <c r="AC756"/>
      <c r="AD756"/>
      <c r="AE756"/>
      <c r="AF756"/>
      <c r="AG756"/>
      <c r="AH756"/>
      <c r="AI756"/>
      <c r="AJ756"/>
      <c r="AK756"/>
      <c r="AL756"/>
      <c r="AM756"/>
      <c r="AN756"/>
      <c r="AO756"/>
      <c r="AP756"/>
      <c r="AQ756"/>
      <c r="AR756"/>
      <c r="AS756"/>
      <c r="AT756"/>
      <c r="AU756"/>
      <c r="AV756" s="1" t="s">
        <v>38</v>
      </c>
      <c r="BG756" s="7" t="s">
        <v>1242</v>
      </c>
    </row>
    <row r="757" spans="1:59" s="1" customFormat="1" ht="54" x14ac:dyDescent="0.45">
      <c r="A757" s="5">
        <v>756</v>
      </c>
      <c r="B757" s="1" t="s">
        <v>11369</v>
      </c>
      <c r="C757" s="6"/>
      <c r="J757" s="1" t="s">
        <v>7557</v>
      </c>
      <c r="K757" s="2" t="s">
        <v>10582</v>
      </c>
      <c r="P757" s="7" t="s">
        <v>1241</v>
      </c>
      <c r="Q757"/>
      <c r="R757"/>
      <c r="S757"/>
      <c r="T757"/>
      <c r="U757"/>
      <c r="V757"/>
      <c r="W757"/>
      <c r="X757"/>
      <c r="Y757"/>
      <c r="Z757"/>
      <c r="AA757"/>
      <c r="AB757"/>
      <c r="AC757"/>
      <c r="AD757"/>
      <c r="AE757"/>
      <c r="AF757"/>
      <c r="AG757"/>
      <c r="AH757"/>
      <c r="AI757"/>
      <c r="AJ757"/>
      <c r="AK757"/>
      <c r="AL757"/>
      <c r="AM757"/>
      <c r="AN757"/>
      <c r="AO757"/>
      <c r="AP757"/>
      <c r="AQ757"/>
      <c r="AR757"/>
      <c r="AS757"/>
      <c r="AT757"/>
      <c r="AU757"/>
      <c r="AV757" s="1" t="s">
        <v>38</v>
      </c>
      <c r="BG757" s="7" t="s">
        <v>1242</v>
      </c>
    </row>
    <row r="758" spans="1:59" s="1" customFormat="1" ht="54" x14ac:dyDescent="0.45">
      <c r="A758" s="5">
        <v>757</v>
      </c>
      <c r="B758" s="1" t="s">
        <v>11370</v>
      </c>
      <c r="C758" s="6"/>
      <c r="J758" s="1" t="s">
        <v>7557</v>
      </c>
      <c r="K758" s="2" t="s">
        <v>10583</v>
      </c>
      <c r="P758" s="7" t="s">
        <v>1241</v>
      </c>
      <c r="Q758"/>
      <c r="R758"/>
      <c r="S758"/>
      <c r="T758"/>
      <c r="U758"/>
      <c r="V758"/>
      <c r="W758"/>
      <c r="X758"/>
      <c r="Y758"/>
      <c r="Z758"/>
      <c r="AA758"/>
      <c r="AB758"/>
      <c r="AC758"/>
      <c r="AD758"/>
      <c r="AE758"/>
      <c r="AF758"/>
      <c r="AG758"/>
      <c r="AH758"/>
      <c r="AI758"/>
      <c r="AJ758"/>
      <c r="AK758"/>
      <c r="AL758"/>
      <c r="AM758"/>
      <c r="AN758"/>
      <c r="AO758"/>
      <c r="AP758"/>
      <c r="AQ758"/>
      <c r="AR758"/>
      <c r="AS758"/>
      <c r="AT758"/>
      <c r="AU758"/>
      <c r="AV758" s="1" t="s">
        <v>38</v>
      </c>
      <c r="BG758" s="7" t="s">
        <v>1242</v>
      </c>
    </row>
    <row r="759" spans="1:59" s="1" customFormat="1" ht="54" x14ac:dyDescent="0.45">
      <c r="A759" s="5">
        <v>758</v>
      </c>
      <c r="B759" s="1" t="s">
        <v>11371</v>
      </c>
      <c r="C759" s="6"/>
      <c r="J759" s="1" t="s">
        <v>7557</v>
      </c>
      <c r="K759" s="2" t="s">
        <v>10584</v>
      </c>
      <c r="P759" s="7" t="s">
        <v>1241</v>
      </c>
      <c r="Q759"/>
      <c r="R759"/>
      <c r="S759"/>
      <c r="T759"/>
      <c r="U759"/>
      <c r="V759"/>
      <c r="W759"/>
      <c r="X759"/>
      <c r="Y759"/>
      <c r="Z759"/>
      <c r="AA759"/>
      <c r="AB759"/>
      <c r="AC759"/>
      <c r="AD759"/>
      <c r="AE759"/>
      <c r="AF759"/>
      <c r="AG759"/>
      <c r="AH759"/>
      <c r="AI759"/>
      <c r="AJ759"/>
      <c r="AK759"/>
      <c r="AL759"/>
      <c r="AM759"/>
      <c r="AN759"/>
      <c r="AO759"/>
      <c r="AP759"/>
      <c r="AQ759"/>
      <c r="AR759"/>
      <c r="AS759"/>
      <c r="AT759"/>
      <c r="AU759"/>
      <c r="AV759" s="1" t="s">
        <v>38</v>
      </c>
      <c r="BG759" s="7" t="s">
        <v>1242</v>
      </c>
    </row>
    <row r="760" spans="1:59" s="1" customFormat="1" ht="162" x14ac:dyDescent="0.45">
      <c r="A760" s="5">
        <v>759</v>
      </c>
      <c r="B760" s="1" t="s">
        <v>11372</v>
      </c>
      <c r="C760" s="6"/>
      <c r="J760" s="1" t="s">
        <v>7557</v>
      </c>
      <c r="K760" s="2" t="s">
        <v>10585</v>
      </c>
      <c r="P760" s="7" t="s">
        <v>1241</v>
      </c>
      <c r="Q760"/>
      <c r="R760"/>
      <c r="S760"/>
      <c r="T760"/>
      <c r="U760"/>
      <c r="V760"/>
      <c r="W760"/>
      <c r="X760"/>
      <c r="Y760"/>
      <c r="Z760"/>
      <c r="AA760"/>
      <c r="AB760"/>
      <c r="AC760"/>
      <c r="AD760"/>
      <c r="AE760"/>
      <c r="AF760"/>
      <c r="AG760"/>
      <c r="AH760"/>
      <c r="AI760"/>
      <c r="AJ760"/>
      <c r="AK760"/>
      <c r="AL760"/>
      <c r="AM760"/>
      <c r="AN760"/>
      <c r="AO760"/>
      <c r="AP760"/>
      <c r="AQ760"/>
      <c r="AR760"/>
      <c r="AS760"/>
      <c r="AT760"/>
      <c r="AU760"/>
      <c r="AV760" s="1" t="s">
        <v>38</v>
      </c>
      <c r="BG760" s="7" t="s">
        <v>1242</v>
      </c>
    </row>
    <row r="761" spans="1:59" s="1" customFormat="1" ht="144" x14ac:dyDescent="0.45">
      <c r="A761" s="5">
        <v>760</v>
      </c>
      <c r="B761" s="1" t="s">
        <v>11373</v>
      </c>
      <c r="C761" s="6"/>
      <c r="J761" s="1" t="s">
        <v>7557</v>
      </c>
      <c r="K761" s="2" t="s">
        <v>10586</v>
      </c>
      <c r="P761" s="7" t="s">
        <v>1241</v>
      </c>
      <c r="Q761"/>
      <c r="R761"/>
      <c r="S761"/>
      <c r="T761"/>
      <c r="U761"/>
      <c r="V761"/>
      <c r="W761"/>
      <c r="X761"/>
      <c r="Y761"/>
      <c r="Z761"/>
      <c r="AA761"/>
      <c r="AB761"/>
      <c r="AC761"/>
      <c r="AD761"/>
      <c r="AE761"/>
      <c r="AF761"/>
      <c r="AG761"/>
      <c r="AH761"/>
      <c r="AI761"/>
      <c r="AJ761"/>
      <c r="AK761"/>
      <c r="AL761"/>
      <c r="AM761"/>
      <c r="AN761"/>
      <c r="AO761"/>
      <c r="AP761"/>
      <c r="AQ761"/>
      <c r="AR761"/>
      <c r="AS761"/>
      <c r="AT761"/>
      <c r="AU761"/>
      <c r="AV761" s="1" t="s">
        <v>38</v>
      </c>
      <c r="BG761" s="7" t="s">
        <v>1242</v>
      </c>
    </row>
    <row r="762" spans="1:59" s="1" customFormat="1" ht="198" x14ac:dyDescent="0.45">
      <c r="A762" s="5">
        <v>761</v>
      </c>
      <c r="B762" s="1" t="s">
        <v>11374</v>
      </c>
      <c r="C762" s="6"/>
      <c r="J762" s="1" t="s">
        <v>7557</v>
      </c>
      <c r="K762" s="2" t="s">
        <v>10587</v>
      </c>
      <c r="P762" s="7" t="s">
        <v>1241</v>
      </c>
      <c r="Q762"/>
      <c r="R762"/>
      <c r="S762"/>
      <c r="T762"/>
      <c r="U762"/>
      <c r="V762"/>
      <c r="W762"/>
      <c r="X762"/>
      <c r="Y762"/>
      <c r="Z762"/>
      <c r="AA762"/>
      <c r="AB762"/>
      <c r="AC762"/>
      <c r="AD762"/>
      <c r="AE762"/>
      <c r="AF762"/>
      <c r="AG762"/>
      <c r="AH762"/>
      <c r="AI762"/>
      <c r="AJ762"/>
      <c r="AK762"/>
      <c r="AL762"/>
      <c r="AM762"/>
      <c r="AN762"/>
      <c r="AO762"/>
      <c r="AP762"/>
      <c r="AQ762"/>
      <c r="AR762"/>
      <c r="AS762"/>
      <c r="AT762"/>
      <c r="AU762"/>
      <c r="AV762" s="1" t="s">
        <v>38</v>
      </c>
      <c r="BG762" s="7" t="s">
        <v>1242</v>
      </c>
    </row>
    <row r="763" spans="1:59" s="1" customFormat="1" ht="144" x14ac:dyDescent="0.45">
      <c r="A763" s="5">
        <v>762</v>
      </c>
      <c r="B763" s="1" t="s">
        <v>11375</v>
      </c>
      <c r="C763" s="6"/>
      <c r="J763" s="1" t="s">
        <v>7557</v>
      </c>
      <c r="K763" s="2" t="s">
        <v>11730</v>
      </c>
      <c r="P763" s="7" t="s">
        <v>1241</v>
      </c>
      <c r="Q763"/>
      <c r="R763"/>
      <c r="S763"/>
      <c r="T763"/>
      <c r="U763"/>
      <c r="V763"/>
      <c r="W763"/>
      <c r="X763"/>
      <c r="Y763"/>
      <c r="Z763"/>
      <c r="AA763"/>
      <c r="AB763"/>
      <c r="AC763"/>
      <c r="AD763"/>
      <c r="AE763"/>
      <c r="AF763"/>
      <c r="AG763"/>
      <c r="AH763"/>
      <c r="AI763"/>
      <c r="AJ763"/>
      <c r="AK763"/>
      <c r="AL763"/>
      <c r="AM763"/>
      <c r="AN763"/>
      <c r="AO763"/>
      <c r="AP763"/>
      <c r="AQ763"/>
      <c r="AR763"/>
      <c r="AS763"/>
      <c r="AT763"/>
      <c r="AU763"/>
      <c r="AV763" s="1" t="s">
        <v>38</v>
      </c>
      <c r="BG763" s="7" t="s">
        <v>1242</v>
      </c>
    </row>
    <row r="764" spans="1:59" s="1" customFormat="1" ht="72" x14ac:dyDescent="0.45">
      <c r="A764" s="5">
        <v>763</v>
      </c>
      <c r="B764" s="1" t="s">
        <v>11376</v>
      </c>
      <c r="C764" s="6"/>
      <c r="J764" s="1" t="s">
        <v>7557</v>
      </c>
      <c r="K764" s="2" t="s">
        <v>10588</v>
      </c>
      <c r="P764" s="7" t="s">
        <v>1241</v>
      </c>
      <c r="Q764"/>
      <c r="R764"/>
      <c r="S764"/>
      <c r="T764"/>
      <c r="U764"/>
      <c r="V764"/>
      <c r="W764"/>
      <c r="X764"/>
      <c r="Y764"/>
      <c r="Z764"/>
      <c r="AA764"/>
      <c r="AB764"/>
      <c r="AC764"/>
      <c r="AD764"/>
      <c r="AE764"/>
      <c r="AF764"/>
      <c r="AG764"/>
      <c r="AH764"/>
      <c r="AI764"/>
      <c r="AJ764"/>
      <c r="AK764"/>
      <c r="AL764"/>
      <c r="AM764"/>
      <c r="AN764"/>
      <c r="AO764"/>
      <c r="AP764"/>
      <c r="AQ764"/>
      <c r="AR764"/>
      <c r="AS764"/>
      <c r="AT764"/>
      <c r="AU764"/>
      <c r="AV764" s="1" t="s">
        <v>38</v>
      </c>
      <c r="BG764" s="7" t="s">
        <v>1242</v>
      </c>
    </row>
    <row r="765" spans="1:59" s="1" customFormat="1" ht="54" x14ac:dyDescent="0.45">
      <c r="A765" s="5">
        <v>764</v>
      </c>
      <c r="B765" s="1" t="s">
        <v>11377</v>
      </c>
      <c r="C765" s="6"/>
      <c r="J765" s="1" t="s">
        <v>7557</v>
      </c>
      <c r="K765" s="2" t="s">
        <v>10589</v>
      </c>
      <c r="P765" s="7" t="s">
        <v>1241</v>
      </c>
      <c r="Q765"/>
      <c r="R765"/>
      <c r="S765"/>
      <c r="T765"/>
      <c r="U765"/>
      <c r="V765"/>
      <c r="W765"/>
      <c r="X765"/>
      <c r="Y765"/>
      <c r="Z765"/>
      <c r="AA765"/>
      <c r="AB765"/>
      <c r="AC765"/>
      <c r="AD765"/>
      <c r="AE765"/>
      <c r="AF765"/>
      <c r="AG765"/>
      <c r="AH765"/>
      <c r="AI765"/>
      <c r="AJ765"/>
      <c r="AK765"/>
      <c r="AL765"/>
      <c r="AM765"/>
      <c r="AN765"/>
      <c r="AO765"/>
      <c r="AP765"/>
      <c r="AQ765"/>
      <c r="AR765"/>
      <c r="AS765"/>
      <c r="AT765"/>
      <c r="AU765"/>
      <c r="AV765" s="1" t="s">
        <v>38</v>
      </c>
      <c r="BG765" s="7" t="s">
        <v>1242</v>
      </c>
    </row>
    <row r="766" spans="1:59" s="1" customFormat="1" ht="54" x14ac:dyDescent="0.45">
      <c r="A766" s="5">
        <v>765</v>
      </c>
      <c r="B766" s="1" t="s">
        <v>11378</v>
      </c>
      <c r="C766" s="6"/>
      <c r="J766" s="1" t="s">
        <v>7557</v>
      </c>
      <c r="K766" s="2" t="s">
        <v>10590</v>
      </c>
      <c r="P766" s="7" t="s">
        <v>1241</v>
      </c>
      <c r="Q766"/>
      <c r="R766"/>
      <c r="S766"/>
      <c r="T766"/>
      <c r="U766"/>
      <c r="V766"/>
      <c r="W766"/>
      <c r="X766"/>
      <c r="Y766"/>
      <c r="Z766"/>
      <c r="AA766"/>
      <c r="AB766"/>
      <c r="AC766"/>
      <c r="AD766"/>
      <c r="AE766"/>
      <c r="AF766"/>
      <c r="AG766"/>
      <c r="AH766"/>
      <c r="AI766"/>
      <c r="AJ766"/>
      <c r="AK766"/>
      <c r="AL766"/>
      <c r="AM766"/>
      <c r="AN766"/>
      <c r="AO766"/>
      <c r="AP766"/>
      <c r="AQ766"/>
      <c r="AR766"/>
      <c r="AS766"/>
      <c r="AT766"/>
      <c r="AU766"/>
      <c r="AV766" s="1" t="s">
        <v>38</v>
      </c>
      <c r="BG766" s="7" t="s">
        <v>1242</v>
      </c>
    </row>
    <row r="767" spans="1:59" s="1" customFormat="1" ht="108" x14ac:dyDescent="0.45">
      <c r="A767" s="5">
        <v>766</v>
      </c>
      <c r="B767" s="1" t="s">
        <v>11379</v>
      </c>
      <c r="C767" s="6"/>
      <c r="J767" s="1" t="s">
        <v>7557</v>
      </c>
      <c r="K767" s="2" t="s">
        <v>10591</v>
      </c>
      <c r="P767" s="7" t="s">
        <v>1241</v>
      </c>
      <c r="Q767"/>
      <c r="R767"/>
      <c r="S767"/>
      <c r="T767"/>
      <c r="U767"/>
      <c r="V767"/>
      <c r="W767"/>
      <c r="X767"/>
      <c r="Y767"/>
      <c r="Z767"/>
      <c r="AA767"/>
      <c r="AB767"/>
      <c r="AC767"/>
      <c r="AD767"/>
      <c r="AE767"/>
      <c r="AF767"/>
      <c r="AG767"/>
      <c r="AH767"/>
      <c r="AI767"/>
      <c r="AJ767"/>
      <c r="AK767"/>
      <c r="AL767"/>
      <c r="AM767"/>
      <c r="AN767"/>
      <c r="AO767"/>
      <c r="AP767"/>
      <c r="AQ767"/>
      <c r="AR767"/>
      <c r="AS767"/>
      <c r="AT767"/>
      <c r="AU767"/>
      <c r="AV767" s="1" t="s">
        <v>38</v>
      </c>
      <c r="BG767" s="7" t="s">
        <v>1242</v>
      </c>
    </row>
    <row r="768" spans="1:59" s="1" customFormat="1" ht="90" x14ac:dyDescent="0.45">
      <c r="A768" s="5">
        <v>767</v>
      </c>
      <c r="B768" s="1" t="s">
        <v>11380</v>
      </c>
      <c r="C768" s="6"/>
      <c r="J768" s="1" t="s">
        <v>7557</v>
      </c>
      <c r="K768" s="2" t="s">
        <v>10592</v>
      </c>
      <c r="P768" s="7" t="s">
        <v>1241</v>
      </c>
      <c r="Q768"/>
      <c r="R768"/>
      <c r="S768"/>
      <c r="T768"/>
      <c r="U768"/>
      <c r="V768"/>
      <c r="W768"/>
      <c r="X768"/>
      <c r="Y768"/>
      <c r="Z768"/>
      <c r="AA768"/>
      <c r="AB768"/>
      <c r="AC768"/>
      <c r="AD768"/>
      <c r="AE768"/>
      <c r="AF768"/>
      <c r="AG768"/>
      <c r="AH768"/>
      <c r="AI768"/>
      <c r="AJ768"/>
      <c r="AK768"/>
      <c r="AL768"/>
      <c r="AM768"/>
      <c r="AN768"/>
      <c r="AO768"/>
      <c r="AP768"/>
      <c r="AQ768"/>
      <c r="AR768"/>
      <c r="AS768"/>
      <c r="AT768"/>
      <c r="AU768"/>
      <c r="AV768" s="1" t="s">
        <v>38</v>
      </c>
      <c r="BG768" s="7" t="s">
        <v>1242</v>
      </c>
    </row>
    <row r="769" spans="1:59" s="1" customFormat="1" ht="54" x14ac:dyDescent="0.45">
      <c r="A769" s="5">
        <v>768</v>
      </c>
      <c r="B769" s="1" t="s">
        <v>11381</v>
      </c>
      <c r="C769" s="6"/>
      <c r="J769" s="1" t="s">
        <v>7557</v>
      </c>
      <c r="K769" s="2" t="s">
        <v>10593</v>
      </c>
      <c r="P769" s="7" t="s">
        <v>1241</v>
      </c>
      <c r="Q769"/>
      <c r="R769"/>
      <c r="S769"/>
      <c r="T769"/>
      <c r="U769"/>
      <c r="V769"/>
      <c r="W769"/>
      <c r="X769"/>
      <c r="Y769"/>
      <c r="Z769"/>
      <c r="AA769"/>
      <c r="AB769"/>
      <c r="AC769"/>
      <c r="AD769"/>
      <c r="AE769"/>
      <c r="AF769"/>
      <c r="AG769"/>
      <c r="AH769"/>
      <c r="AI769"/>
      <c r="AJ769"/>
      <c r="AK769"/>
      <c r="AL769"/>
      <c r="AM769"/>
      <c r="AN769"/>
      <c r="AO769"/>
      <c r="AP769"/>
      <c r="AQ769"/>
      <c r="AR769"/>
      <c r="AS769"/>
      <c r="AT769"/>
      <c r="AU769"/>
      <c r="AV769" s="1" t="s">
        <v>38</v>
      </c>
      <c r="BG769" s="7" t="s">
        <v>1242</v>
      </c>
    </row>
    <row r="770" spans="1:59" s="1" customFormat="1" ht="108" x14ac:dyDescent="0.45">
      <c r="A770" s="5">
        <v>769</v>
      </c>
      <c r="B770" s="1" t="s">
        <v>11382</v>
      </c>
      <c r="C770" s="6"/>
      <c r="J770" s="1" t="s">
        <v>7557</v>
      </c>
      <c r="K770" s="2" t="s">
        <v>10594</v>
      </c>
      <c r="P770" s="7" t="s">
        <v>1241</v>
      </c>
      <c r="Q770"/>
      <c r="R770"/>
      <c r="S770"/>
      <c r="T770"/>
      <c r="U770"/>
      <c r="V770"/>
      <c r="W770"/>
      <c r="X770"/>
      <c r="Y770"/>
      <c r="Z770"/>
      <c r="AA770"/>
      <c r="AB770"/>
      <c r="AC770"/>
      <c r="AD770"/>
      <c r="AE770"/>
      <c r="AF770"/>
      <c r="AG770"/>
      <c r="AH770"/>
      <c r="AI770"/>
      <c r="AJ770"/>
      <c r="AK770"/>
      <c r="AL770"/>
      <c r="AM770"/>
      <c r="AN770"/>
      <c r="AO770"/>
      <c r="AP770"/>
      <c r="AQ770"/>
      <c r="AR770"/>
      <c r="AS770"/>
      <c r="AT770"/>
      <c r="AU770"/>
      <c r="AV770" s="1" t="s">
        <v>38</v>
      </c>
      <c r="BG770" s="7" t="s">
        <v>1242</v>
      </c>
    </row>
    <row r="771" spans="1:59" s="1" customFormat="1" ht="72" x14ac:dyDescent="0.45">
      <c r="A771" s="5">
        <v>770</v>
      </c>
      <c r="B771" s="1" t="s">
        <v>11383</v>
      </c>
      <c r="C771" s="6"/>
      <c r="J771" s="1" t="s">
        <v>7557</v>
      </c>
      <c r="K771" s="2" t="s">
        <v>11624</v>
      </c>
      <c r="P771" s="7" t="s">
        <v>1241</v>
      </c>
      <c r="Q771"/>
      <c r="R771"/>
      <c r="S771"/>
      <c r="T771"/>
      <c r="U771"/>
      <c r="V771"/>
      <c r="W771"/>
      <c r="X771"/>
      <c r="Y771"/>
      <c r="Z771"/>
      <c r="AA771"/>
      <c r="AB771"/>
      <c r="AC771"/>
      <c r="AD771"/>
      <c r="AE771"/>
      <c r="AF771"/>
      <c r="AG771"/>
      <c r="AH771"/>
      <c r="AI771"/>
      <c r="AJ771"/>
      <c r="AK771"/>
      <c r="AL771"/>
      <c r="AM771"/>
      <c r="AN771"/>
      <c r="AO771"/>
      <c r="AP771"/>
      <c r="AQ771"/>
      <c r="AR771"/>
      <c r="AS771"/>
      <c r="AT771"/>
      <c r="AU771"/>
      <c r="AV771" s="1" t="s">
        <v>38</v>
      </c>
      <c r="BG771" s="7" t="s">
        <v>1242</v>
      </c>
    </row>
    <row r="772" spans="1:59" s="1" customFormat="1" ht="54" x14ac:dyDescent="0.45">
      <c r="A772" s="5">
        <v>771</v>
      </c>
      <c r="B772" s="1" t="s">
        <v>11384</v>
      </c>
      <c r="C772" s="6"/>
      <c r="J772" s="1" t="s">
        <v>7557</v>
      </c>
      <c r="K772" s="2" t="s">
        <v>10595</v>
      </c>
      <c r="P772" s="7" t="s">
        <v>1241</v>
      </c>
      <c r="Q772"/>
      <c r="R772"/>
      <c r="S772"/>
      <c r="T772"/>
      <c r="U772"/>
      <c r="V772"/>
      <c r="W772"/>
      <c r="X772"/>
      <c r="Y772"/>
      <c r="Z772"/>
      <c r="AA772"/>
      <c r="AB772"/>
      <c r="AC772"/>
      <c r="AD772"/>
      <c r="AE772"/>
      <c r="AF772"/>
      <c r="AG772"/>
      <c r="AH772"/>
      <c r="AI772"/>
      <c r="AJ772"/>
      <c r="AK772"/>
      <c r="AL772"/>
      <c r="AM772"/>
      <c r="AN772"/>
      <c r="AO772"/>
      <c r="AP772"/>
      <c r="AQ772"/>
      <c r="AR772"/>
      <c r="AS772"/>
      <c r="AT772"/>
      <c r="AU772"/>
      <c r="AV772" s="1" t="s">
        <v>38</v>
      </c>
      <c r="BG772" s="7" t="s">
        <v>1242</v>
      </c>
    </row>
    <row r="773" spans="1:59" s="1" customFormat="1" ht="126" x14ac:dyDescent="0.45">
      <c r="A773" s="5">
        <v>772</v>
      </c>
      <c r="B773" s="1" t="s">
        <v>11385</v>
      </c>
      <c r="C773" s="6"/>
      <c r="J773" s="1" t="s">
        <v>7557</v>
      </c>
      <c r="K773" s="2" t="s">
        <v>10596</v>
      </c>
      <c r="P773" s="7" t="s">
        <v>1241</v>
      </c>
      <c r="Q773"/>
      <c r="R773"/>
      <c r="S773"/>
      <c r="T773"/>
      <c r="U773"/>
      <c r="V773"/>
      <c r="W773"/>
      <c r="X773"/>
      <c r="Y773"/>
      <c r="Z773"/>
      <c r="AA773"/>
      <c r="AB773"/>
      <c r="AC773"/>
      <c r="AD773"/>
      <c r="AE773"/>
      <c r="AF773"/>
      <c r="AG773"/>
      <c r="AH773"/>
      <c r="AI773"/>
      <c r="AJ773"/>
      <c r="AK773"/>
      <c r="AL773"/>
      <c r="AM773"/>
      <c r="AN773"/>
      <c r="AO773"/>
      <c r="AP773"/>
      <c r="AQ773"/>
      <c r="AR773"/>
      <c r="AS773"/>
      <c r="AT773"/>
      <c r="AU773"/>
      <c r="AV773" s="1" t="s">
        <v>38</v>
      </c>
      <c r="BG773" s="7" t="s">
        <v>1242</v>
      </c>
    </row>
    <row r="774" spans="1:59" s="1" customFormat="1" ht="126" x14ac:dyDescent="0.45">
      <c r="A774" s="5">
        <v>773</v>
      </c>
      <c r="B774" s="1" t="s">
        <v>11386</v>
      </c>
      <c r="C774" s="6"/>
      <c r="J774" s="1" t="s">
        <v>7557</v>
      </c>
      <c r="K774" s="2" t="s">
        <v>11687</v>
      </c>
      <c r="P774" s="7" t="s">
        <v>1241</v>
      </c>
      <c r="Q774"/>
      <c r="R774"/>
      <c r="S774"/>
      <c r="T774"/>
      <c r="U774"/>
      <c r="V774"/>
      <c r="W774"/>
      <c r="X774"/>
      <c r="Y774"/>
      <c r="Z774"/>
      <c r="AA774"/>
      <c r="AB774"/>
      <c r="AC774"/>
      <c r="AD774"/>
      <c r="AE774"/>
      <c r="AF774"/>
      <c r="AG774"/>
      <c r="AH774"/>
      <c r="AI774"/>
      <c r="AJ774"/>
      <c r="AK774"/>
      <c r="AL774"/>
      <c r="AM774"/>
      <c r="AN774"/>
      <c r="AO774"/>
      <c r="AP774"/>
      <c r="AQ774"/>
      <c r="AR774"/>
      <c r="AS774"/>
      <c r="AT774"/>
      <c r="AU774"/>
      <c r="AV774" s="1" t="s">
        <v>38</v>
      </c>
      <c r="BG774" s="7" t="s">
        <v>1242</v>
      </c>
    </row>
    <row r="775" spans="1:59" s="1" customFormat="1" ht="90" x14ac:dyDescent="0.45">
      <c r="A775" s="5">
        <v>774</v>
      </c>
      <c r="B775" s="1" t="s">
        <v>11387</v>
      </c>
      <c r="C775" s="6"/>
      <c r="J775" s="1" t="s">
        <v>7557</v>
      </c>
      <c r="K775" s="2" t="s">
        <v>10597</v>
      </c>
      <c r="P775" s="7" t="s">
        <v>1241</v>
      </c>
      <c r="Q775"/>
      <c r="R775"/>
      <c r="S775"/>
      <c r="T775"/>
      <c r="U775"/>
      <c r="V775"/>
      <c r="W775"/>
      <c r="X775"/>
      <c r="Y775"/>
      <c r="Z775"/>
      <c r="AA775"/>
      <c r="AB775"/>
      <c r="AC775"/>
      <c r="AD775"/>
      <c r="AE775"/>
      <c r="AF775"/>
      <c r="AG775"/>
      <c r="AH775"/>
      <c r="AI775"/>
      <c r="AJ775"/>
      <c r="AK775"/>
      <c r="AL775"/>
      <c r="AM775"/>
      <c r="AN775"/>
      <c r="AO775"/>
      <c r="AP775"/>
      <c r="AQ775"/>
      <c r="AR775"/>
      <c r="AS775"/>
      <c r="AT775"/>
      <c r="AU775"/>
      <c r="AV775" s="1" t="s">
        <v>38</v>
      </c>
      <c r="BG775" s="7" t="s">
        <v>1242</v>
      </c>
    </row>
    <row r="776" spans="1:59" s="1" customFormat="1" ht="216" x14ac:dyDescent="0.45">
      <c r="A776" s="5">
        <v>775</v>
      </c>
      <c r="B776" s="1" t="s">
        <v>11731</v>
      </c>
      <c r="C776" s="6"/>
      <c r="J776" s="1" t="s">
        <v>7557</v>
      </c>
      <c r="K776" s="2" t="s">
        <v>11732</v>
      </c>
      <c r="P776" s="7" t="s">
        <v>1241</v>
      </c>
      <c r="Q776"/>
      <c r="R776"/>
      <c r="S776"/>
      <c r="T776"/>
      <c r="U776"/>
      <c r="V776"/>
      <c r="W776"/>
      <c r="X776"/>
      <c r="Y776"/>
      <c r="Z776"/>
      <c r="AA776"/>
      <c r="AB776"/>
      <c r="AC776"/>
      <c r="AD776"/>
      <c r="AE776"/>
      <c r="AF776"/>
      <c r="AG776"/>
      <c r="AH776"/>
      <c r="AI776"/>
      <c r="AJ776"/>
      <c r="AK776"/>
      <c r="AL776"/>
      <c r="AM776"/>
      <c r="AN776"/>
      <c r="AO776"/>
      <c r="AP776"/>
      <c r="AQ776"/>
      <c r="AR776"/>
      <c r="AS776"/>
      <c r="AT776"/>
      <c r="AU776"/>
      <c r="AV776" s="1" t="s">
        <v>38</v>
      </c>
      <c r="BG776" s="7" t="s">
        <v>1242</v>
      </c>
    </row>
    <row r="777" spans="1:59" s="1" customFormat="1" ht="90" x14ac:dyDescent="0.45">
      <c r="A777" s="5">
        <v>776</v>
      </c>
      <c r="B777" s="1" t="s">
        <v>11388</v>
      </c>
      <c r="C777" s="6"/>
      <c r="J777" s="1" t="s">
        <v>7557</v>
      </c>
      <c r="K777" s="2" t="s">
        <v>11688</v>
      </c>
      <c r="P777" s="7" t="s">
        <v>1241</v>
      </c>
      <c r="Q777"/>
      <c r="R777"/>
      <c r="S777"/>
      <c r="T777"/>
      <c r="U777"/>
      <c r="V777"/>
      <c r="W777"/>
      <c r="X777"/>
      <c r="Y777"/>
      <c r="Z777"/>
      <c r="AA777"/>
      <c r="AB777"/>
      <c r="AC777"/>
      <c r="AD777"/>
      <c r="AE777"/>
      <c r="AF777"/>
      <c r="AG777"/>
      <c r="AH777"/>
      <c r="AI777"/>
      <c r="AJ777"/>
      <c r="AK777"/>
      <c r="AL777"/>
      <c r="AM777"/>
      <c r="AN777"/>
      <c r="AO777"/>
      <c r="AP777"/>
      <c r="AQ777"/>
      <c r="AR777"/>
      <c r="AS777"/>
      <c r="AT777"/>
      <c r="AU777"/>
      <c r="AV777" s="1" t="s">
        <v>38</v>
      </c>
      <c r="BG777" s="7" t="s">
        <v>1242</v>
      </c>
    </row>
    <row r="778" spans="1:59" s="1" customFormat="1" ht="90" x14ac:dyDescent="0.45">
      <c r="A778" s="5">
        <v>777</v>
      </c>
      <c r="B778" s="1" t="s">
        <v>11389</v>
      </c>
      <c r="C778" s="6"/>
      <c r="J778" s="1" t="s">
        <v>7557</v>
      </c>
      <c r="K778" s="2" t="s">
        <v>10598</v>
      </c>
      <c r="P778" s="7" t="s">
        <v>1241</v>
      </c>
      <c r="Q778"/>
      <c r="R778"/>
      <c r="S778"/>
      <c r="T778"/>
      <c r="U778"/>
      <c r="V778"/>
      <c r="W778"/>
      <c r="X778"/>
      <c r="Y778"/>
      <c r="Z778"/>
      <c r="AA778"/>
      <c r="AB778"/>
      <c r="AC778"/>
      <c r="AD778"/>
      <c r="AE778"/>
      <c r="AF778"/>
      <c r="AG778"/>
      <c r="AH778"/>
      <c r="AI778"/>
      <c r="AJ778"/>
      <c r="AK778"/>
      <c r="AL778"/>
      <c r="AM778"/>
      <c r="AN778"/>
      <c r="AO778"/>
      <c r="AP778"/>
      <c r="AQ778"/>
      <c r="AR778"/>
      <c r="AS778"/>
      <c r="AT778"/>
      <c r="AU778"/>
      <c r="AV778" s="1" t="s">
        <v>38</v>
      </c>
      <c r="BG778" s="7" t="s">
        <v>1242</v>
      </c>
    </row>
    <row r="779" spans="1:59" s="1" customFormat="1" ht="108" x14ac:dyDescent="0.45">
      <c r="A779" s="5">
        <v>778</v>
      </c>
      <c r="B779" s="1" t="s">
        <v>11390</v>
      </c>
      <c r="C779" s="6"/>
      <c r="J779" s="1" t="s">
        <v>7557</v>
      </c>
      <c r="K779" s="2" t="s">
        <v>10599</v>
      </c>
      <c r="P779" s="7" t="s">
        <v>1241</v>
      </c>
      <c r="Q779"/>
      <c r="R779"/>
      <c r="S779"/>
      <c r="T779"/>
      <c r="U779"/>
      <c r="V779"/>
      <c r="W779"/>
      <c r="X779"/>
      <c r="Y779"/>
      <c r="Z779"/>
      <c r="AA779"/>
      <c r="AB779"/>
      <c r="AC779"/>
      <c r="AD779"/>
      <c r="AE779"/>
      <c r="AF779"/>
      <c r="AG779"/>
      <c r="AH779"/>
      <c r="AI779"/>
      <c r="AJ779"/>
      <c r="AK779"/>
      <c r="AL779"/>
      <c r="AM779"/>
      <c r="AN779"/>
      <c r="AO779"/>
      <c r="AP779"/>
      <c r="AQ779"/>
      <c r="AR779"/>
      <c r="AS779"/>
      <c r="AT779"/>
      <c r="AU779"/>
      <c r="AV779" s="1" t="s">
        <v>38</v>
      </c>
      <c r="BG779" s="7" t="s">
        <v>1242</v>
      </c>
    </row>
    <row r="780" spans="1:59" s="1" customFormat="1" ht="126" x14ac:dyDescent="0.45">
      <c r="A780" s="5">
        <v>779</v>
      </c>
      <c r="B780" s="1" t="s">
        <v>11391</v>
      </c>
      <c r="C780" s="6"/>
      <c r="J780" s="1" t="s">
        <v>7557</v>
      </c>
      <c r="K780" s="11" t="s">
        <v>12000</v>
      </c>
      <c r="P780" s="7" t="s">
        <v>1241</v>
      </c>
      <c r="Q780"/>
      <c r="R780"/>
      <c r="S780"/>
      <c r="T780"/>
      <c r="U780"/>
      <c r="V780"/>
      <c r="W780"/>
      <c r="X780"/>
      <c r="Y780"/>
      <c r="Z780"/>
      <c r="AA780"/>
      <c r="AB780"/>
      <c r="AC780"/>
      <c r="AD780"/>
      <c r="AE780"/>
      <c r="AF780"/>
      <c r="AG780"/>
      <c r="AH780"/>
      <c r="AI780"/>
      <c r="AJ780"/>
      <c r="AK780"/>
      <c r="AL780"/>
      <c r="AM780"/>
      <c r="AN780"/>
      <c r="AO780"/>
      <c r="AP780"/>
      <c r="AQ780"/>
      <c r="AR780"/>
      <c r="AS780"/>
      <c r="AT780"/>
      <c r="AU780"/>
      <c r="AV780" s="1" t="s">
        <v>38</v>
      </c>
      <c r="BG780" s="7" t="s">
        <v>1242</v>
      </c>
    </row>
    <row r="781" spans="1:59" s="1" customFormat="1" ht="126" x14ac:dyDescent="0.45">
      <c r="A781" s="5">
        <v>780</v>
      </c>
      <c r="B781" s="1" t="s">
        <v>11392</v>
      </c>
      <c r="C781" s="6"/>
      <c r="J781" s="1" t="s">
        <v>7557</v>
      </c>
      <c r="K781" s="11" t="s">
        <v>12001</v>
      </c>
      <c r="P781" s="7" t="s">
        <v>1241</v>
      </c>
      <c r="Q781"/>
      <c r="R781"/>
      <c r="S781"/>
      <c r="T781"/>
      <c r="U781"/>
      <c r="V781"/>
      <c r="W781"/>
      <c r="X781"/>
      <c r="Y781"/>
      <c r="Z781"/>
      <c r="AA781"/>
      <c r="AB781"/>
      <c r="AC781"/>
      <c r="AD781"/>
      <c r="AE781"/>
      <c r="AF781"/>
      <c r="AG781"/>
      <c r="AH781"/>
      <c r="AI781"/>
      <c r="AJ781"/>
      <c r="AK781"/>
      <c r="AL781"/>
      <c r="AM781"/>
      <c r="AN781"/>
      <c r="AO781"/>
      <c r="AP781"/>
      <c r="AQ781"/>
      <c r="AR781"/>
      <c r="AS781"/>
      <c r="AT781"/>
      <c r="AU781"/>
      <c r="AV781" s="1" t="s">
        <v>38</v>
      </c>
      <c r="BG781" s="7" t="s">
        <v>1242</v>
      </c>
    </row>
    <row r="782" spans="1:59" s="1" customFormat="1" ht="54" x14ac:dyDescent="0.45">
      <c r="A782" s="5">
        <v>781</v>
      </c>
      <c r="B782" s="1" t="s">
        <v>11393</v>
      </c>
      <c r="C782" s="6"/>
      <c r="J782" s="1" t="s">
        <v>7557</v>
      </c>
      <c r="K782" s="2" t="s">
        <v>10600</v>
      </c>
      <c r="P782" s="7" t="s">
        <v>1241</v>
      </c>
      <c r="Q782"/>
      <c r="R782"/>
      <c r="S782"/>
      <c r="T782"/>
      <c r="U782"/>
      <c r="V782"/>
      <c r="W782"/>
      <c r="X782"/>
      <c r="Y782"/>
      <c r="Z782"/>
      <c r="AA782"/>
      <c r="AB782"/>
      <c r="AC782"/>
      <c r="AD782"/>
      <c r="AE782"/>
      <c r="AF782"/>
      <c r="AG782"/>
      <c r="AH782"/>
      <c r="AI782"/>
      <c r="AJ782"/>
      <c r="AK782"/>
      <c r="AL782"/>
      <c r="AM782"/>
      <c r="AN782"/>
      <c r="AO782"/>
      <c r="AP782"/>
      <c r="AQ782"/>
      <c r="AR782"/>
      <c r="AS782"/>
      <c r="AT782"/>
      <c r="AU782"/>
      <c r="AV782" s="1" t="s">
        <v>38</v>
      </c>
      <c r="BG782" s="7" t="s">
        <v>1242</v>
      </c>
    </row>
    <row r="783" spans="1:59" s="1" customFormat="1" ht="36" x14ac:dyDescent="0.45">
      <c r="A783" s="5">
        <v>782</v>
      </c>
      <c r="B783" s="1" t="s">
        <v>11394</v>
      </c>
      <c r="C783" s="6"/>
      <c r="J783" s="1" t="s">
        <v>7557</v>
      </c>
      <c r="K783" s="2" t="s">
        <v>10601</v>
      </c>
      <c r="P783" s="7" t="s">
        <v>1241</v>
      </c>
      <c r="Q783"/>
      <c r="R783"/>
      <c r="S783"/>
      <c r="T783"/>
      <c r="U783"/>
      <c r="V783"/>
      <c r="W783"/>
      <c r="X783"/>
      <c r="Y783"/>
      <c r="Z783"/>
      <c r="AA783"/>
      <c r="AB783"/>
      <c r="AC783"/>
      <c r="AD783"/>
      <c r="AE783"/>
      <c r="AF783"/>
      <c r="AG783"/>
      <c r="AH783"/>
      <c r="AI783"/>
      <c r="AJ783"/>
      <c r="AK783"/>
      <c r="AL783"/>
      <c r="AM783"/>
      <c r="AN783"/>
      <c r="AO783"/>
      <c r="AP783"/>
      <c r="AQ783"/>
      <c r="AR783"/>
      <c r="AS783"/>
      <c r="AT783"/>
      <c r="AU783"/>
      <c r="AV783" s="1" t="s">
        <v>38</v>
      </c>
      <c r="BG783" s="7" t="s">
        <v>1242</v>
      </c>
    </row>
    <row r="784" spans="1:59" s="1" customFormat="1" ht="90" x14ac:dyDescent="0.45">
      <c r="A784" s="5">
        <v>783</v>
      </c>
      <c r="B784" s="1" t="s">
        <v>11395</v>
      </c>
      <c r="C784" s="6"/>
      <c r="J784" s="1" t="s">
        <v>7557</v>
      </c>
      <c r="K784" s="2" t="s">
        <v>10602</v>
      </c>
      <c r="P784" s="7" t="s">
        <v>1241</v>
      </c>
      <c r="Q784"/>
      <c r="R784"/>
      <c r="S784"/>
      <c r="T784"/>
      <c r="U784"/>
      <c r="V784"/>
      <c r="W784"/>
      <c r="X784"/>
      <c r="Y784"/>
      <c r="Z784"/>
      <c r="AA784"/>
      <c r="AB784"/>
      <c r="AC784"/>
      <c r="AD784"/>
      <c r="AE784"/>
      <c r="AF784"/>
      <c r="AG784"/>
      <c r="AH784"/>
      <c r="AI784"/>
      <c r="AJ784"/>
      <c r="AK784"/>
      <c r="AL784"/>
      <c r="AM784"/>
      <c r="AN784"/>
      <c r="AO784"/>
      <c r="AP784"/>
      <c r="AQ784"/>
      <c r="AR784"/>
      <c r="AS784"/>
      <c r="AT784"/>
      <c r="AU784"/>
      <c r="AV784" s="1" t="s">
        <v>38</v>
      </c>
      <c r="BG784" s="7" t="s">
        <v>1242</v>
      </c>
    </row>
    <row r="785" spans="1:59" s="1" customFormat="1" ht="72" x14ac:dyDescent="0.45">
      <c r="A785" s="5">
        <v>784</v>
      </c>
      <c r="B785" s="1" t="s">
        <v>11396</v>
      </c>
      <c r="C785" s="6"/>
      <c r="J785" s="1" t="s">
        <v>7557</v>
      </c>
      <c r="K785" s="11" t="s">
        <v>12002</v>
      </c>
      <c r="P785" s="7" t="s">
        <v>1241</v>
      </c>
      <c r="Q785"/>
      <c r="R785"/>
      <c r="S785"/>
      <c r="T785"/>
      <c r="U785"/>
      <c r="V785"/>
      <c r="W785"/>
      <c r="X785"/>
      <c r="Y785"/>
      <c r="Z785"/>
      <c r="AA785"/>
      <c r="AB785"/>
      <c r="AC785"/>
      <c r="AD785"/>
      <c r="AE785"/>
      <c r="AF785"/>
      <c r="AG785"/>
      <c r="AH785"/>
      <c r="AI785"/>
      <c r="AJ785"/>
      <c r="AK785"/>
      <c r="AL785"/>
      <c r="AM785"/>
      <c r="AN785"/>
      <c r="AO785"/>
      <c r="AP785"/>
      <c r="AQ785"/>
      <c r="AR785"/>
      <c r="AS785"/>
      <c r="AT785"/>
      <c r="AU785"/>
      <c r="AV785" s="1" t="s">
        <v>38</v>
      </c>
      <c r="BG785" s="7" t="s">
        <v>1242</v>
      </c>
    </row>
    <row r="786" spans="1:59" s="1" customFormat="1" ht="72" x14ac:dyDescent="0.45">
      <c r="A786" s="5">
        <v>785</v>
      </c>
      <c r="B786" s="1" t="s">
        <v>11397</v>
      </c>
      <c r="C786" s="6"/>
      <c r="J786" s="1" t="s">
        <v>7557</v>
      </c>
      <c r="K786" s="11" t="s">
        <v>12003</v>
      </c>
      <c r="P786" s="7" t="s">
        <v>1241</v>
      </c>
      <c r="Q786"/>
      <c r="R786"/>
      <c r="S786"/>
      <c r="T786"/>
      <c r="U786"/>
      <c r="V786"/>
      <c r="W786"/>
      <c r="X786"/>
      <c r="Y786"/>
      <c r="Z786"/>
      <c r="AA786"/>
      <c r="AB786"/>
      <c r="AC786"/>
      <c r="AD786"/>
      <c r="AE786"/>
      <c r="AF786"/>
      <c r="AG786"/>
      <c r="AH786"/>
      <c r="AI786"/>
      <c r="AJ786"/>
      <c r="AK786"/>
      <c r="AL786"/>
      <c r="AM786"/>
      <c r="AN786"/>
      <c r="AO786"/>
      <c r="AP786"/>
      <c r="AQ786"/>
      <c r="AR786"/>
      <c r="AS786"/>
      <c r="AT786"/>
      <c r="AU786"/>
      <c r="AV786" s="1" t="s">
        <v>38</v>
      </c>
      <c r="BG786" s="7" t="s">
        <v>1242</v>
      </c>
    </row>
    <row r="787" spans="1:59" s="1" customFormat="1" ht="54" x14ac:dyDescent="0.45">
      <c r="A787" s="5">
        <v>786</v>
      </c>
      <c r="B787" s="1" t="s">
        <v>11398</v>
      </c>
      <c r="C787" s="6"/>
      <c r="J787" s="1" t="s">
        <v>7557</v>
      </c>
      <c r="K787" s="2" t="s">
        <v>10603</v>
      </c>
      <c r="P787" s="7" t="s">
        <v>1241</v>
      </c>
      <c r="Q787"/>
      <c r="R787"/>
      <c r="S787"/>
      <c r="T787"/>
      <c r="U787"/>
      <c r="V787"/>
      <c r="W787"/>
      <c r="X787"/>
      <c r="Y787"/>
      <c r="Z787"/>
      <c r="AA787"/>
      <c r="AB787"/>
      <c r="AC787"/>
      <c r="AD787"/>
      <c r="AE787"/>
      <c r="AF787"/>
      <c r="AG787"/>
      <c r="AH787"/>
      <c r="AI787"/>
      <c r="AJ787"/>
      <c r="AK787"/>
      <c r="AL787"/>
      <c r="AM787"/>
      <c r="AN787"/>
      <c r="AO787"/>
      <c r="AP787"/>
      <c r="AQ787"/>
      <c r="AR787"/>
      <c r="AS787"/>
      <c r="AT787"/>
      <c r="AU787"/>
      <c r="AV787" s="1" t="s">
        <v>38</v>
      </c>
      <c r="BG787" s="7" t="s">
        <v>1242</v>
      </c>
    </row>
    <row r="788" spans="1:59" s="1" customFormat="1" ht="126" x14ac:dyDescent="0.45">
      <c r="A788" s="5">
        <v>787</v>
      </c>
      <c r="B788" s="1" t="s">
        <v>11399</v>
      </c>
      <c r="C788" s="6"/>
      <c r="J788" s="1" t="s">
        <v>7557</v>
      </c>
      <c r="K788" s="11" t="s">
        <v>12004</v>
      </c>
      <c r="P788" s="7" t="s">
        <v>1241</v>
      </c>
      <c r="Q788"/>
      <c r="R788"/>
      <c r="S788"/>
      <c r="T788"/>
      <c r="U788"/>
      <c r="V788"/>
      <c r="W788"/>
      <c r="X788"/>
      <c r="Y788"/>
      <c r="Z788"/>
      <c r="AA788"/>
      <c r="AB788"/>
      <c r="AC788"/>
      <c r="AD788"/>
      <c r="AE788"/>
      <c r="AF788"/>
      <c r="AG788"/>
      <c r="AH788"/>
      <c r="AI788"/>
      <c r="AJ788"/>
      <c r="AK788"/>
      <c r="AL788"/>
      <c r="AM788"/>
      <c r="AN788"/>
      <c r="AO788"/>
      <c r="AP788"/>
      <c r="AQ788"/>
      <c r="AR788"/>
      <c r="AS788"/>
      <c r="AT788"/>
      <c r="AU788"/>
      <c r="AV788" s="1" t="s">
        <v>38</v>
      </c>
      <c r="BG788" s="7" t="s">
        <v>1242</v>
      </c>
    </row>
    <row r="789" spans="1:59" s="1" customFormat="1" ht="72" x14ac:dyDescent="0.45">
      <c r="A789" s="5">
        <v>788</v>
      </c>
      <c r="B789" s="1" t="s">
        <v>11400</v>
      </c>
      <c r="C789" s="6"/>
      <c r="J789" s="1" t="s">
        <v>7557</v>
      </c>
      <c r="K789" s="2" t="s">
        <v>10604</v>
      </c>
      <c r="P789" s="7" t="s">
        <v>1241</v>
      </c>
      <c r="Q789"/>
      <c r="R789"/>
      <c r="S789"/>
      <c r="T789"/>
      <c r="U789"/>
      <c r="V789"/>
      <c r="W789"/>
      <c r="X789"/>
      <c r="Y789"/>
      <c r="Z789"/>
      <c r="AA789"/>
      <c r="AB789"/>
      <c r="AC789"/>
      <c r="AD789"/>
      <c r="AE789"/>
      <c r="AF789"/>
      <c r="AG789"/>
      <c r="AH789"/>
      <c r="AI789"/>
      <c r="AJ789"/>
      <c r="AK789"/>
      <c r="AL789"/>
      <c r="AM789"/>
      <c r="AN789"/>
      <c r="AO789"/>
      <c r="AP789"/>
      <c r="AQ789"/>
      <c r="AR789"/>
      <c r="AS789"/>
      <c r="AT789"/>
      <c r="AU789"/>
      <c r="AV789" s="1" t="s">
        <v>38</v>
      </c>
      <c r="BG789" s="7" t="s">
        <v>1242</v>
      </c>
    </row>
    <row r="790" spans="1:59" s="1" customFormat="1" ht="72" x14ac:dyDescent="0.45">
      <c r="A790" s="5">
        <v>789</v>
      </c>
      <c r="B790" s="1" t="s">
        <v>11401</v>
      </c>
      <c r="C790" s="6"/>
      <c r="J790" s="1" t="s">
        <v>7557</v>
      </c>
      <c r="K790" s="11" t="s">
        <v>12005</v>
      </c>
      <c r="P790" s="7" t="s">
        <v>1241</v>
      </c>
      <c r="Q790"/>
      <c r="R790"/>
      <c r="S790"/>
      <c r="T790"/>
      <c r="U790"/>
      <c r="V790"/>
      <c r="W790"/>
      <c r="X790"/>
      <c r="Y790"/>
      <c r="Z790"/>
      <c r="AA790"/>
      <c r="AB790"/>
      <c r="AC790"/>
      <c r="AD790"/>
      <c r="AE790"/>
      <c r="AF790"/>
      <c r="AG790"/>
      <c r="AH790"/>
      <c r="AI790"/>
      <c r="AJ790"/>
      <c r="AK790"/>
      <c r="AL790"/>
      <c r="AM790"/>
      <c r="AN790"/>
      <c r="AO790"/>
      <c r="AP790"/>
      <c r="AQ790"/>
      <c r="AR790"/>
      <c r="AS790"/>
      <c r="AT790"/>
      <c r="AU790"/>
      <c r="AV790" s="1" t="s">
        <v>38</v>
      </c>
      <c r="BG790" s="7" t="s">
        <v>1242</v>
      </c>
    </row>
    <row r="791" spans="1:59" s="1" customFormat="1" ht="108" x14ac:dyDescent="0.45">
      <c r="A791" s="5">
        <v>790</v>
      </c>
      <c r="B791" s="1" t="s">
        <v>11402</v>
      </c>
      <c r="C791" s="6"/>
      <c r="J791" s="1" t="s">
        <v>7557</v>
      </c>
      <c r="K791" s="2" t="s">
        <v>10605</v>
      </c>
      <c r="P791" s="7" t="s">
        <v>1241</v>
      </c>
      <c r="Q791"/>
      <c r="R791"/>
      <c r="S791"/>
      <c r="T791"/>
      <c r="U791"/>
      <c r="V791"/>
      <c r="W791"/>
      <c r="X791"/>
      <c r="Y791"/>
      <c r="Z791"/>
      <c r="AA791"/>
      <c r="AB791"/>
      <c r="AC791"/>
      <c r="AD791"/>
      <c r="AE791"/>
      <c r="AF791"/>
      <c r="AG791"/>
      <c r="AH791"/>
      <c r="AI791"/>
      <c r="AJ791"/>
      <c r="AK791"/>
      <c r="AL791"/>
      <c r="AM791"/>
      <c r="AN791"/>
      <c r="AO791"/>
      <c r="AP791"/>
      <c r="AQ791"/>
      <c r="AR791"/>
      <c r="AS791"/>
      <c r="AT791"/>
      <c r="AU791"/>
      <c r="AV791" s="1" t="s">
        <v>38</v>
      </c>
      <c r="BG791" s="7" t="s">
        <v>1242</v>
      </c>
    </row>
    <row r="792" spans="1:59" s="1" customFormat="1" ht="270" x14ac:dyDescent="0.45">
      <c r="A792" s="5">
        <v>791</v>
      </c>
      <c r="B792" s="1" t="s">
        <v>11403</v>
      </c>
      <c r="C792" s="6"/>
      <c r="J792" s="1" t="s">
        <v>7557</v>
      </c>
      <c r="K792" s="2" t="s">
        <v>10606</v>
      </c>
      <c r="P792" s="7" t="s">
        <v>1241</v>
      </c>
      <c r="Q792"/>
      <c r="R792"/>
      <c r="S792"/>
      <c r="T792"/>
      <c r="U792"/>
      <c r="V792"/>
      <c r="W792"/>
      <c r="X792"/>
      <c r="Y792"/>
      <c r="Z792"/>
      <c r="AA792"/>
      <c r="AB792"/>
      <c r="AC792"/>
      <c r="AD792"/>
      <c r="AE792"/>
      <c r="AF792"/>
      <c r="AG792"/>
      <c r="AH792"/>
      <c r="AI792"/>
      <c r="AJ792"/>
      <c r="AK792"/>
      <c r="AL792"/>
      <c r="AM792"/>
      <c r="AN792"/>
      <c r="AO792"/>
      <c r="AP792"/>
      <c r="AQ792"/>
      <c r="AR792"/>
      <c r="AS792"/>
      <c r="AT792"/>
      <c r="AU792"/>
      <c r="AV792" s="1" t="s">
        <v>38</v>
      </c>
      <c r="BG792" s="7" t="s">
        <v>1242</v>
      </c>
    </row>
    <row r="793" spans="1:59" s="1" customFormat="1" ht="54" x14ac:dyDescent="0.45">
      <c r="A793" s="5">
        <v>792</v>
      </c>
      <c r="B793" s="1" t="s">
        <v>10607</v>
      </c>
      <c r="C793" s="6"/>
      <c r="J793" s="1" t="s">
        <v>7557</v>
      </c>
      <c r="K793" s="2" t="s">
        <v>10608</v>
      </c>
      <c r="P793" s="7" t="s">
        <v>1241</v>
      </c>
      <c r="Q793"/>
      <c r="R793"/>
      <c r="S793"/>
      <c r="T793"/>
      <c r="U793"/>
      <c r="V793"/>
      <c r="W793"/>
      <c r="X793"/>
      <c r="Y793"/>
      <c r="Z793"/>
      <c r="AA793"/>
      <c r="AB793"/>
      <c r="AC793"/>
      <c r="AD793"/>
      <c r="AE793"/>
      <c r="AF793"/>
      <c r="AG793"/>
      <c r="AH793"/>
      <c r="AI793"/>
      <c r="AJ793"/>
      <c r="AK793"/>
      <c r="AL793"/>
      <c r="AM793"/>
      <c r="AN793"/>
      <c r="AO793"/>
      <c r="AP793"/>
      <c r="AQ793"/>
      <c r="AR793"/>
      <c r="AS793"/>
      <c r="AT793"/>
      <c r="AU793"/>
      <c r="AV793" s="1" t="s">
        <v>38</v>
      </c>
      <c r="BG793" s="7" t="s">
        <v>1242</v>
      </c>
    </row>
    <row r="794" spans="1:59" s="1" customFormat="1" ht="54" x14ac:dyDescent="0.45">
      <c r="A794" s="5">
        <v>793</v>
      </c>
      <c r="B794" s="1" t="s">
        <v>11404</v>
      </c>
      <c r="C794" s="6"/>
      <c r="J794" s="1" t="s">
        <v>7557</v>
      </c>
      <c r="K794" s="2" t="s">
        <v>10609</v>
      </c>
      <c r="P794" s="7" t="s">
        <v>1241</v>
      </c>
      <c r="Q794"/>
      <c r="R794"/>
      <c r="S794"/>
      <c r="T794"/>
      <c r="U794"/>
      <c r="V794"/>
      <c r="W794"/>
      <c r="X794"/>
      <c r="Y794"/>
      <c r="Z794"/>
      <c r="AA794"/>
      <c r="AB794"/>
      <c r="AC794"/>
      <c r="AD794"/>
      <c r="AE794"/>
      <c r="AF794"/>
      <c r="AG794"/>
      <c r="AH794"/>
      <c r="AI794"/>
      <c r="AJ794"/>
      <c r="AK794"/>
      <c r="AL794"/>
      <c r="AM794"/>
      <c r="AN794"/>
      <c r="AO794"/>
      <c r="AP794"/>
      <c r="AQ794"/>
      <c r="AR794"/>
      <c r="AS794"/>
      <c r="AT794"/>
      <c r="AU794"/>
      <c r="AV794" s="1" t="s">
        <v>38</v>
      </c>
      <c r="BG794" s="7" t="s">
        <v>1242</v>
      </c>
    </row>
    <row r="795" spans="1:59" s="1" customFormat="1" ht="108" x14ac:dyDescent="0.45">
      <c r="A795" s="5">
        <v>794</v>
      </c>
      <c r="B795" s="1" t="s">
        <v>10610</v>
      </c>
      <c r="C795" s="6"/>
      <c r="J795" s="1" t="s">
        <v>7557</v>
      </c>
      <c r="K795" s="11" t="s">
        <v>12006</v>
      </c>
      <c r="P795" s="7" t="s">
        <v>1241</v>
      </c>
      <c r="Q795"/>
      <c r="R795"/>
      <c r="S795"/>
      <c r="T795"/>
      <c r="U795"/>
      <c r="V795"/>
      <c r="W795"/>
      <c r="X795"/>
      <c r="Y795"/>
      <c r="Z795"/>
      <c r="AA795"/>
      <c r="AB795"/>
      <c r="AC795"/>
      <c r="AD795"/>
      <c r="AE795"/>
      <c r="AF795"/>
      <c r="AG795"/>
      <c r="AH795"/>
      <c r="AI795"/>
      <c r="AJ795"/>
      <c r="AK795"/>
      <c r="AL795"/>
      <c r="AM795"/>
      <c r="AN795"/>
      <c r="AO795"/>
      <c r="AP795"/>
      <c r="AQ795"/>
      <c r="AR795"/>
      <c r="AS795"/>
      <c r="AT795"/>
      <c r="AU795"/>
      <c r="AV795" s="1" t="s">
        <v>38</v>
      </c>
      <c r="BG795" s="7" t="s">
        <v>1242</v>
      </c>
    </row>
    <row r="796" spans="1:59" s="1" customFormat="1" ht="234" x14ac:dyDescent="0.45">
      <c r="A796" s="5">
        <v>795</v>
      </c>
      <c r="B796" s="1" t="s">
        <v>11405</v>
      </c>
      <c r="C796" s="6"/>
      <c r="J796" s="1" t="s">
        <v>7557</v>
      </c>
      <c r="K796" s="2" t="s">
        <v>10611</v>
      </c>
      <c r="P796" s="7" t="s">
        <v>1241</v>
      </c>
      <c r="Q796"/>
      <c r="R796"/>
      <c r="S796"/>
      <c r="T796"/>
      <c r="U796"/>
      <c r="V796"/>
      <c r="W796"/>
      <c r="X796"/>
      <c r="Y796"/>
      <c r="Z796"/>
      <c r="AA796"/>
      <c r="AB796"/>
      <c r="AC796"/>
      <c r="AD796"/>
      <c r="AE796"/>
      <c r="AF796"/>
      <c r="AG796"/>
      <c r="AH796"/>
      <c r="AI796"/>
      <c r="AJ796"/>
      <c r="AK796"/>
      <c r="AL796"/>
      <c r="AM796"/>
      <c r="AN796"/>
      <c r="AO796"/>
      <c r="AP796"/>
      <c r="AQ796"/>
      <c r="AR796"/>
      <c r="AS796"/>
      <c r="AT796"/>
      <c r="AU796"/>
      <c r="AV796" s="1" t="s">
        <v>38</v>
      </c>
      <c r="BG796" s="7" t="s">
        <v>1242</v>
      </c>
    </row>
    <row r="797" spans="1:59" s="1" customFormat="1" ht="144" x14ac:dyDescent="0.45">
      <c r="A797" s="5">
        <v>796</v>
      </c>
      <c r="B797" s="1" t="s">
        <v>11406</v>
      </c>
      <c r="C797" s="6"/>
      <c r="J797" s="1" t="s">
        <v>7557</v>
      </c>
      <c r="K797" s="2" t="s">
        <v>10612</v>
      </c>
      <c r="P797" s="7" t="s">
        <v>1241</v>
      </c>
      <c r="Q797"/>
      <c r="R797"/>
      <c r="S797"/>
      <c r="T797"/>
      <c r="U797"/>
      <c r="V797"/>
      <c r="W797"/>
      <c r="X797"/>
      <c r="Y797"/>
      <c r="Z797"/>
      <c r="AA797"/>
      <c r="AB797"/>
      <c r="AC797"/>
      <c r="AD797"/>
      <c r="AE797"/>
      <c r="AF797"/>
      <c r="AG797"/>
      <c r="AH797"/>
      <c r="AI797"/>
      <c r="AJ797"/>
      <c r="AK797"/>
      <c r="AL797"/>
      <c r="AM797"/>
      <c r="AN797"/>
      <c r="AO797"/>
      <c r="AP797"/>
      <c r="AQ797"/>
      <c r="AR797"/>
      <c r="AS797"/>
      <c r="AT797"/>
      <c r="AU797"/>
      <c r="AV797" s="1" t="s">
        <v>38</v>
      </c>
      <c r="BG797" s="7" t="s">
        <v>1242</v>
      </c>
    </row>
    <row r="798" spans="1:59" s="1" customFormat="1" ht="72" x14ac:dyDescent="0.45">
      <c r="A798" s="5">
        <v>797</v>
      </c>
      <c r="B798" s="1" t="s">
        <v>11407</v>
      </c>
      <c r="C798" s="6"/>
      <c r="J798" s="1" t="s">
        <v>7557</v>
      </c>
      <c r="K798" s="11" t="s">
        <v>12007</v>
      </c>
      <c r="P798" s="7" t="s">
        <v>1241</v>
      </c>
      <c r="Q798"/>
      <c r="R798"/>
      <c r="S798"/>
      <c r="T798"/>
      <c r="U798"/>
      <c r="V798"/>
      <c r="W798"/>
      <c r="X798"/>
      <c r="Y798"/>
      <c r="Z798"/>
      <c r="AA798"/>
      <c r="AB798"/>
      <c r="AC798"/>
      <c r="AD798"/>
      <c r="AE798"/>
      <c r="AF798"/>
      <c r="AG798"/>
      <c r="AH798"/>
      <c r="AI798"/>
      <c r="AJ798"/>
      <c r="AK798"/>
      <c r="AL798"/>
      <c r="AM798"/>
      <c r="AN798"/>
      <c r="AO798"/>
      <c r="AP798"/>
      <c r="AQ798"/>
      <c r="AR798"/>
      <c r="AS798"/>
      <c r="AT798"/>
      <c r="AU798"/>
      <c r="AV798" s="1" t="s">
        <v>38</v>
      </c>
      <c r="BG798" s="7" t="s">
        <v>1242</v>
      </c>
    </row>
    <row r="799" spans="1:59" s="1" customFormat="1" ht="54" x14ac:dyDescent="0.45">
      <c r="A799" s="5">
        <v>798</v>
      </c>
      <c r="B799" s="1" t="s">
        <v>11408</v>
      </c>
      <c r="C799" s="6"/>
      <c r="J799" s="1" t="s">
        <v>7557</v>
      </c>
      <c r="K799" s="2" t="s">
        <v>10613</v>
      </c>
      <c r="P799" s="7" t="s">
        <v>1241</v>
      </c>
      <c r="Q799"/>
      <c r="R799"/>
      <c r="S799"/>
      <c r="T799"/>
      <c r="U799"/>
      <c r="V799"/>
      <c r="W799"/>
      <c r="X799"/>
      <c r="Y799"/>
      <c r="Z799"/>
      <c r="AA799"/>
      <c r="AB799"/>
      <c r="AC799"/>
      <c r="AD799"/>
      <c r="AE799"/>
      <c r="AF799"/>
      <c r="AG799"/>
      <c r="AH799"/>
      <c r="AI799"/>
      <c r="AJ799"/>
      <c r="AK799"/>
      <c r="AL799"/>
      <c r="AM799"/>
      <c r="AN799"/>
      <c r="AO799"/>
      <c r="AP799"/>
      <c r="AQ799"/>
      <c r="AR799"/>
      <c r="AS799"/>
      <c r="AT799"/>
      <c r="AU799"/>
      <c r="AV799" s="1" t="s">
        <v>38</v>
      </c>
      <c r="BG799" s="7" t="s">
        <v>1242</v>
      </c>
    </row>
    <row r="800" spans="1:59" s="1" customFormat="1" ht="144" x14ac:dyDescent="0.45">
      <c r="A800" s="5">
        <v>799</v>
      </c>
      <c r="B800" s="1" t="s">
        <v>11409</v>
      </c>
      <c r="C800" s="6"/>
      <c r="J800" s="1" t="s">
        <v>7557</v>
      </c>
      <c r="K800" s="2" t="s">
        <v>10614</v>
      </c>
      <c r="P800" s="7" t="s">
        <v>1241</v>
      </c>
      <c r="Q800"/>
      <c r="R800"/>
      <c r="S800"/>
      <c r="T800"/>
      <c r="U800"/>
      <c r="V800"/>
      <c r="W800"/>
      <c r="X800"/>
      <c r="Y800"/>
      <c r="Z800"/>
      <c r="AA800"/>
      <c r="AB800"/>
      <c r="AC800"/>
      <c r="AD800"/>
      <c r="AE800"/>
      <c r="AF800"/>
      <c r="AG800"/>
      <c r="AH800"/>
      <c r="AI800"/>
      <c r="AJ800"/>
      <c r="AK800"/>
      <c r="AL800"/>
      <c r="AM800"/>
      <c r="AN800"/>
      <c r="AO800"/>
      <c r="AP800"/>
      <c r="AQ800"/>
      <c r="AR800"/>
      <c r="AS800"/>
      <c r="AT800"/>
      <c r="AU800"/>
      <c r="AV800" s="1" t="s">
        <v>38</v>
      </c>
      <c r="BG800" s="7" t="s">
        <v>1242</v>
      </c>
    </row>
    <row r="801" spans="1:59" s="1" customFormat="1" ht="126" x14ac:dyDescent="0.45">
      <c r="A801" s="5">
        <v>800</v>
      </c>
      <c r="B801" s="1" t="s">
        <v>11410</v>
      </c>
      <c r="C801" s="6"/>
      <c r="J801" s="1" t="s">
        <v>7557</v>
      </c>
      <c r="K801" s="11" t="s">
        <v>12008</v>
      </c>
      <c r="P801" s="7" t="s">
        <v>1241</v>
      </c>
      <c r="Q801"/>
      <c r="R801"/>
      <c r="S801"/>
      <c r="T801"/>
      <c r="U801"/>
      <c r="V801"/>
      <c r="W801"/>
      <c r="X801"/>
      <c r="Y801"/>
      <c r="Z801"/>
      <c r="AA801"/>
      <c r="AB801"/>
      <c r="AC801"/>
      <c r="AD801"/>
      <c r="AE801"/>
      <c r="AF801"/>
      <c r="AG801"/>
      <c r="AH801"/>
      <c r="AI801"/>
      <c r="AJ801"/>
      <c r="AK801"/>
      <c r="AL801"/>
      <c r="AM801"/>
      <c r="AN801"/>
      <c r="AO801"/>
      <c r="AP801"/>
      <c r="AQ801"/>
      <c r="AR801"/>
      <c r="AS801"/>
      <c r="AT801"/>
      <c r="AU801"/>
      <c r="AV801" s="1" t="s">
        <v>38</v>
      </c>
      <c r="BG801" s="7" t="s">
        <v>1242</v>
      </c>
    </row>
    <row r="802" spans="1:59" s="1" customFormat="1" ht="144" x14ac:dyDescent="0.45">
      <c r="A802" s="5">
        <v>801</v>
      </c>
      <c r="B802" s="1" t="s">
        <v>11411</v>
      </c>
      <c r="C802" s="6"/>
      <c r="J802" s="1" t="s">
        <v>7557</v>
      </c>
      <c r="K802" s="2" t="s">
        <v>11705</v>
      </c>
      <c r="P802" s="7" t="s">
        <v>1241</v>
      </c>
      <c r="Q802"/>
      <c r="R802"/>
      <c r="S802"/>
      <c r="T802"/>
      <c r="U802"/>
      <c r="V802"/>
      <c r="W802"/>
      <c r="X802"/>
      <c r="Y802"/>
      <c r="Z802"/>
      <c r="AA802"/>
      <c r="AB802"/>
      <c r="AC802"/>
      <c r="AD802"/>
      <c r="AE802"/>
      <c r="AF802"/>
      <c r="AG802"/>
      <c r="AH802"/>
      <c r="AI802"/>
      <c r="AJ802"/>
      <c r="AK802"/>
      <c r="AL802"/>
      <c r="AM802"/>
      <c r="AN802"/>
      <c r="AO802"/>
      <c r="AP802"/>
      <c r="AQ802"/>
      <c r="AR802"/>
      <c r="AS802"/>
      <c r="AT802"/>
      <c r="AU802"/>
      <c r="AV802" s="1" t="s">
        <v>38</v>
      </c>
      <c r="BG802" s="7" t="s">
        <v>1242</v>
      </c>
    </row>
    <row r="803" spans="1:59" s="1" customFormat="1" ht="54" x14ac:dyDescent="0.45">
      <c r="A803" s="5">
        <v>802</v>
      </c>
      <c r="B803" s="1" t="s">
        <v>11412</v>
      </c>
      <c r="C803" s="6"/>
      <c r="J803" s="1" t="s">
        <v>7557</v>
      </c>
      <c r="K803" s="2" t="s">
        <v>10615</v>
      </c>
      <c r="P803" s="7" t="s">
        <v>1241</v>
      </c>
      <c r="Q803"/>
      <c r="R803"/>
      <c r="S803"/>
      <c r="T803"/>
      <c r="U803"/>
      <c r="V803"/>
      <c r="W803"/>
      <c r="X803"/>
      <c r="Y803"/>
      <c r="Z803"/>
      <c r="AA803"/>
      <c r="AB803"/>
      <c r="AC803"/>
      <c r="AD803"/>
      <c r="AE803"/>
      <c r="AF803"/>
      <c r="AG803"/>
      <c r="AH803"/>
      <c r="AI803"/>
      <c r="AJ803"/>
      <c r="AK803"/>
      <c r="AL803"/>
      <c r="AM803"/>
      <c r="AN803"/>
      <c r="AO803"/>
      <c r="AP803"/>
      <c r="AQ803"/>
      <c r="AR803"/>
      <c r="AS803"/>
      <c r="AT803"/>
      <c r="AU803"/>
      <c r="AV803" s="1" t="s">
        <v>38</v>
      </c>
      <c r="BG803" s="7" t="s">
        <v>1242</v>
      </c>
    </row>
    <row r="804" spans="1:59" s="1" customFormat="1" ht="90" x14ac:dyDescent="0.45">
      <c r="A804" s="5">
        <v>803</v>
      </c>
      <c r="B804" s="1" t="s">
        <v>11413</v>
      </c>
      <c r="C804" s="6"/>
      <c r="J804" s="1" t="s">
        <v>7557</v>
      </c>
      <c r="K804" s="11" t="s">
        <v>12009</v>
      </c>
      <c r="P804" s="7" t="s">
        <v>1241</v>
      </c>
      <c r="Q804"/>
      <c r="R804"/>
      <c r="S804"/>
      <c r="T804"/>
      <c r="U804"/>
      <c r="V804"/>
      <c r="W804"/>
      <c r="X804"/>
      <c r="Y804"/>
      <c r="Z804"/>
      <c r="AA804"/>
      <c r="AB804"/>
      <c r="AC804"/>
      <c r="AD804"/>
      <c r="AE804"/>
      <c r="AF804"/>
      <c r="AG804"/>
      <c r="AH804"/>
      <c r="AI804"/>
      <c r="AJ804"/>
      <c r="AK804"/>
      <c r="AL804"/>
      <c r="AM804"/>
      <c r="AN804"/>
      <c r="AO804"/>
      <c r="AP804"/>
      <c r="AQ804"/>
      <c r="AR804"/>
      <c r="AS804"/>
      <c r="AT804"/>
      <c r="AU804"/>
      <c r="AV804" s="1" t="s">
        <v>38</v>
      </c>
      <c r="BG804" s="7" t="s">
        <v>1242</v>
      </c>
    </row>
    <row r="805" spans="1:59" s="1" customFormat="1" ht="72" x14ac:dyDescent="0.45">
      <c r="A805" s="5">
        <v>804</v>
      </c>
      <c r="B805" s="1" t="s">
        <v>11414</v>
      </c>
      <c r="C805" s="6"/>
      <c r="J805" s="1" t="s">
        <v>7557</v>
      </c>
      <c r="K805" s="2" t="s">
        <v>10616</v>
      </c>
      <c r="P805" s="7" t="s">
        <v>1241</v>
      </c>
      <c r="Q805"/>
      <c r="R805"/>
      <c r="S805"/>
      <c r="T805"/>
      <c r="U805"/>
      <c r="V805"/>
      <c r="W805"/>
      <c r="X805"/>
      <c r="Y805"/>
      <c r="Z805"/>
      <c r="AA805"/>
      <c r="AB805"/>
      <c r="AC805"/>
      <c r="AD805"/>
      <c r="AE805"/>
      <c r="AF805"/>
      <c r="AG805"/>
      <c r="AH805"/>
      <c r="AI805"/>
      <c r="AJ805"/>
      <c r="AK805"/>
      <c r="AL805"/>
      <c r="AM805"/>
      <c r="AN805"/>
      <c r="AO805"/>
      <c r="AP805"/>
      <c r="AQ805"/>
      <c r="AR805"/>
      <c r="AS805"/>
      <c r="AT805"/>
      <c r="AU805"/>
      <c r="AV805" s="1" t="s">
        <v>38</v>
      </c>
      <c r="BG805" s="7" t="s">
        <v>1242</v>
      </c>
    </row>
    <row r="806" spans="1:59" s="1" customFormat="1" ht="54" x14ac:dyDescent="0.45">
      <c r="A806" s="5">
        <v>805</v>
      </c>
      <c r="B806" s="1" t="s">
        <v>11415</v>
      </c>
      <c r="C806" s="6"/>
      <c r="J806" s="1" t="s">
        <v>7557</v>
      </c>
      <c r="K806" s="2" t="s">
        <v>10617</v>
      </c>
      <c r="P806" s="7" t="s">
        <v>1241</v>
      </c>
      <c r="Q806"/>
      <c r="R806"/>
      <c r="S806"/>
      <c r="T806"/>
      <c r="U806"/>
      <c r="V806"/>
      <c r="W806"/>
      <c r="X806"/>
      <c r="Y806"/>
      <c r="Z806"/>
      <c r="AA806"/>
      <c r="AB806"/>
      <c r="AC806"/>
      <c r="AD806"/>
      <c r="AE806"/>
      <c r="AF806"/>
      <c r="AG806"/>
      <c r="AH806"/>
      <c r="AI806"/>
      <c r="AJ806"/>
      <c r="AK806"/>
      <c r="AL806"/>
      <c r="AM806"/>
      <c r="AN806"/>
      <c r="AO806"/>
      <c r="AP806"/>
      <c r="AQ806"/>
      <c r="AR806"/>
      <c r="AS806"/>
      <c r="AT806"/>
      <c r="AU806"/>
      <c r="AV806" s="1" t="s">
        <v>38</v>
      </c>
      <c r="BG806" s="7" t="s">
        <v>1242</v>
      </c>
    </row>
    <row r="807" spans="1:59" s="1" customFormat="1" ht="108" x14ac:dyDescent="0.45">
      <c r="A807" s="5">
        <v>806</v>
      </c>
      <c r="B807" s="1" t="s">
        <v>11416</v>
      </c>
      <c r="C807" s="6"/>
      <c r="J807" s="1" t="s">
        <v>7557</v>
      </c>
      <c r="K807" s="11" t="s">
        <v>12010</v>
      </c>
      <c r="P807" s="7" t="s">
        <v>1241</v>
      </c>
      <c r="Q807"/>
      <c r="R807"/>
      <c r="S807"/>
      <c r="T807"/>
      <c r="U807"/>
      <c r="V807"/>
      <c r="W807"/>
      <c r="X807"/>
      <c r="Y807"/>
      <c r="Z807"/>
      <c r="AA807"/>
      <c r="AB807"/>
      <c r="AC807"/>
      <c r="AD807"/>
      <c r="AE807"/>
      <c r="AF807"/>
      <c r="AG807"/>
      <c r="AH807"/>
      <c r="AI807"/>
      <c r="AJ807"/>
      <c r="AK807"/>
      <c r="AL807"/>
      <c r="AM807"/>
      <c r="AN807"/>
      <c r="AO807"/>
      <c r="AP807"/>
      <c r="AQ807"/>
      <c r="AR807"/>
      <c r="AS807"/>
      <c r="AT807"/>
      <c r="AU807"/>
      <c r="AV807" s="1" t="s">
        <v>38</v>
      </c>
      <c r="BG807" s="7" t="s">
        <v>1242</v>
      </c>
    </row>
    <row r="808" spans="1:59" s="1" customFormat="1" ht="54" x14ac:dyDescent="0.45">
      <c r="A808" s="5">
        <v>807</v>
      </c>
      <c r="B808" s="1" t="s">
        <v>11417</v>
      </c>
      <c r="C808" s="6"/>
      <c r="J808" s="1" t="s">
        <v>7557</v>
      </c>
      <c r="K808" s="2" t="s">
        <v>10618</v>
      </c>
      <c r="P808" s="7" t="s">
        <v>1241</v>
      </c>
      <c r="Q808"/>
      <c r="R808"/>
      <c r="S808"/>
      <c r="T808"/>
      <c r="U808"/>
      <c r="V808"/>
      <c r="W808"/>
      <c r="X808"/>
      <c r="Y808"/>
      <c r="Z808"/>
      <c r="AA808"/>
      <c r="AB808"/>
      <c r="AC808"/>
      <c r="AD808"/>
      <c r="AE808"/>
      <c r="AF808"/>
      <c r="AG808"/>
      <c r="AH808"/>
      <c r="AI808"/>
      <c r="AJ808"/>
      <c r="AK808"/>
      <c r="AL808"/>
      <c r="AM808"/>
      <c r="AN808"/>
      <c r="AO808"/>
      <c r="AP808"/>
      <c r="AQ808"/>
      <c r="AR808"/>
      <c r="AS808"/>
      <c r="AT808"/>
      <c r="AU808"/>
      <c r="AV808" s="1" t="s">
        <v>38</v>
      </c>
      <c r="BG808" s="7" t="s">
        <v>1242</v>
      </c>
    </row>
    <row r="809" spans="1:59" s="1" customFormat="1" ht="180" x14ac:dyDescent="0.45">
      <c r="A809" s="5">
        <v>808</v>
      </c>
      <c r="B809" s="1" t="s">
        <v>11418</v>
      </c>
      <c r="C809" s="6"/>
      <c r="J809" s="1" t="s">
        <v>7557</v>
      </c>
      <c r="K809" s="2" t="s">
        <v>10619</v>
      </c>
      <c r="P809" s="7" t="s">
        <v>1241</v>
      </c>
      <c r="Q809"/>
      <c r="R809"/>
      <c r="S809"/>
      <c r="T809"/>
      <c r="U809"/>
      <c r="V809"/>
      <c r="W809"/>
      <c r="X809"/>
      <c r="Y809"/>
      <c r="Z809"/>
      <c r="AA809"/>
      <c r="AB809"/>
      <c r="AC809"/>
      <c r="AD809"/>
      <c r="AE809"/>
      <c r="AF809"/>
      <c r="AG809"/>
      <c r="AH809"/>
      <c r="AI809"/>
      <c r="AJ809"/>
      <c r="AK809"/>
      <c r="AL809"/>
      <c r="AM809"/>
      <c r="AN809"/>
      <c r="AO809"/>
      <c r="AP809"/>
      <c r="AQ809"/>
      <c r="AR809"/>
      <c r="AS809"/>
      <c r="AT809"/>
      <c r="AU809"/>
      <c r="AV809" s="1" t="s">
        <v>38</v>
      </c>
      <c r="BG809" s="7" t="s">
        <v>1242</v>
      </c>
    </row>
    <row r="810" spans="1:59" s="1" customFormat="1" ht="198" x14ac:dyDescent="0.45">
      <c r="A810" s="5">
        <v>809</v>
      </c>
      <c r="B810" s="1" t="s">
        <v>11419</v>
      </c>
      <c r="C810" s="6"/>
      <c r="J810" s="1" t="s">
        <v>7557</v>
      </c>
      <c r="K810" s="2" t="s">
        <v>10620</v>
      </c>
      <c r="P810" s="7" t="s">
        <v>1241</v>
      </c>
      <c r="Q810"/>
      <c r="R810"/>
      <c r="S810"/>
      <c r="T810"/>
      <c r="U810"/>
      <c r="V810"/>
      <c r="W810"/>
      <c r="X810"/>
      <c r="Y810"/>
      <c r="Z810"/>
      <c r="AA810"/>
      <c r="AB810"/>
      <c r="AC810"/>
      <c r="AD810"/>
      <c r="AE810"/>
      <c r="AF810"/>
      <c r="AG810"/>
      <c r="AH810"/>
      <c r="AI810"/>
      <c r="AJ810"/>
      <c r="AK810"/>
      <c r="AL810"/>
      <c r="AM810"/>
      <c r="AN810"/>
      <c r="AO810"/>
      <c r="AP810"/>
      <c r="AQ810"/>
      <c r="AR810"/>
      <c r="AS810"/>
      <c r="AT810"/>
      <c r="AU810"/>
      <c r="AV810" s="1" t="s">
        <v>38</v>
      </c>
      <c r="BG810" s="7" t="s">
        <v>1242</v>
      </c>
    </row>
    <row r="811" spans="1:59" s="1" customFormat="1" ht="54" x14ac:dyDescent="0.45">
      <c r="A811" s="5">
        <v>810</v>
      </c>
      <c r="B811" s="1" t="s">
        <v>11420</v>
      </c>
      <c r="C811" s="6"/>
      <c r="J811" s="1" t="s">
        <v>7557</v>
      </c>
      <c r="K811" s="2" t="s">
        <v>10621</v>
      </c>
      <c r="P811" s="7" t="s">
        <v>1241</v>
      </c>
      <c r="Q811"/>
      <c r="R811"/>
      <c r="S811"/>
      <c r="T811"/>
      <c r="U811"/>
      <c r="V811"/>
      <c r="W811"/>
      <c r="X811"/>
      <c r="Y811"/>
      <c r="Z811"/>
      <c r="AA811"/>
      <c r="AB811"/>
      <c r="AC811"/>
      <c r="AD811"/>
      <c r="AE811"/>
      <c r="AF811"/>
      <c r="AG811"/>
      <c r="AH811"/>
      <c r="AI811"/>
      <c r="AJ811"/>
      <c r="AK811"/>
      <c r="AL811"/>
      <c r="AM811"/>
      <c r="AN811"/>
      <c r="AO811"/>
      <c r="AP811"/>
      <c r="AQ811"/>
      <c r="AR811"/>
      <c r="AS811"/>
      <c r="AT811"/>
      <c r="AU811"/>
      <c r="AV811" s="1" t="s">
        <v>38</v>
      </c>
      <c r="BG811" s="7" t="s">
        <v>1242</v>
      </c>
    </row>
    <row r="812" spans="1:59" s="1" customFormat="1" ht="54" x14ac:dyDescent="0.45">
      <c r="A812" s="5">
        <v>811</v>
      </c>
      <c r="B812" s="1" t="s">
        <v>11421</v>
      </c>
      <c r="C812" s="6"/>
      <c r="J812" s="1" t="s">
        <v>7557</v>
      </c>
      <c r="K812" s="2" t="s">
        <v>10622</v>
      </c>
      <c r="P812" s="7" t="s">
        <v>1241</v>
      </c>
      <c r="Q812"/>
      <c r="R812"/>
      <c r="S812"/>
      <c r="T812"/>
      <c r="U812"/>
      <c r="V812"/>
      <c r="W812"/>
      <c r="X812"/>
      <c r="Y812"/>
      <c r="Z812"/>
      <c r="AA812"/>
      <c r="AB812"/>
      <c r="AC812"/>
      <c r="AD812"/>
      <c r="AE812"/>
      <c r="AF812"/>
      <c r="AG812"/>
      <c r="AH812"/>
      <c r="AI812"/>
      <c r="AJ812"/>
      <c r="AK812"/>
      <c r="AL812"/>
      <c r="AM812"/>
      <c r="AN812"/>
      <c r="AO812"/>
      <c r="AP812"/>
      <c r="AQ812"/>
      <c r="AR812"/>
      <c r="AS812"/>
      <c r="AT812"/>
      <c r="AU812"/>
      <c r="AV812" s="1" t="s">
        <v>38</v>
      </c>
      <c r="BG812" s="7" t="s">
        <v>1242</v>
      </c>
    </row>
    <row r="813" spans="1:59" s="1" customFormat="1" ht="126" x14ac:dyDescent="0.45">
      <c r="A813" s="5">
        <v>812</v>
      </c>
      <c r="B813" s="1" t="s">
        <v>11422</v>
      </c>
      <c r="C813" s="6"/>
      <c r="J813" s="1" t="s">
        <v>7557</v>
      </c>
      <c r="K813" s="2" t="s">
        <v>10623</v>
      </c>
      <c r="P813" s="7" t="s">
        <v>1241</v>
      </c>
      <c r="Q813"/>
      <c r="R813"/>
      <c r="S813"/>
      <c r="T813"/>
      <c r="U813"/>
      <c r="V813"/>
      <c r="W813"/>
      <c r="X813"/>
      <c r="Y813"/>
      <c r="Z813"/>
      <c r="AA813"/>
      <c r="AB813"/>
      <c r="AC813"/>
      <c r="AD813"/>
      <c r="AE813"/>
      <c r="AF813"/>
      <c r="AG813"/>
      <c r="AH813"/>
      <c r="AI813"/>
      <c r="AJ813"/>
      <c r="AK813"/>
      <c r="AL813"/>
      <c r="AM813"/>
      <c r="AN813"/>
      <c r="AO813"/>
      <c r="AP813"/>
      <c r="AQ813"/>
      <c r="AR813"/>
      <c r="AS813"/>
      <c r="AT813"/>
      <c r="AU813"/>
      <c r="AV813" s="1" t="s">
        <v>38</v>
      </c>
      <c r="BG813" s="7" t="s">
        <v>1242</v>
      </c>
    </row>
    <row r="814" spans="1:59" s="1" customFormat="1" ht="54" x14ac:dyDescent="0.45">
      <c r="A814" s="5">
        <v>813</v>
      </c>
      <c r="B814" s="1" t="s">
        <v>11423</v>
      </c>
      <c r="C814" s="6"/>
      <c r="J814" s="1" t="s">
        <v>7557</v>
      </c>
      <c r="K814" s="2" t="s">
        <v>10624</v>
      </c>
      <c r="P814" s="7" t="s">
        <v>1241</v>
      </c>
      <c r="Q814"/>
      <c r="R814"/>
      <c r="S814"/>
      <c r="T814"/>
      <c r="U814"/>
      <c r="V814"/>
      <c r="W814"/>
      <c r="X814"/>
      <c r="Y814"/>
      <c r="Z814"/>
      <c r="AA814"/>
      <c r="AB814"/>
      <c r="AC814"/>
      <c r="AD814"/>
      <c r="AE814"/>
      <c r="AF814"/>
      <c r="AG814"/>
      <c r="AH814"/>
      <c r="AI814"/>
      <c r="AJ814"/>
      <c r="AK814"/>
      <c r="AL814"/>
      <c r="AM814"/>
      <c r="AN814"/>
      <c r="AO814"/>
      <c r="AP814"/>
      <c r="AQ814"/>
      <c r="AR814"/>
      <c r="AS814"/>
      <c r="AT814"/>
      <c r="AU814"/>
      <c r="AV814" s="1" t="s">
        <v>38</v>
      </c>
      <c r="BG814" s="7" t="s">
        <v>1242</v>
      </c>
    </row>
    <row r="815" spans="1:59" s="1" customFormat="1" ht="54" x14ac:dyDescent="0.45">
      <c r="A815" s="5">
        <v>814</v>
      </c>
      <c r="B815" s="1" t="s">
        <v>11424</v>
      </c>
      <c r="C815" s="6"/>
      <c r="J815" s="1" t="s">
        <v>7557</v>
      </c>
      <c r="K815" s="2" t="s">
        <v>10625</v>
      </c>
      <c r="P815" s="7" t="s">
        <v>1241</v>
      </c>
      <c r="Q815"/>
      <c r="R815"/>
      <c r="S815"/>
      <c r="T815"/>
      <c r="U815"/>
      <c r="V815"/>
      <c r="W815"/>
      <c r="X815"/>
      <c r="Y815"/>
      <c r="Z815"/>
      <c r="AA815"/>
      <c r="AB815"/>
      <c r="AC815"/>
      <c r="AD815"/>
      <c r="AE815"/>
      <c r="AF815"/>
      <c r="AG815"/>
      <c r="AH815"/>
      <c r="AI815"/>
      <c r="AJ815"/>
      <c r="AK815"/>
      <c r="AL815"/>
      <c r="AM815"/>
      <c r="AN815"/>
      <c r="AO815"/>
      <c r="AP815"/>
      <c r="AQ815"/>
      <c r="AR815"/>
      <c r="AS815"/>
      <c r="AT815"/>
      <c r="AU815"/>
      <c r="AV815" s="1" t="s">
        <v>38</v>
      </c>
      <c r="BG815" s="7" t="s">
        <v>1242</v>
      </c>
    </row>
    <row r="816" spans="1:59" s="1" customFormat="1" ht="54" x14ac:dyDescent="0.45">
      <c r="A816" s="5">
        <v>815</v>
      </c>
      <c r="B816" s="1" t="s">
        <v>11425</v>
      </c>
      <c r="C816" s="6"/>
      <c r="J816" s="1" t="s">
        <v>7557</v>
      </c>
      <c r="K816" s="2" t="s">
        <v>10626</v>
      </c>
      <c r="P816" s="7" t="s">
        <v>1241</v>
      </c>
      <c r="Q816"/>
      <c r="R816"/>
      <c r="S816"/>
      <c r="T816"/>
      <c r="U816"/>
      <c r="V816"/>
      <c r="W816"/>
      <c r="X816"/>
      <c r="Y816"/>
      <c r="Z816"/>
      <c r="AA816"/>
      <c r="AB816"/>
      <c r="AC816"/>
      <c r="AD816"/>
      <c r="AE816"/>
      <c r="AF816"/>
      <c r="AG816"/>
      <c r="AH816"/>
      <c r="AI816"/>
      <c r="AJ816"/>
      <c r="AK816"/>
      <c r="AL816"/>
      <c r="AM816"/>
      <c r="AN816"/>
      <c r="AO816"/>
      <c r="AP816"/>
      <c r="AQ816"/>
      <c r="AR816"/>
      <c r="AS816"/>
      <c r="AT816"/>
      <c r="AU816"/>
      <c r="AV816" s="1" t="s">
        <v>38</v>
      </c>
      <c r="BG816" s="7" t="s">
        <v>1242</v>
      </c>
    </row>
    <row r="817" spans="1:59" s="1" customFormat="1" ht="72" x14ac:dyDescent="0.45">
      <c r="A817" s="5">
        <v>816</v>
      </c>
      <c r="B817" s="1" t="s">
        <v>11426</v>
      </c>
      <c r="C817" s="6"/>
      <c r="J817" s="1" t="s">
        <v>7557</v>
      </c>
      <c r="K817" s="2" t="s">
        <v>10627</v>
      </c>
      <c r="P817" s="7" t="s">
        <v>1241</v>
      </c>
      <c r="Q817"/>
      <c r="R817"/>
      <c r="S817"/>
      <c r="T817"/>
      <c r="U817"/>
      <c r="V817"/>
      <c r="W817"/>
      <c r="X817"/>
      <c r="Y817"/>
      <c r="Z817"/>
      <c r="AA817"/>
      <c r="AB817"/>
      <c r="AC817"/>
      <c r="AD817"/>
      <c r="AE817"/>
      <c r="AF817"/>
      <c r="AG817"/>
      <c r="AH817"/>
      <c r="AI817"/>
      <c r="AJ817"/>
      <c r="AK817"/>
      <c r="AL817"/>
      <c r="AM817"/>
      <c r="AN817"/>
      <c r="AO817"/>
      <c r="AP817"/>
      <c r="AQ817"/>
      <c r="AR817"/>
      <c r="AS817"/>
      <c r="AT817"/>
      <c r="AU817"/>
      <c r="AV817" s="1" t="s">
        <v>38</v>
      </c>
      <c r="BG817" s="7" t="s">
        <v>1242</v>
      </c>
    </row>
    <row r="818" spans="1:59" s="1" customFormat="1" ht="108" x14ac:dyDescent="0.45">
      <c r="A818" s="5">
        <v>817</v>
      </c>
      <c r="B818" s="1" t="s">
        <v>11427</v>
      </c>
      <c r="C818" s="6"/>
      <c r="J818" s="1" t="s">
        <v>7557</v>
      </c>
      <c r="K818" s="11" t="s">
        <v>12011</v>
      </c>
      <c r="P818" s="7" t="s">
        <v>1241</v>
      </c>
      <c r="Q818"/>
      <c r="R818"/>
      <c r="S818"/>
      <c r="T818"/>
      <c r="U818"/>
      <c r="V818"/>
      <c r="W818"/>
      <c r="X818"/>
      <c r="Y818"/>
      <c r="Z818"/>
      <c r="AA818"/>
      <c r="AB818"/>
      <c r="AC818"/>
      <c r="AD818"/>
      <c r="AE818"/>
      <c r="AF818"/>
      <c r="AG818"/>
      <c r="AH818"/>
      <c r="AI818"/>
      <c r="AJ818"/>
      <c r="AK818"/>
      <c r="AL818"/>
      <c r="AM818"/>
      <c r="AN818"/>
      <c r="AO818"/>
      <c r="AP818"/>
      <c r="AQ818"/>
      <c r="AR818"/>
      <c r="AS818"/>
      <c r="AT818"/>
      <c r="AU818"/>
      <c r="AV818" s="1" t="s">
        <v>38</v>
      </c>
      <c r="BG818" s="7" t="s">
        <v>1242</v>
      </c>
    </row>
    <row r="819" spans="1:59" s="1" customFormat="1" ht="54" x14ac:dyDescent="0.45">
      <c r="A819" s="5">
        <v>818</v>
      </c>
      <c r="B819" s="1" t="s">
        <v>11428</v>
      </c>
      <c r="C819" s="6"/>
      <c r="J819" s="1" t="s">
        <v>7557</v>
      </c>
      <c r="K819" s="2" t="s">
        <v>10628</v>
      </c>
      <c r="P819" s="7" t="s">
        <v>1241</v>
      </c>
      <c r="Q819"/>
      <c r="R819"/>
      <c r="S819"/>
      <c r="T819"/>
      <c r="U819"/>
      <c r="V819"/>
      <c r="W819"/>
      <c r="X819"/>
      <c r="Y819"/>
      <c r="Z819"/>
      <c r="AA819"/>
      <c r="AB819"/>
      <c r="AC819"/>
      <c r="AD819"/>
      <c r="AE819"/>
      <c r="AF819"/>
      <c r="AG819"/>
      <c r="AH819"/>
      <c r="AI819"/>
      <c r="AJ819"/>
      <c r="AK819"/>
      <c r="AL819"/>
      <c r="AM819"/>
      <c r="AN819"/>
      <c r="AO819"/>
      <c r="AP819"/>
      <c r="AQ819"/>
      <c r="AR819"/>
      <c r="AS819"/>
      <c r="AT819"/>
      <c r="AU819"/>
      <c r="AV819" s="1" t="s">
        <v>38</v>
      </c>
      <c r="BG819" s="7" t="s">
        <v>1242</v>
      </c>
    </row>
    <row r="820" spans="1:59" s="1" customFormat="1" ht="126" x14ac:dyDescent="0.45">
      <c r="A820" s="5">
        <v>819</v>
      </c>
      <c r="B820" s="1" t="s">
        <v>11429</v>
      </c>
      <c r="C820" s="6"/>
      <c r="J820" s="1" t="s">
        <v>7557</v>
      </c>
      <c r="K820" s="11" t="s">
        <v>12012</v>
      </c>
      <c r="P820" s="7" t="s">
        <v>1241</v>
      </c>
      <c r="Q820"/>
      <c r="R820"/>
      <c r="S820"/>
      <c r="T820"/>
      <c r="U820"/>
      <c r="V820"/>
      <c r="W820"/>
      <c r="X820"/>
      <c r="Y820"/>
      <c r="Z820"/>
      <c r="AA820"/>
      <c r="AB820"/>
      <c r="AC820"/>
      <c r="AD820"/>
      <c r="AE820"/>
      <c r="AF820"/>
      <c r="AG820"/>
      <c r="AH820"/>
      <c r="AI820"/>
      <c r="AJ820"/>
      <c r="AK820"/>
      <c r="AL820"/>
      <c r="AM820"/>
      <c r="AN820"/>
      <c r="AO820"/>
      <c r="AP820"/>
      <c r="AQ820"/>
      <c r="AR820"/>
      <c r="AS820"/>
      <c r="AT820"/>
      <c r="AU820"/>
      <c r="AV820" s="1" t="s">
        <v>38</v>
      </c>
      <c r="BG820" s="7" t="s">
        <v>1242</v>
      </c>
    </row>
    <row r="821" spans="1:59" s="1" customFormat="1" ht="72" x14ac:dyDescent="0.45">
      <c r="A821" s="5">
        <v>820</v>
      </c>
      <c r="B821" s="1" t="s">
        <v>11430</v>
      </c>
      <c r="C821" s="6"/>
      <c r="J821" s="1" t="s">
        <v>7557</v>
      </c>
      <c r="K821" s="2" t="s">
        <v>10629</v>
      </c>
      <c r="P821" s="7" t="s">
        <v>1241</v>
      </c>
      <c r="Q821"/>
      <c r="R821"/>
      <c r="S821"/>
      <c r="T821"/>
      <c r="U821"/>
      <c r="V821"/>
      <c r="W821"/>
      <c r="X821"/>
      <c r="Y821"/>
      <c r="Z821"/>
      <c r="AA821"/>
      <c r="AB821"/>
      <c r="AC821"/>
      <c r="AD821"/>
      <c r="AE821"/>
      <c r="AF821"/>
      <c r="AG821"/>
      <c r="AH821"/>
      <c r="AI821"/>
      <c r="AJ821"/>
      <c r="AK821"/>
      <c r="AL821"/>
      <c r="AM821"/>
      <c r="AN821"/>
      <c r="AO821"/>
      <c r="AP821"/>
      <c r="AQ821"/>
      <c r="AR821"/>
      <c r="AS821"/>
      <c r="AT821"/>
      <c r="AU821"/>
      <c r="AV821" s="1" t="s">
        <v>38</v>
      </c>
      <c r="BG821" s="7" t="s">
        <v>1242</v>
      </c>
    </row>
    <row r="822" spans="1:59" s="1" customFormat="1" ht="90" x14ac:dyDescent="0.45">
      <c r="A822" s="5">
        <v>821</v>
      </c>
      <c r="B822" s="1" t="s">
        <v>11431</v>
      </c>
      <c r="C822" s="6"/>
      <c r="J822" s="1" t="s">
        <v>7557</v>
      </c>
      <c r="K822" s="2" t="s">
        <v>10630</v>
      </c>
      <c r="P822" s="7" t="s">
        <v>1241</v>
      </c>
      <c r="Q822"/>
      <c r="R822"/>
      <c r="S822"/>
      <c r="T822"/>
      <c r="U822"/>
      <c r="V822"/>
      <c r="W822"/>
      <c r="X822"/>
      <c r="Y822"/>
      <c r="Z822"/>
      <c r="AA822"/>
      <c r="AB822"/>
      <c r="AC822"/>
      <c r="AD822"/>
      <c r="AE822"/>
      <c r="AF822"/>
      <c r="AG822"/>
      <c r="AH822"/>
      <c r="AI822"/>
      <c r="AJ822"/>
      <c r="AK822"/>
      <c r="AL822"/>
      <c r="AM822"/>
      <c r="AN822"/>
      <c r="AO822"/>
      <c r="AP822"/>
      <c r="AQ822"/>
      <c r="AR822"/>
      <c r="AS822"/>
      <c r="AT822"/>
      <c r="AU822"/>
      <c r="AV822" s="1" t="s">
        <v>38</v>
      </c>
      <c r="BG822" s="7" t="s">
        <v>1242</v>
      </c>
    </row>
    <row r="823" spans="1:59" s="1" customFormat="1" ht="108" x14ac:dyDescent="0.45">
      <c r="A823" s="5">
        <v>822</v>
      </c>
      <c r="B823" s="1" t="s">
        <v>11432</v>
      </c>
      <c r="C823" s="6"/>
      <c r="J823" s="1" t="s">
        <v>7557</v>
      </c>
      <c r="K823" s="11" t="s">
        <v>12013</v>
      </c>
      <c r="P823" s="7" t="s">
        <v>1241</v>
      </c>
      <c r="Q823"/>
      <c r="R823"/>
      <c r="S823"/>
      <c r="T823"/>
      <c r="U823"/>
      <c r="V823"/>
      <c r="W823"/>
      <c r="X823"/>
      <c r="Y823"/>
      <c r="Z823"/>
      <c r="AA823"/>
      <c r="AB823"/>
      <c r="AC823"/>
      <c r="AD823"/>
      <c r="AE823"/>
      <c r="AF823"/>
      <c r="AG823"/>
      <c r="AH823"/>
      <c r="AI823"/>
      <c r="AJ823"/>
      <c r="AK823"/>
      <c r="AL823"/>
      <c r="AM823"/>
      <c r="AN823"/>
      <c r="AO823"/>
      <c r="AP823"/>
      <c r="AQ823"/>
      <c r="AR823"/>
      <c r="AS823"/>
      <c r="AT823"/>
      <c r="AU823"/>
      <c r="AV823" s="1" t="s">
        <v>38</v>
      </c>
      <c r="BG823" s="7" t="s">
        <v>1242</v>
      </c>
    </row>
    <row r="824" spans="1:59" s="1" customFormat="1" ht="72" x14ac:dyDescent="0.45">
      <c r="A824" s="5">
        <v>823</v>
      </c>
      <c r="B824" s="1" t="s">
        <v>11433</v>
      </c>
      <c r="C824" s="6"/>
      <c r="J824" s="1" t="s">
        <v>7557</v>
      </c>
      <c r="K824" s="2" t="s">
        <v>10631</v>
      </c>
      <c r="P824" s="7" t="s">
        <v>1241</v>
      </c>
      <c r="Q824"/>
      <c r="R824"/>
      <c r="S824"/>
      <c r="T824"/>
      <c r="U824"/>
      <c r="V824"/>
      <c r="W824"/>
      <c r="X824"/>
      <c r="Y824"/>
      <c r="Z824"/>
      <c r="AA824"/>
      <c r="AB824"/>
      <c r="AC824"/>
      <c r="AD824"/>
      <c r="AE824"/>
      <c r="AF824"/>
      <c r="AG824"/>
      <c r="AH824"/>
      <c r="AI824"/>
      <c r="AJ824"/>
      <c r="AK824"/>
      <c r="AL824"/>
      <c r="AM824"/>
      <c r="AN824"/>
      <c r="AO824"/>
      <c r="AP824"/>
      <c r="AQ824"/>
      <c r="AR824"/>
      <c r="AS824"/>
      <c r="AT824"/>
      <c r="AU824"/>
      <c r="AV824" s="1" t="s">
        <v>38</v>
      </c>
      <c r="BG824" s="7" t="s">
        <v>1242</v>
      </c>
    </row>
    <row r="825" spans="1:59" s="1" customFormat="1" ht="72" x14ac:dyDescent="0.45">
      <c r="A825" s="5">
        <v>824</v>
      </c>
      <c r="B825" s="1" t="s">
        <v>11434</v>
      </c>
      <c r="C825" s="6"/>
      <c r="J825" s="1" t="s">
        <v>7557</v>
      </c>
      <c r="K825" s="11" t="s">
        <v>12014</v>
      </c>
      <c r="P825" s="7" t="s">
        <v>1241</v>
      </c>
      <c r="Q825"/>
      <c r="R825"/>
      <c r="S825"/>
      <c r="T825"/>
      <c r="U825"/>
      <c r="V825"/>
      <c r="W825"/>
      <c r="X825"/>
      <c r="Y825"/>
      <c r="Z825"/>
      <c r="AA825"/>
      <c r="AB825"/>
      <c r="AC825"/>
      <c r="AD825"/>
      <c r="AE825"/>
      <c r="AF825"/>
      <c r="AG825"/>
      <c r="AH825"/>
      <c r="AI825"/>
      <c r="AJ825"/>
      <c r="AK825"/>
      <c r="AL825"/>
      <c r="AM825"/>
      <c r="AN825"/>
      <c r="AO825"/>
      <c r="AP825"/>
      <c r="AQ825"/>
      <c r="AR825"/>
      <c r="AS825"/>
      <c r="AT825"/>
      <c r="AU825"/>
      <c r="AV825" s="1" t="s">
        <v>38</v>
      </c>
      <c r="BG825" s="7" t="s">
        <v>1242</v>
      </c>
    </row>
    <row r="826" spans="1:59" s="1" customFormat="1" ht="54" x14ac:dyDescent="0.45">
      <c r="A826" s="5">
        <v>825</v>
      </c>
      <c r="B826" s="1" t="s">
        <v>11435</v>
      </c>
      <c r="C826" s="6"/>
      <c r="J826" s="1" t="s">
        <v>7557</v>
      </c>
      <c r="K826" s="2" t="s">
        <v>10632</v>
      </c>
      <c r="P826" s="7" t="s">
        <v>1241</v>
      </c>
      <c r="Q826"/>
      <c r="R826"/>
      <c r="S826"/>
      <c r="T826"/>
      <c r="U826"/>
      <c r="V826"/>
      <c r="W826"/>
      <c r="X826"/>
      <c r="Y826"/>
      <c r="Z826"/>
      <c r="AA826"/>
      <c r="AB826"/>
      <c r="AC826"/>
      <c r="AD826"/>
      <c r="AE826"/>
      <c r="AF826"/>
      <c r="AG826"/>
      <c r="AH826"/>
      <c r="AI826"/>
      <c r="AJ826"/>
      <c r="AK826"/>
      <c r="AL826"/>
      <c r="AM826"/>
      <c r="AN826"/>
      <c r="AO826"/>
      <c r="AP826"/>
      <c r="AQ826"/>
      <c r="AR826"/>
      <c r="AS826"/>
      <c r="AT826"/>
      <c r="AU826"/>
      <c r="AV826" s="1" t="s">
        <v>38</v>
      </c>
      <c r="BG826" s="7" t="s">
        <v>1242</v>
      </c>
    </row>
    <row r="827" spans="1:59" s="1" customFormat="1" ht="72" x14ac:dyDescent="0.45">
      <c r="A827" s="5">
        <v>826</v>
      </c>
      <c r="B827" s="1" t="s">
        <v>11436</v>
      </c>
      <c r="C827" s="6"/>
      <c r="J827" s="1" t="s">
        <v>7557</v>
      </c>
      <c r="K827" s="2" t="s">
        <v>10633</v>
      </c>
      <c r="P827" s="7" t="s">
        <v>1241</v>
      </c>
      <c r="Q827"/>
      <c r="R827"/>
      <c r="S827"/>
      <c r="T827"/>
      <c r="U827"/>
      <c r="V827"/>
      <c r="W827"/>
      <c r="X827"/>
      <c r="Y827"/>
      <c r="Z827"/>
      <c r="AA827"/>
      <c r="AB827"/>
      <c r="AC827"/>
      <c r="AD827"/>
      <c r="AE827"/>
      <c r="AF827"/>
      <c r="AG827"/>
      <c r="AH827"/>
      <c r="AI827"/>
      <c r="AJ827"/>
      <c r="AK827"/>
      <c r="AL827"/>
      <c r="AM827"/>
      <c r="AN827"/>
      <c r="AO827"/>
      <c r="AP827"/>
      <c r="AQ827"/>
      <c r="AR827"/>
      <c r="AS827"/>
      <c r="AT827"/>
      <c r="AU827"/>
      <c r="AV827" s="1" t="s">
        <v>38</v>
      </c>
      <c r="BG827" s="7" t="s">
        <v>1242</v>
      </c>
    </row>
    <row r="828" spans="1:59" s="1" customFormat="1" ht="90" x14ac:dyDescent="0.45">
      <c r="A828" s="5">
        <v>827</v>
      </c>
      <c r="B828" s="1" t="s">
        <v>11437</v>
      </c>
      <c r="C828" s="6"/>
      <c r="J828" s="1" t="s">
        <v>7557</v>
      </c>
      <c r="K828" s="11" t="s">
        <v>12015</v>
      </c>
      <c r="P828" s="7" t="s">
        <v>1241</v>
      </c>
      <c r="Q828"/>
      <c r="R828"/>
      <c r="S828"/>
      <c r="T828"/>
      <c r="U828"/>
      <c r="V828"/>
      <c r="W828"/>
      <c r="X828"/>
      <c r="Y828"/>
      <c r="Z828"/>
      <c r="AA828"/>
      <c r="AB828"/>
      <c r="AC828"/>
      <c r="AD828"/>
      <c r="AE828"/>
      <c r="AF828"/>
      <c r="AG828"/>
      <c r="AH828"/>
      <c r="AI828"/>
      <c r="AJ828"/>
      <c r="AK828"/>
      <c r="AL828"/>
      <c r="AM828"/>
      <c r="AN828"/>
      <c r="AO828"/>
      <c r="AP828"/>
      <c r="AQ828"/>
      <c r="AR828"/>
      <c r="AS828"/>
      <c r="AT828"/>
      <c r="AU828"/>
      <c r="AV828" s="1" t="s">
        <v>38</v>
      </c>
      <c r="BG828" s="7" t="s">
        <v>1242</v>
      </c>
    </row>
    <row r="829" spans="1:59" s="1" customFormat="1" ht="90" x14ac:dyDescent="0.45">
      <c r="A829" s="5">
        <v>828</v>
      </c>
      <c r="B829" s="1" t="s">
        <v>11438</v>
      </c>
      <c r="C829" s="6"/>
      <c r="J829" s="1" t="s">
        <v>7557</v>
      </c>
      <c r="K829" s="2" t="s">
        <v>10634</v>
      </c>
      <c r="P829" s="7" t="s">
        <v>1241</v>
      </c>
      <c r="Q829"/>
      <c r="R829"/>
      <c r="S829"/>
      <c r="T829"/>
      <c r="U829"/>
      <c r="V829"/>
      <c r="W829"/>
      <c r="X829"/>
      <c r="Y829"/>
      <c r="Z829"/>
      <c r="AA829"/>
      <c r="AB829"/>
      <c r="AC829"/>
      <c r="AD829"/>
      <c r="AE829"/>
      <c r="AF829"/>
      <c r="AG829"/>
      <c r="AH829"/>
      <c r="AI829"/>
      <c r="AJ829"/>
      <c r="AK829"/>
      <c r="AL829"/>
      <c r="AM829"/>
      <c r="AN829"/>
      <c r="AO829"/>
      <c r="AP829"/>
      <c r="AQ829"/>
      <c r="AR829"/>
      <c r="AS829"/>
      <c r="AT829"/>
      <c r="AU829"/>
      <c r="AV829" s="1" t="s">
        <v>38</v>
      </c>
      <c r="BG829" s="7" t="s">
        <v>1242</v>
      </c>
    </row>
    <row r="830" spans="1:59" s="1" customFormat="1" ht="144" x14ac:dyDescent="0.45">
      <c r="A830" s="5">
        <v>829</v>
      </c>
      <c r="B830" s="1" t="s">
        <v>11439</v>
      </c>
      <c r="C830" s="6"/>
      <c r="J830" s="1" t="s">
        <v>7557</v>
      </c>
      <c r="K830" s="2" t="s">
        <v>10635</v>
      </c>
      <c r="P830" s="7" t="s">
        <v>1241</v>
      </c>
      <c r="Q830"/>
      <c r="R830"/>
      <c r="S830"/>
      <c r="T830"/>
      <c r="U830"/>
      <c r="V830"/>
      <c r="W830"/>
      <c r="X830"/>
      <c r="Y830"/>
      <c r="Z830"/>
      <c r="AA830"/>
      <c r="AB830"/>
      <c r="AC830"/>
      <c r="AD830"/>
      <c r="AE830"/>
      <c r="AF830"/>
      <c r="AG830"/>
      <c r="AH830"/>
      <c r="AI830"/>
      <c r="AJ830"/>
      <c r="AK830"/>
      <c r="AL830"/>
      <c r="AM830"/>
      <c r="AN830"/>
      <c r="AO830"/>
      <c r="AP830"/>
      <c r="AQ830"/>
      <c r="AR830"/>
      <c r="AS830"/>
      <c r="AT830"/>
      <c r="AU830"/>
      <c r="AV830" s="1" t="s">
        <v>38</v>
      </c>
      <c r="BG830" s="7" t="s">
        <v>1242</v>
      </c>
    </row>
    <row r="831" spans="1:59" s="1" customFormat="1" ht="72" x14ac:dyDescent="0.45">
      <c r="A831" s="5">
        <v>830</v>
      </c>
      <c r="B831" s="1" t="s">
        <v>11440</v>
      </c>
      <c r="C831" s="6"/>
      <c r="J831" s="1" t="s">
        <v>7557</v>
      </c>
      <c r="K831" s="2" t="s">
        <v>10636</v>
      </c>
      <c r="P831" s="7" t="s">
        <v>1241</v>
      </c>
      <c r="Q831"/>
      <c r="R831"/>
      <c r="S831"/>
      <c r="T831"/>
      <c r="U831"/>
      <c r="V831"/>
      <c r="W831"/>
      <c r="X831"/>
      <c r="Y831"/>
      <c r="Z831"/>
      <c r="AA831"/>
      <c r="AB831"/>
      <c r="AC831"/>
      <c r="AD831"/>
      <c r="AE831"/>
      <c r="AF831"/>
      <c r="AG831"/>
      <c r="AH831"/>
      <c r="AI831"/>
      <c r="AJ831"/>
      <c r="AK831"/>
      <c r="AL831"/>
      <c r="AM831"/>
      <c r="AN831"/>
      <c r="AO831"/>
      <c r="AP831"/>
      <c r="AQ831"/>
      <c r="AR831"/>
      <c r="AS831"/>
      <c r="AT831"/>
      <c r="AU831"/>
      <c r="AV831" s="1" t="s">
        <v>38</v>
      </c>
      <c r="BG831" s="7" t="s">
        <v>1242</v>
      </c>
    </row>
    <row r="832" spans="1:59" s="1" customFormat="1" ht="126" x14ac:dyDescent="0.45">
      <c r="A832" s="5">
        <v>831</v>
      </c>
      <c r="B832" s="1" t="s">
        <v>11441</v>
      </c>
      <c r="C832" s="6"/>
      <c r="J832" s="1" t="s">
        <v>7557</v>
      </c>
      <c r="K832" s="11" t="s">
        <v>12016</v>
      </c>
      <c r="P832" s="7" t="s">
        <v>1241</v>
      </c>
      <c r="Q832"/>
      <c r="R832"/>
      <c r="S832"/>
      <c r="T832"/>
      <c r="U832"/>
      <c r="V832"/>
      <c r="W832"/>
      <c r="X832"/>
      <c r="Y832"/>
      <c r="Z832"/>
      <c r="AA832"/>
      <c r="AB832"/>
      <c r="AC832"/>
      <c r="AD832"/>
      <c r="AE832"/>
      <c r="AF832"/>
      <c r="AG832"/>
      <c r="AH832"/>
      <c r="AI832"/>
      <c r="AJ832"/>
      <c r="AK832"/>
      <c r="AL832"/>
      <c r="AM832"/>
      <c r="AN832"/>
      <c r="AO832"/>
      <c r="AP832"/>
      <c r="AQ832"/>
      <c r="AR832"/>
      <c r="AS832"/>
      <c r="AT832"/>
      <c r="AU832"/>
      <c r="AV832" s="1" t="s">
        <v>38</v>
      </c>
      <c r="BG832" s="7" t="s">
        <v>1242</v>
      </c>
    </row>
    <row r="833" spans="1:59" s="1" customFormat="1" ht="144" x14ac:dyDescent="0.45">
      <c r="A833" s="5">
        <v>832</v>
      </c>
      <c r="B833" s="1" t="s">
        <v>11442</v>
      </c>
      <c r="C833" s="6"/>
      <c r="J833" s="1" t="s">
        <v>7557</v>
      </c>
      <c r="K833" s="11" t="s">
        <v>12017</v>
      </c>
      <c r="P833" s="7" t="s">
        <v>1241</v>
      </c>
      <c r="Q833"/>
      <c r="R833"/>
      <c r="S833"/>
      <c r="T833"/>
      <c r="U833"/>
      <c r="V833"/>
      <c r="W833"/>
      <c r="X833"/>
      <c r="Y833"/>
      <c r="Z833"/>
      <c r="AA833"/>
      <c r="AB833"/>
      <c r="AC833"/>
      <c r="AD833"/>
      <c r="AE833"/>
      <c r="AF833"/>
      <c r="AG833"/>
      <c r="AH833"/>
      <c r="AI833"/>
      <c r="AJ833"/>
      <c r="AK833"/>
      <c r="AL833"/>
      <c r="AM833"/>
      <c r="AN833"/>
      <c r="AO833"/>
      <c r="AP833"/>
      <c r="AQ833"/>
      <c r="AR833"/>
      <c r="AS833"/>
      <c r="AT833"/>
      <c r="AU833"/>
      <c r="AV833" s="1" t="s">
        <v>38</v>
      </c>
      <c r="BG833" s="7" t="s">
        <v>1242</v>
      </c>
    </row>
    <row r="834" spans="1:59" s="1" customFormat="1" ht="126" x14ac:dyDescent="0.45">
      <c r="A834" s="5">
        <v>833</v>
      </c>
      <c r="B834" s="1" t="s">
        <v>11443</v>
      </c>
      <c r="C834" s="6"/>
      <c r="J834" s="1" t="s">
        <v>7557</v>
      </c>
      <c r="K834" s="2" t="s">
        <v>11706</v>
      </c>
      <c r="P834" s="7" t="s">
        <v>1241</v>
      </c>
      <c r="Q834"/>
      <c r="R834"/>
      <c r="S834"/>
      <c r="T834"/>
      <c r="U834"/>
      <c r="V834"/>
      <c r="W834"/>
      <c r="X834"/>
      <c r="Y834"/>
      <c r="Z834"/>
      <c r="AA834"/>
      <c r="AB834"/>
      <c r="AC834"/>
      <c r="AD834"/>
      <c r="AE834"/>
      <c r="AF834"/>
      <c r="AG834"/>
      <c r="AH834"/>
      <c r="AI834"/>
      <c r="AJ834"/>
      <c r="AK834"/>
      <c r="AL834"/>
      <c r="AM834"/>
      <c r="AN834"/>
      <c r="AO834"/>
      <c r="AP834"/>
      <c r="AQ834"/>
      <c r="AR834"/>
      <c r="AS834"/>
      <c r="AT834"/>
      <c r="AU834"/>
      <c r="AV834" s="1" t="s">
        <v>38</v>
      </c>
      <c r="BG834" s="7" t="s">
        <v>1242</v>
      </c>
    </row>
    <row r="835" spans="1:59" s="1" customFormat="1" ht="72" x14ac:dyDescent="0.45">
      <c r="A835" s="5">
        <v>834</v>
      </c>
      <c r="B835" s="1" t="s">
        <v>11444</v>
      </c>
      <c r="C835" s="6"/>
      <c r="J835" s="1" t="s">
        <v>7557</v>
      </c>
      <c r="K835" s="11" t="s">
        <v>12018</v>
      </c>
      <c r="P835" s="7" t="s">
        <v>1241</v>
      </c>
      <c r="Q835"/>
      <c r="R835"/>
      <c r="S835"/>
      <c r="T835"/>
      <c r="U835"/>
      <c r="V835"/>
      <c r="W835"/>
      <c r="X835"/>
      <c r="Y835"/>
      <c r="Z835"/>
      <c r="AA835"/>
      <c r="AB835"/>
      <c r="AC835"/>
      <c r="AD835"/>
      <c r="AE835"/>
      <c r="AF835"/>
      <c r="AG835"/>
      <c r="AH835"/>
      <c r="AI835"/>
      <c r="AJ835"/>
      <c r="AK835"/>
      <c r="AL835"/>
      <c r="AM835"/>
      <c r="AN835"/>
      <c r="AO835"/>
      <c r="AP835"/>
      <c r="AQ835"/>
      <c r="AR835"/>
      <c r="AS835"/>
      <c r="AT835"/>
      <c r="AU835"/>
      <c r="AV835" s="1" t="s">
        <v>38</v>
      </c>
      <c r="BG835" s="7" t="s">
        <v>1242</v>
      </c>
    </row>
    <row r="836" spans="1:59" s="1" customFormat="1" ht="108" x14ac:dyDescent="0.45">
      <c r="A836" s="5">
        <v>835</v>
      </c>
      <c r="B836" s="1" t="s">
        <v>11445</v>
      </c>
      <c r="C836" s="6"/>
      <c r="J836" s="1" t="s">
        <v>7557</v>
      </c>
      <c r="K836" s="2" t="s">
        <v>10638</v>
      </c>
      <c r="P836" s="7" t="s">
        <v>1241</v>
      </c>
      <c r="Q836"/>
      <c r="R836"/>
      <c r="S836"/>
      <c r="T836"/>
      <c r="U836"/>
      <c r="V836"/>
      <c r="W836"/>
      <c r="X836"/>
      <c r="Y836"/>
      <c r="Z836"/>
      <c r="AA836"/>
      <c r="AB836"/>
      <c r="AC836"/>
      <c r="AD836"/>
      <c r="AE836"/>
      <c r="AF836"/>
      <c r="AG836"/>
      <c r="AH836"/>
      <c r="AI836"/>
      <c r="AJ836"/>
      <c r="AK836"/>
      <c r="AL836"/>
      <c r="AM836"/>
      <c r="AN836"/>
      <c r="AO836"/>
      <c r="AP836"/>
      <c r="AQ836"/>
      <c r="AR836"/>
      <c r="AS836"/>
      <c r="AT836"/>
      <c r="AU836"/>
      <c r="AV836" s="1" t="s">
        <v>38</v>
      </c>
      <c r="BG836" s="7" t="s">
        <v>1242</v>
      </c>
    </row>
    <row r="837" spans="1:59" s="1" customFormat="1" ht="144" x14ac:dyDescent="0.45">
      <c r="A837" s="5">
        <v>836</v>
      </c>
      <c r="B837" s="1" t="s">
        <v>11707</v>
      </c>
      <c r="C837" s="6"/>
      <c r="J837" s="1" t="s">
        <v>7557</v>
      </c>
      <c r="K837" s="11" t="s">
        <v>12019</v>
      </c>
      <c r="P837" s="7" t="s">
        <v>1241</v>
      </c>
      <c r="Q837"/>
      <c r="R837"/>
      <c r="S837"/>
      <c r="T837"/>
      <c r="U837"/>
      <c r="V837"/>
      <c r="W837"/>
      <c r="X837"/>
      <c r="Y837"/>
      <c r="Z837"/>
      <c r="AA837"/>
      <c r="AB837"/>
      <c r="AC837"/>
      <c r="AD837"/>
      <c r="AE837"/>
      <c r="AF837"/>
      <c r="AG837"/>
      <c r="AH837"/>
      <c r="AI837"/>
      <c r="AJ837"/>
      <c r="AK837"/>
      <c r="AL837"/>
      <c r="AM837"/>
      <c r="AN837"/>
      <c r="AO837"/>
      <c r="AP837"/>
      <c r="AQ837"/>
      <c r="AR837"/>
      <c r="AS837"/>
      <c r="AT837"/>
      <c r="AU837"/>
      <c r="AV837" s="1" t="s">
        <v>38</v>
      </c>
      <c r="BG837" s="7" t="s">
        <v>1242</v>
      </c>
    </row>
    <row r="838" spans="1:59" s="1" customFormat="1" ht="144" x14ac:dyDescent="0.45">
      <c r="A838" s="5">
        <v>837</v>
      </c>
      <c r="B838" s="1" t="s">
        <v>11446</v>
      </c>
      <c r="C838" s="6"/>
      <c r="J838" s="1" t="s">
        <v>7557</v>
      </c>
      <c r="K838" s="11" t="s">
        <v>12020</v>
      </c>
      <c r="P838" s="7" t="s">
        <v>1241</v>
      </c>
      <c r="Q838"/>
      <c r="R838"/>
      <c r="S838"/>
      <c r="T838"/>
      <c r="U838"/>
      <c r="V838"/>
      <c r="W838"/>
      <c r="X838"/>
      <c r="Y838"/>
      <c r="Z838"/>
      <c r="AA838"/>
      <c r="AB838"/>
      <c r="AC838"/>
      <c r="AD838"/>
      <c r="AE838"/>
      <c r="AF838"/>
      <c r="AG838"/>
      <c r="AH838"/>
      <c r="AI838"/>
      <c r="AJ838"/>
      <c r="AK838"/>
      <c r="AL838"/>
      <c r="AM838"/>
      <c r="AN838"/>
      <c r="AO838"/>
      <c r="AP838"/>
      <c r="AQ838"/>
      <c r="AR838"/>
      <c r="AS838"/>
      <c r="AT838"/>
      <c r="AU838"/>
      <c r="AV838" s="1" t="s">
        <v>38</v>
      </c>
      <c r="BG838" s="7" t="s">
        <v>1242</v>
      </c>
    </row>
    <row r="839" spans="1:59" s="1" customFormat="1" ht="144" x14ac:dyDescent="0.45">
      <c r="A839" s="5">
        <v>838</v>
      </c>
      <c r="B839" s="1" t="s">
        <v>11447</v>
      </c>
      <c r="C839" s="6"/>
      <c r="J839" s="1" t="s">
        <v>7557</v>
      </c>
      <c r="K839" s="11" t="s">
        <v>12021</v>
      </c>
      <c r="P839" s="7" t="s">
        <v>1241</v>
      </c>
      <c r="Q839"/>
      <c r="R839"/>
      <c r="S839"/>
      <c r="T839"/>
      <c r="U839"/>
      <c r="V839"/>
      <c r="W839"/>
      <c r="X839"/>
      <c r="Y839"/>
      <c r="Z839"/>
      <c r="AA839"/>
      <c r="AB839"/>
      <c r="AC839"/>
      <c r="AD839"/>
      <c r="AE839"/>
      <c r="AF839"/>
      <c r="AG839"/>
      <c r="AH839"/>
      <c r="AI839"/>
      <c r="AJ839"/>
      <c r="AK839"/>
      <c r="AL839"/>
      <c r="AM839"/>
      <c r="AN839"/>
      <c r="AO839"/>
      <c r="AP839"/>
      <c r="AQ839"/>
      <c r="AR839"/>
      <c r="AS839"/>
      <c r="AT839"/>
      <c r="AU839"/>
      <c r="AV839" s="1" t="s">
        <v>38</v>
      </c>
      <c r="BG839" s="7" t="s">
        <v>1242</v>
      </c>
    </row>
    <row r="840" spans="1:59" s="1" customFormat="1" ht="126" x14ac:dyDescent="0.45">
      <c r="A840" s="5">
        <v>839</v>
      </c>
      <c r="B840" s="1" t="s">
        <v>11448</v>
      </c>
      <c r="C840" s="6"/>
      <c r="J840" s="1" t="s">
        <v>7557</v>
      </c>
      <c r="K840" s="11" t="s">
        <v>12022</v>
      </c>
      <c r="P840" s="7" t="s">
        <v>1241</v>
      </c>
      <c r="Q840"/>
      <c r="R840"/>
      <c r="S840"/>
      <c r="T840"/>
      <c r="U840"/>
      <c r="V840"/>
      <c r="W840"/>
      <c r="X840"/>
      <c r="Y840"/>
      <c r="Z840"/>
      <c r="AA840"/>
      <c r="AB840"/>
      <c r="AC840"/>
      <c r="AD840"/>
      <c r="AE840"/>
      <c r="AF840"/>
      <c r="AG840"/>
      <c r="AH840"/>
      <c r="AI840"/>
      <c r="AJ840"/>
      <c r="AK840"/>
      <c r="AL840"/>
      <c r="AM840"/>
      <c r="AN840"/>
      <c r="AO840"/>
      <c r="AP840"/>
      <c r="AQ840"/>
      <c r="AR840"/>
      <c r="AS840"/>
      <c r="AT840"/>
      <c r="AU840"/>
      <c r="AV840" s="1" t="s">
        <v>38</v>
      </c>
      <c r="BG840" s="7" t="s">
        <v>1242</v>
      </c>
    </row>
    <row r="841" spans="1:59" s="1" customFormat="1" ht="72" x14ac:dyDescent="0.45">
      <c r="A841" s="5">
        <v>840</v>
      </c>
      <c r="B841" s="1" t="s">
        <v>11449</v>
      </c>
      <c r="C841" s="6"/>
      <c r="J841" s="1" t="s">
        <v>7557</v>
      </c>
      <c r="K841" s="2" t="s">
        <v>10639</v>
      </c>
      <c r="P841" s="7" t="s">
        <v>1241</v>
      </c>
      <c r="Q841"/>
      <c r="R841"/>
      <c r="S841"/>
      <c r="T841"/>
      <c r="U841"/>
      <c r="V841"/>
      <c r="W841"/>
      <c r="X841"/>
      <c r="Y841"/>
      <c r="Z841"/>
      <c r="AA841"/>
      <c r="AB841"/>
      <c r="AC841"/>
      <c r="AD841"/>
      <c r="AE841"/>
      <c r="AF841"/>
      <c r="AG841"/>
      <c r="AH841"/>
      <c r="AI841"/>
      <c r="AJ841"/>
      <c r="AK841"/>
      <c r="AL841"/>
      <c r="AM841"/>
      <c r="AN841"/>
      <c r="AO841"/>
      <c r="AP841"/>
      <c r="AQ841"/>
      <c r="AR841"/>
      <c r="AS841"/>
      <c r="AT841"/>
      <c r="AU841"/>
      <c r="AV841" s="1" t="s">
        <v>38</v>
      </c>
      <c r="BG841" s="7" t="s">
        <v>1242</v>
      </c>
    </row>
    <row r="842" spans="1:59" s="1" customFormat="1" ht="72" x14ac:dyDescent="0.45">
      <c r="A842" s="5">
        <v>841</v>
      </c>
      <c r="B842" s="1" t="s">
        <v>11450</v>
      </c>
      <c r="C842" s="6"/>
      <c r="J842" s="1" t="s">
        <v>7557</v>
      </c>
      <c r="K842" s="11" t="s">
        <v>12023</v>
      </c>
      <c r="P842" s="7" t="s">
        <v>1241</v>
      </c>
      <c r="Q842"/>
      <c r="R842"/>
      <c r="S842"/>
      <c r="T842"/>
      <c r="U842"/>
      <c r="V842"/>
      <c r="W842"/>
      <c r="X842"/>
      <c r="Y842"/>
      <c r="Z842"/>
      <c r="AA842"/>
      <c r="AB842"/>
      <c r="AC842"/>
      <c r="AD842"/>
      <c r="AE842"/>
      <c r="AF842"/>
      <c r="AG842"/>
      <c r="AH842"/>
      <c r="AI842"/>
      <c r="AJ842"/>
      <c r="AK842"/>
      <c r="AL842"/>
      <c r="AM842"/>
      <c r="AN842"/>
      <c r="AO842"/>
      <c r="AP842"/>
      <c r="AQ842"/>
      <c r="AR842"/>
      <c r="AS842"/>
      <c r="AT842"/>
      <c r="AU842"/>
      <c r="AV842" s="1" t="s">
        <v>38</v>
      </c>
      <c r="BG842" s="7" t="s">
        <v>1242</v>
      </c>
    </row>
    <row r="843" spans="1:59" s="1" customFormat="1" ht="54" x14ac:dyDescent="0.45">
      <c r="A843" s="5">
        <v>842</v>
      </c>
      <c r="B843" s="1" t="s">
        <v>11451</v>
      </c>
      <c r="C843" s="6"/>
      <c r="J843" s="1" t="s">
        <v>7557</v>
      </c>
      <c r="K843" s="2" t="s">
        <v>10640</v>
      </c>
      <c r="P843" s="7" t="s">
        <v>1241</v>
      </c>
      <c r="Q843"/>
      <c r="R843"/>
      <c r="S843"/>
      <c r="T843"/>
      <c r="U843"/>
      <c r="V843"/>
      <c r="W843"/>
      <c r="X843"/>
      <c r="Y843"/>
      <c r="Z843"/>
      <c r="AA843"/>
      <c r="AB843"/>
      <c r="AC843"/>
      <c r="AD843"/>
      <c r="AE843"/>
      <c r="AF843"/>
      <c r="AG843"/>
      <c r="AH843"/>
      <c r="AI843"/>
      <c r="AJ843"/>
      <c r="AK843"/>
      <c r="AL843"/>
      <c r="AM843"/>
      <c r="AN843"/>
      <c r="AO843"/>
      <c r="AP843"/>
      <c r="AQ843"/>
      <c r="AR843"/>
      <c r="AS843"/>
      <c r="AT843"/>
      <c r="AU843"/>
      <c r="AV843" s="1" t="s">
        <v>38</v>
      </c>
      <c r="BG843" s="7" t="s">
        <v>1242</v>
      </c>
    </row>
    <row r="844" spans="1:59" s="1" customFormat="1" ht="90" x14ac:dyDescent="0.45">
      <c r="A844" s="5">
        <v>843</v>
      </c>
      <c r="B844" s="1" t="s">
        <v>11452</v>
      </c>
      <c r="C844" s="6"/>
      <c r="J844" s="1" t="s">
        <v>7557</v>
      </c>
      <c r="K844" s="11" t="s">
        <v>12024</v>
      </c>
      <c r="P844" s="7" t="s">
        <v>1241</v>
      </c>
      <c r="Q844"/>
      <c r="R844"/>
      <c r="S844"/>
      <c r="T844"/>
      <c r="U844"/>
      <c r="V844"/>
      <c r="W844"/>
      <c r="X844"/>
      <c r="Y844"/>
      <c r="Z844"/>
      <c r="AA844"/>
      <c r="AB844"/>
      <c r="AC844"/>
      <c r="AD844"/>
      <c r="AE844"/>
      <c r="AF844"/>
      <c r="AG844"/>
      <c r="AH844"/>
      <c r="AI844"/>
      <c r="AJ844"/>
      <c r="AK844"/>
      <c r="AL844"/>
      <c r="AM844"/>
      <c r="AN844"/>
      <c r="AO844"/>
      <c r="AP844"/>
      <c r="AQ844"/>
      <c r="AR844"/>
      <c r="AS844"/>
      <c r="AT844"/>
      <c r="AU844"/>
      <c r="AV844" s="1" t="s">
        <v>38</v>
      </c>
      <c r="BG844" s="7" t="s">
        <v>1242</v>
      </c>
    </row>
    <row r="845" spans="1:59" s="1" customFormat="1" ht="90" x14ac:dyDescent="0.45">
      <c r="A845" s="5">
        <v>844</v>
      </c>
      <c r="B845" s="1" t="s">
        <v>11453</v>
      </c>
      <c r="C845" s="6"/>
      <c r="J845" s="1" t="s">
        <v>7557</v>
      </c>
      <c r="K845" s="11" t="s">
        <v>12025</v>
      </c>
      <c r="P845" s="7" t="s">
        <v>1241</v>
      </c>
      <c r="Q845"/>
      <c r="R845"/>
      <c r="S845"/>
      <c r="T845"/>
      <c r="U845"/>
      <c r="V845"/>
      <c r="W845"/>
      <c r="X845"/>
      <c r="Y845"/>
      <c r="Z845"/>
      <c r="AA845"/>
      <c r="AB845"/>
      <c r="AC845"/>
      <c r="AD845"/>
      <c r="AE845"/>
      <c r="AF845"/>
      <c r="AG845"/>
      <c r="AH845"/>
      <c r="AI845"/>
      <c r="AJ845"/>
      <c r="AK845"/>
      <c r="AL845"/>
      <c r="AM845"/>
      <c r="AN845"/>
      <c r="AO845"/>
      <c r="AP845"/>
      <c r="AQ845"/>
      <c r="AR845"/>
      <c r="AS845"/>
      <c r="AT845"/>
      <c r="AU845"/>
      <c r="AV845" s="1" t="s">
        <v>38</v>
      </c>
      <c r="BG845" s="7" t="s">
        <v>1242</v>
      </c>
    </row>
    <row r="846" spans="1:59" s="1" customFormat="1" ht="90" x14ac:dyDescent="0.45">
      <c r="A846" s="5">
        <v>845</v>
      </c>
      <c r="B846" s="1" t="s">
        <v>11454</v>
      </c>
      <c r="C846" s="6"/>
      <c r="J846" s="1" t="s">
        <v>7557</v>
      </c>
      <c r="K846" s="2" t="s">
        <v>10641</v>
      </c>
      <c r="P846" s="7" t="s">
        <v>1241</v>
      </c>
      <c r="Q846"/>
      <c r="R846"/>
      <c r="S846"/>
      <c r="T846"/>
      <c r="U846"/>
      <c r="V846"/>
      <c r="W846"/>
      <c r="X846"/>
      <c r="Y846"/>
      <c r="Z846"/>
      <c r="AA846"/>
      <c r="AB846"/>
      <c r="AC846"/>
      <c r="AD846"/>
      <c r="AE846"/>
      <c r="AF846"/>
      <c r="AG846"/>
      <c r="AH846"/>
      <c r="AI846"/>
      <c r="AJ846"/>
      <c r="AK846"/>
      <c r="AL846"/>
      <c r="AM846"/>
      <c r="AN846"/>
      <c r="AO846"/>
      <c r="AP846"/>
      <c r="AQ846"/>
      <c r="AR846"/>
      <c r="AS846"/>
      <c r="AT846"/>
      <c r="AU846"/>
      <c r="AV846" s="1" t="s">
        <v>38</v>
      </c>
      <c r="BG846" s="7" t="s">
        <v>1242</v>
      </c>
    </row>
    <row r="847" spans="1:59" s="1" customFormat="1" ht="180" x14ac:dyDescent="0.45">
      <c r="A847" s="5">
        <v>846</v>
      </c>
      <c r="B847" s="1" t="s">
        <v>11455</v>
      </c>
      <c r="C847" s="6"/>
      <c r="J847" s="1" t="s">
        <v>7557</v>
      </c>
      <c r="K847" s="11" t="s">
        <v>12026</v>
      </c>
      <c r="P847" s="7" t="s">
        <v>1241</v>
      </c>
      <c r="Q847"/>
      <c r="R847"/>
      <c r="S847"/>
      <c r="T847"/>
      <c r="U847"/>
      <c r="V847"/>
      <c r="W847"/>
      <c r="X847"/>
      <c r="Y847"/>
      <c r="Z847"/>
      <c r="AA847"/>
      <c r="AB847"/>
      <c r="AC847"/>
      <c r="AD847"/>
      <c r="AE847"/>
      <c r="AF847"/>
      <c r="AG847"/>
      <c r="AH847"/>
      <c r="AI847"/>
      <c r="AJ847"/>
      <c r="AK847"/>
      <c r="AL847"/>
      <c r="AM847"/>
      <c r="AN847"/>
      <c r="AO847"/>
      <c r="AP847"/>
      <c r="AQ847"/>
      <c r="AR847"/>
      <c r="AS847"/>
      <c r="AT847"/>
      <c r="AU847"/>
      <c r="AV847" s="1" t="s">
        <v>38</v>
      </c>
      <c r="BG847" s="7" t="s">
        <v>1242</v>
      </c>
    </row>
    <row r="848" spans="1:59" s="1" customFormat="1" ht="108" x14ac:dyDescent="0.45">
      <c r="A848" s="5">
        <v>847</v>
      </c>
      <c r="B848" s="1" t="s">
        <v>11456</v>
      </c>
      <c r="C848" s="6"/>
      <c r="J848" s="1" t="s">
        <v>7557</v>
      </c>
      <c r="K848" s="11" t="s">
        <v>12027</v>
      </c>
      <c r="P848" s="7" t="s">
        <v>1241</v>
      </c>
      <c r="Q848"/>
      <c r="R848"/>
      <c r="S848"/>
      <c r="T848"/>
      <c r="U848"/>
      <c r="V848"/>
      <c r="W848"/>
      <c r="X848"/>
      <c r="Y848"/>
      <c r="Z848"/>
      <c r="AA848"/>
      <c r="AB848"/>
      <c r="AC848"/>
      <c r="AD848"/>
      <c r="AE848"/>
      <c r="AF848"/>
      <c r="AG848"/>
      <c r="AH848"/>
      <c r="AI848"/>
      <c r="AJ848"/>
      <c r="AK848"/>
      <c r="AL848"/>
      <c r="AM848"/>
      <c r="AN848"/>
      <c r="AO848"/>
      <c r="AP848"/>
      <c r="AQ848"/>
      <c r="AR848"/>
      <c r="AS848"/>
      <c r="AT848"/>
      <c r="AU848"/>
      <c r="AV848" s="1" t="s">
        <v>38</v>
      </c>
      <c r="BG848" s="7" t="s">
        <v>1242</v>
      </c>
    </row>
    <row r="849" spans="1:59" s="1" customFormat="1" ht="144" x14ac:dyDescent="0.45">
      <c r="A849" s="5">
        <v>848</v>
      </c>
      <c r="B849" s="1" t="s">
        <v>11457</v>
      </c>
      <c r="C849" s="6"/>
      <c r="J849" s="1" t="s">
        <v>7557</v>
      </c>
      <c r="K849" s="11" t="s">
        <v>12028</v>
      </c>
      <c r="P849" s="7" t="s">
        <v>1241</v>
      </c>
      <c r="Q849"/>
      <c r="R849"/>
      <c r="S849"/>
      <c r="T849"/>
      <c r="U849"/>
      <c r="V849"/>
      <c r="W849"/>
      <c r="X849"/>
      <c r="Y849"/>
      <c r="Z849"/>
      <c r="AA849"/>
      <c r="AB849"/>
      <c r="AC849"/>
      <c r="AD849"/>
      <c r="AE849"/>
      <c r="AF849"/>
      <c r="AG849"/>
      <c r="AH849"/>
      <c r="AI849"/>
      <c r="AJ849"/>
      <c r="AK849"/>
      <c r="AL849"/>
      <c r="AM849"/>
      <c r="AN849"/>
      <c r="AO849"/>
      <c r="AP849"/>
      <c r="AQ849"/>
      <c r="AR849"/>
      <c r="AS849"/>
      <c r="AT849"/>
      <c r="AU849"/>
      <c r="AV849" s="1" t="s">
        <v>38</v>
      </c>
      <c r="BG849" s="7" t="s">
        <v>1242</v>
      </c>
    </row>
    <row r="850" spans="1:59" s="1" customFormat="1" ht="72" x14ac:dyDescent="0.45">
      <c r="A850" s="5">
        <v>849</v>
      </c>
      <c r="B850" s="1" t="s">
        <v>11458</v>
      </c>
      <c r="C850" s="6"/>
      <c r="J850" s="1" t="s">
        <v>7557</v>
      </c>
      <c r="K850" s="2" t="s">
        <v>10650</v>
      </c>
      <c r="P850" s="7" t="s">
        <v>1241</v>
      </c>
      <c r="Q850"/>
      <c r="R850"/>
      <c r="S850"/>
      <c r="T850"/>
      <c r="U850"/>
      <c r="V850"/>
      <c r="W850"/>
      <c r="X850"/>
      <c r="Y850"/>
      <c r="Z850"/>
      <c r="AA850"/>
      <c r="AB850"/>
      <c r="AC850"/>
      <c r="AD850"/>
      <c r="AE850"/>
      <c r="AF850"/>
      <c r="AG850"/>
      <c r="AH850"/>
      <c r="AI850"/>
      <c r="AJ850"/>
      <c r="AK850"/>
      <c r="AL850"/>
      <c r="AM850"/>
      <c r="AN850"/>
      <c r="AO850"/>
      <c r="AP850"/>
      <c r="AQ850"/>
      <c r="AR850"/>
      <c r="AS850"/>
      <c r="AT850"/>
      <c r="AU850"/>
      <c r="AV850" s="1" t="s">
        <v>38</v>
      </c>
      <c r="BG850" s="7" t="s">
        <v>1242</v>
      </c>
    </row>
    <row r="851" spans="1:59" s="1" customFormat="1" ht="270" x14ac:dyDescent="0.45">
      <c r="A851" s="5">
        <v>850</v>
      </c>
      <c r="B851" s="1" t="s">
        <v>11459</v>
      </c>
      <c r="C851" s="6"/>
      <c r="J851" s="1" t="s">
        <v>7557</v>
      </c>
      <c r="K851" s="2" t="s">
        <v>10651</v>
      </c>
      <c r="P851" s="7" t="s">
        <v>1241</v>
      </c>
      <c r="Q851"/>
      <c r="R851"/>
      <c r="S851"/>
      <c r="T851"/>
      <c r="U851"/>
      <c r="V851"/>
      <c r="W851"/>
      <c r="X851"/>
      <c r="Y851"/>
      <c r="Z851"/>
      <c r="AA851"/>
      <c r="AB851"/>
      <c r="AC851"/>
      <c r="AD851"/>
      <c r="AE851"/>
      <c r="AF851"/>
      <c r="AG851"/>
      <c r="AH851"/>
      <c r="AI851"/>
      <c r="AJ851"/>
      <c r="AK851"/>
      <c r="AL851"/>
      <c r="AM851"/>
      <c r="AN851"/>
      <c r="AO851"/>
      <c r="AP851"/>
      <c r="AQ851"/>
      <c r="AR851"/>
      <c r="AS851"/>
      <c r="AT851"/>
      <c r="AU851"/>
      <c r="AV851" s="1" t="s">
        <v>38</v>
      </c>
      <c r="BG851" s="7" t="s">
        <v>1242</v>
      </c>
    </row>
    <row r="852" spans="1:59" s="1" customFormat="1" ht="90" x14ac:dyDescent="0.45">
      <c r="A852" s="5">
        <v>851</v>
      </c>
      <c r="B852" s="1" t="s">
        <v>11460</v>
      </c>
      <c r="C852" s="6"/>
      <c r="J852" s="1" t="s">
        <v>7557</v>
      </c>
      <c r="K852" s="2" t="s">
        <v>10652</v>
      </c>
      <c r="P852" s="7" t="s">
        <v>1241</v>
      </c>
      <c r="Q852"/>
      <c r="R852"/>
      <c r="S852"/>
      <c r="T852"/>
      <c r="U852"/>
      <c r="V852"/>
      <c r="W852"/>
      <c r="X852"/>
      <c r="Y852"/>
      <c r="Z852"/>
      <c r="AA852"/>
      <c r="AB852"/>
      <c r="AC852"/>
      <c r="AD852"/>
      <c r="AE852"/>
      <c r="AF852"/>
      <c r="AG852"/>
      <c r="AH852"/>
      <c r="AI852"/>
      <c r="AJ852"/>
      <c r="AK852"/>
      <c r="AL852"/>
      <c r="AM852"/>
      <c r="AN852"/>
      <c r="AO852"/>
      <c r="AP852"/>
      <c r="AQ852"/>
      <c r="AR852"/>
      <c r="AS852"/>
      <c r="AT852"/>
      <c r="AU852"/>
      <c r="AV852" s="1" t="s">
        <v>38</v>
      </c>
      <c r="BG852" s="7" t="s">
        <v>1242</v>
      </c>
    </row>
    <row r="853" spans="1:59" s="1" customFormat="1" ht="144" x14ac:dyDescent="0.45">
      <c r="A853" s="5">
        <v>852</v>
      </c>
      <c r="B853" s="1" t="s">
        <v>11461</v>
      </c>
      <c r="C853" s="6"/>
      <c r="J853" s="1" t="s">
        <v>7557</v>
      </c>
      <c r="K853" s="11" t="s">
        <v>12029</v>
      </c>
      <c r="P853" s="7" t="s">
        <v>1241</v>
      </c>
      <c r="Q853"/>
      <c r="R853"/>
      <c r="S853"/>
      <c r="T853"/>
      <c r="U853"/>
      <c r="V853"/>
      <c r="W853"/>
      <c r="X853"/>
      <c r="Y853"/>
      <c r="Z853"/>
      <c r="AA853"/>
      <c r="AB853"/>
      <c r="AC853"/>
      <c r="AD853"/>
      <c r="AE853"/>
      <c r="AF853"/>
      <c r="AG853"/>
      <c r="AH853"/>
      <c r="AI853"/>
      <c r="AJ853"/>
      <c r="AK853"/>
      <c r="AL853"/>
      <c r="AM853"/>
      <c r="AN853"/>
      <c r="AO853"/>
      <c r="AP853"/>
      <c r="AQ853"/>
      <c r="AR853"/>
      <c r="AS853"/>
      <c r="AT853"/>
      <c r="AU853"/>
      <c r="AV853" s="1" t="s">
        <v>38</v>
      </c>
      <c r="BG853" s="7" t="s">
        <v>1242</v>
      </c>
    </row>
    <row r="854" spans="1:59" s="1" customFormat="1" ht="90" x14ac:dyDescent="0.45">
      <c r="A854" s="5">
        <v>853</v>
      </c>
      <c r="B854" s="1" t="s">
        <v>11462</v>
      </c>
      <c r="C854" s="6"/>
      <c r="J854" s="1" t="s">
        <v>7557</v>
      </c>
      <c r="K854" s="11" t="s">
        <v>12030</v>
      </c>
      <c r="P854" s="7" t="s">
        <v>1241</v>
      </c>
      <c r="Q854"/>
      <c r="R854"/>
      <c r="S854"/>
      <c r="T854"/>
      <c r="U854"/>
      <c r="V854"/>
      <c r="W854"/>
      <c r="X854"/>
      <c r="Y854"/>
      <c r="Z854"/>
      <c r="AA854"/>
      <c r="AB854"/>
      <c r="AC854"/>
      <c r="AD854"/>
      <c r="AE854"/>
      <c r="AF854"/>
      <c r="AG854"/>
      <c r="AH854"/>
      <c r="AI854"/>
      <c r="AJ854"/>
      <c r="AK854"/>
      <c r="AL854"/>
      <c r="AM854"/>
      <c r="AN854"/>
      <c r="AO854"/>
      <c r="AP854"/>
      <c r="AQ854"/>
      <c r="AR854"/>
      <c r="AS854"/>
      <c r="AT854"/>
      <c r="AU854"/>
      <c r="AV854" s="1" t="s">
        <v>38</v>
      </c>
      <c r="BG854" s="7" t="s">
        <v>1242</v>
      </c>
    </row>
    <row r="855" spans="1:59" s="1" customFormat="1" ht="180" x14ac:dyDescent="0.45">
      <c r="A855" s="5">
        <v>854</v>
      </c>
      <c r="B855" s="1" t="s">
        <v>11463</v>
      </c>
      <c r="C855" s="6"/>
      <c r="J855" s="1" t="s">
        <v>7557</v>
      </c>
      <c r="K855" s="11" t="s">
        <v>12031</v>
      </c>
      <c r="P855" s="7" t="s">
        <v>1241</v>
      </c>
      <c r="Q855"/>
      <c r="R855"/>
      <c r="S855"/>
      <c r="T855"/>
      <c r="U855"/>
      <c r="V855"/>
      <c r="W855"/>
      <c r="X855"/>
      <c r="Y855"/>
      <c r="Z855"/>
      <c r="AA855"/>
      <c r="AB855"/>
      <c r="AC855"/>
      <c r="AD855"/>
      <c r="AE855"/>
      <c r="AF855"/>
      <c r="AG855"/>
      <c r="AH855"/>
      <c r="AI855"/>
      <c r="AJ855"/>
      <c r="AK855"/>
      <c r="AL855"/>
      <c r="AM855"/>
      <c r="AN855"/>
      <c r="AO855"/>
      <c r="AP855"/>
      <c r="AQ855"/>
      <c r="AR855"/>
      <c r="AS855"/>
      <c r="AT855"/>
      <c r="AU855"/>
      <c r="AV855" s="1" t="s">
        <v>38</v>
      </c>
      <c r="BG855" s="7" t="s">
        <v>1242</v>
      </c>
    </row>
    <row r="856" spans="1:59" s="1" customFormat="1" ht="162" x14ac:dyDescent="0.45">
      <c r="A856" s="5" t="s">
        <v>4749</v>
      </c>
      <c r="B856" s="1" t="s">
        <v>11464</v>
      </c>
      <c r="C856" s="6"/>
      <c r="J856" s="1" t="s">
        <v>7557</v>
      </c>
      <c r="K856" s="11" t="s">
        <v>12032</v>
      </c>
      <c r="P856" s="7" t="s">
        <v>1241</v>
      </c>
      <c r="Q856"/>
      <c r="R856"/>
      <c r="S856"/>
      <c r="T856"/>
      <c r="U856"/>
      <c r="V856"/>
      <c r="W856"/>
      <c r="X856"/>
      <c r="Y856"/>
      <c r="Z856"/>
      <c r="AA856"/>
      <c r="AB856"/>
      <c r="AC856"/>
      <c r="AD856"/>
      <c r="AE856"/>
      <c r="AF856"/>
      <c r="AG856"/>
      <c r="AH856"/>
      <c r="AI856"/>
      <c r="AJ856"/>
      <c r="AK856"/>
      <c r="AL856"/>
      <c r="AM856"/>
      <c r="AN856"/>
      <c r="AO856"/>
      <c r="AP856"/>
      <c r="AQ856"/>
      <c r="AR856"/>
      <c r="AS856"/>
      <c r="AT856"/>
      <c r="AU856"/>
      <c r="AV856" s="1" t="s">
        <v>38</v>
      </c>
      <c r="BG856" s="7" t="s">
        <v>1242</v>
      </c>
    </row>
    <row r="857" spans="1:59" s="1" customFormat="1" ht="126" x14ac:dyDescent="0.45">
      <c r="A857" s="5">
        <v>856</v>
      </c>
      <c r="B857" s="1" t="s">
        <v>11465</v>
      </c>
      <c r="C857" s="6"/>
      <c r="J857" s="1" t="s">
        <v>7557</v>
      </c>
      <c r="K857" s="11" t="s">
        <v>12033</v>
      </c>
      <c r="P857" s="7" t="s">
        <v>1241</v>
      </c>
      <c r="Q857"/>
      <c r="R857"/>
      <c r="S857"/>
      <c r="T857"/>
      <c r="U857"/>
      <c r="V857"/>
      <c r="W857"/>
      <c r="X857"/>
      <c r="Y857"/>
      <c r="Z857"/>
      <c r="AA857"/>
      <c r="AB857"/>
      <c r="AC857"/>
      <c r="AD857"/>
      <c r="AE857"/>
      <c r="AF857"/>
      <c r="AG857"/>
      <c r="AH857"/>
      <c r="AI857"/>
      <c r="AJ857"/>
      <c r="AK857"/>
      <c r="AL857"/>
      <c r="AM857"/>
      <c r="AN857"/>
      <c r="AO857"/>
      <c r="AP857"/>
      <c r="AQ857"/>
      <c r="AR857"/>
      <c r="AS857"/>
      <c r="AT857"/>
      <c r="AU857"/>
      <c r="AV857" s="1" t="s">
        <v>38</v>
      </c>
      <c r="BG857" s="7" t="s">
        <v>1242</v>
      </c>
    </row>
    <row r="858" spans="1:59" s="1" customFormat="1" ht="126" x14ac:dyDescent="0.45">
      <c r="A858" s="5">
        <v>857</v>
      </c>
      <c r="B858" s="1" t="s">
        <v>11466</v>
      </c>
      <c r="C858" s="6"/>
      <c r="J858" s="1" t="s">
        <v>7557</v>
      </c>
      <c r="K858" s="11" t="s">
        <v>12034</v>
      </c>
      <c r="P858" s="7" t="s">
        <v>1241</v>
      </c>
      <c r="Q858"/>
      <c r="R858"/>
      <c r="S858"/>
      <c r="T858"/>
      <c r="U858"/>
      <c r="V858"/>
      <c r="W858"/>
      <c r="X858"/>
      <c r="Y858"/>
      <c r="Z858"/>
      <c r="AA858"/>
      <c r="AB858"/>
      <c r="AC858"/>
      <c r="AD858"/>
      <c r="AE858"/>
      <c r="AF858"/>
      <c r="AG858"/>
      <c r="AH858"/>
      <c r="AI858"/>
      <c r="AJ858"/>
      <c r="AK858"/>
      <c r="AL858"/>
      <c r="AM858"/>
      <c r="AN858"/>
      <c r="AO858"/>
      <c r="AP858"/>
      <c r="AQ858"/>
      <c r="AR858"/>
      <c r="AS858"/>
      <c r="AT858"/>
      <c r="AU858"/>
      <c r="AV858" s="1" t="s">
        <v>38</v>
      </c>
      <c r="BG858" s="7" t="s">
        <v>1242</v>
      </c>
    </row>
    <row r="859" spans="1:59" s="1" customFormat="1" ht="108" x14ac:dyDescent="0.45">
      <c r="A859" s="5">
        <v>858</v>
      </c>
      <c r="B859" s="1" t="s">
        <v>11467</v>
      </c>
      <c r="C859" s="6"/>
      <c r="J859" s="1" t="s">
        <v>7557</v>
      </c>
      <c r="K859" s="11" t="s">
        <v>12035</v>
      </c>
      <c r="P859" s="7" t="s">
        <v>1241</v>
      </c>
      <c r="Q859"/>
      <c r="R859"/>
      <c r="S859"/>
      <c r="T859"/>
      <c r="U859"/>
      <c r="V859"/>
      <c r="W859"/>
      <c r="X859"/>
      <c r="Y859"/>
      <c r="Z859"/>
      <c r="AA859"/>
      <c r="AB859"/>
      <c r="AC859"/>
      <c r="AD859"/>
      <c r="AE859"/>
      <c r="AF859"/>
      <c r="AG859"/>
      <c r="AH859"/>
      <c r="AI859"/>
      <c r="AJ859"/>
      <c r="AK859"/>
      <c r="AL859"/>
      <c r="AM859"/>
      <c r="AN859"/>
      <c r="AO859"/>
      <c r="AP859"/>
      <c r="AQ859"/>
      <c r="AR859"/>
      <c r="AS859"/>
      <c r="AT859"/>
      <c r="AU859"/>
      <c r="AV859" s="1" t="s">
        <v>38</v>
      </c>
      <c r="BG859" s="7" t="s">
        <v>1242</v>
      </c>
    </row>
    <row r="860" spans="1:59" s="1" customFormat="1" ht="108" x14ac:dyDescent="0.45">
      <c r="A860" s="5">
        <v>859</v>
      </c>
      <c r="B860" s="1" t="s">
        <v>11468</v>
      </c>
      <c r="C860" s="6"/>
      <c r="J860" s="1" t="s">
        <v>7557</v>
      </c>
      <c r="K860" s="2" t="s">
        <v>10653</v>
      </c>
      <c r="P860" s="7" t="s">
        <v>1241</v>
      </c>
      <c r="Q860"/>
      <c r="R860"/>
      <c r="S860"/>
      <c r="T860"/>
      <c r="U860"/>
      <c r="V860"/>
      <c r="W860"/>
      <c r="X860"/>
      <c r="Y860"/>
      <c r="Z860"/>
      <c r="AA860"/>
      <c r="AB860"/>
      <c r="AC860"/>
      <c r="AD860"/>
      <c r="AE860"/>
      <c r="AF860"/>
      <c r="AG860"/>
      <c r="AH860"/>
      <c r="AI860"/>
      <c r="AJ860"/>
      <c r="AK860"/>
      <c r="AL860"/>
      <c r="AM860"/>
      <c r="AN860"/>
      <c r="AO860"/>
      <c r="AP860"/>
      <c r="AQ860"/>
      <c r="AR860"/>
      <c r="AS860"/>
      <c r="AT860"/>
      <c r="AU860"/>
      <c r="AV860" s="1" t="s">
        <v>38</v>
      </c>
      <c r="BG860" s="7" t="s">
        <v>1242</v>
      </c>
    </row>
    <row r="861" spans="1:59" s="1" customFormat="1" ht="90" x14ac:dyDescent="0.45">
      <c r="A861" s="5">
        <v>860</v>
      </c>
      <c r="B861" s="1" t="s">
        <v>11469</v>
      </c>
      <c r="C861" s="6"/>
      <c r="J861" s="1" t="s">
        <v>7557</v>
      </c>
      <c r="K861" s="11" t="s">
        <v>12036</v>
      </c>
      <c r="P861" s="7" t="s">
        <v>1241</v>
      </c>
      <c r="Q861"/>
      <c r="R861"/>
      <c r="S861"/>
      <c r="T861"/>
      <c r="U861"/>
      <c r="V861"/>
      <c r="W861"/>
      <c r="X861"/>
      <c r="Y861"/>
      <c r="Z861"/>
      <c r="AA861"/>
      <c r="AB861"/>
      <c r="AC861"/>
      <c r="AD861"/>
      <c r="AE861"/>
      <c r="AF861"/>
      <c r="AG861"/>
      <c r="AH861"/>
      <c r="AI861"/>
      <c r="AJ861"/>
      <c r="AK861"/>
      <c r="AL861"/>
      <c r="AM861"/>
      <c r="AN861"/>
      <c r="AO861"/>
      <c r="AP861"/>
      <c r="AQ861"/>
      <c r="AR861"/>
      <c r="AS861"/>
      <c r="AT861"/>
      <c r="AU861"/>
      <c r="AV861" s="1" t="s">
        <v>38</v>
      </c>
      <c r="BG861" s="7" t="s">
        <v>1242</v>
      </c>
    </row>
    <row r="862" spans="1:59" s="1" customFormat="1" ht="90" x14ac:dyDescent="0.45">
      <c r="A862" s="5">
        <v>861</v>
      </c>
      <c r="B862" s="1" t="s">
        <v>11470</v>
      </c>
      <c r="C862" s="6"/>
      <c r="J862" s="1" t="s">
        <v>7557</v>
      </c>
      <c r="K862" s="2" t="s">
        <v>10654</v>
      </c>
      <c r="P862" s="7" t="s">
        <v>1241</v>
      </c>
      <c r="Q862"/>
      <c r="R862"/>
      <c r="S862"/>
      <c r="T862"/>
      <c r="U862"/>
      <c r="V862"/>
      <c r="W862"/>
      <c r="X862"/>
      <c r="Y862"/>
      <c r="Z862"/>
      <c r="AA862"/>
      <c r="AB862"/>
      <c r="AC862"/>
      <c r="AD862"/>
      <c r="AE862"/>
      <c r="AF862"/>
      <c r="AG862"/>
      <c r="AH862"/>
      <c r="AI862"/>
      <c r="AJ862"/>
      <c r="AK862"/>
      <c r="AL862"/>
      <c r="AM862"/>
      <c r="AN862"/>
      <c r="AO862"/>
      <c r="AP862"/>
      <c r="AQ862"/>
      <c r="AR862"/>
      <c r="AS862"/>
      <c r="AT862"/>
      <c r="AU862"/>
      <c r="AV862" s="1" t="s">
        <v>38</v>
      </c>
      <c r="BG862" s="7" t="s">
        <v>1242</v>
      </c>
    </row>
    <row r="863" spans="1:59" s="1" customFormat="1" ht="108" x14ac:dyDescent="0.45">
      <c r="A863" s="5">
        <v>862</v>
      </c>
      <c r="B863" s="1" t="s">
        <v>11471</v>
      </c>
      <c r="C863" s="6"/>
      <c r="J863" s="1" t="s">
        <v>7557</v>
      </c>
      <c r="K863" s="11" t="s">
        <v>12037</v>
      </c>
      <c r="P863" s="7" t="s">
        <v>1241</v>
      </c>
      <c r="Q863"/>
      <c r="R863"/>
      <c r="S863"/>
      <c r="T863"/>
      <c r="U863"/>
      <c r="V863"/>
      <c r="W863"/>
      <c r="X863"/>
      <c r="Y863"/>
      <c r="Z863"/>
      <c r="AA863"/>
      <c r="AB863"/>
      <c r="AC863"/>
      <c r="AD863"/>
      <c r="AE863"/>
      <c r="AF863"/>
      <c r="AG863"/>
      <c r="AH863"/>
      <c r="AI863"/>
      <c r="AJ863"/>
      <c r="AK863"/>
      <c r="AL863"/>
      <c r="AM863"/>
      <c r="AN863"/>
      <c r="AO863"/>
      <c r="AP863"/>
      <c r="AQ863"/>
      <c r="AR863"/>
      <c r="AS863"/>
      <c r="AT863"/>
      <c r="AU863"/>
      <c r="AV863" s="1" t="s">
        <v>38</v>
      </c>
      <c r="BG863" s="7" t="s">
        <v>1242</v>
      </c>
    </row>
    <row r="864" spans="1:59" s="1" customFormat="1" ht="198" x14ac:dyDescent="0.45">
      <c r="A864" s="5">
        <v>863</v>
      </c>
      <c r="B864" s="1" t="s">
        <v>11472</v>
      </c>
      <c r="C864" s="6"/>
      <c r="J864" s="1" t="s">
        <v>7557</v>
      </c>
      <c r="K864" s="11" t="s">
        <v>12038</v>
      </c>
      <c r="P864" s="7" t="s">
        <v>1241</v>
      </c>
      <c r="Q864"/>
      <c r="R864"/>
      <c r="S864"/>
      <c r="T864"/>
      <c r="U864"/>
      <c r="V864"/>
      <c r="W864"/>
      <c r="X864"/>
      <c r="Y864"/>
      <c r="Z864"/>
      <c r="AA864"/>
      <c r="AB864"/>
      <c r="AC864"/>
      <c r="AD864"/>
      <c r="AE864"/>
      <c r="AF864"/>
      <c r="AG864"/>
      <c r="AH864"/>
      <c r="AI864"/>
      <c r="AJ864"/>
      <c r="AK864"/>
      <c r="AL864"/>
      <c r="AM864"/>
      <c r="AN864"/>
      <c r="AO864"/>
      <c r="AP864"/>
      <c r="AQ864"/>
      <c r="AR864"/>
      <c r="AS864"/>
      <c r="AT864"/>
      <c r="AU864"/>
      <c r="AV864" s="1" t="s">
        <v>38</v>
      </c>
      <c r="BG864" s="7" t="s">
        <v>1242</v>
      </c>
    </row>
    <row r="865" spans="1:59" s="1" customFormat="1" ht="234" x14ac:dyDescent="0.45">
      <c r="A865" s="5">
        <v>864</v>
      </c>
      <c r="B865" s="1" t="s">
        <v>11473</v>
      </c>
      <c r="C865" s="6"/>
      <c r="J865" s="1" t="s">
        <v>7557</v>
      </c>
      <c r="K865" s="2" t="s">
        <v>11625</v>
      </c>
      <c r="P865" s="7" t="s">
        <v>1241</v>
      </c>
      <c r="Q865"/>
      <c r="R865"/>
      <c r="S865"/>
      <c r="T865"/>
      <c r="U865"/>
      <c r="V865"/>
      <c r="W865"/>
      <c r="X865"/>
      <c r="Y865"/>
      <c r="Z865"/>
      <c r="AA865"/>
      <c r="AB865"/>
      <c r="AC865"/>
      <c r="AD865"/>
      <c r="AE865"/>
      <c r="AF865"/>
      <c r="AG865"/>
      <c r="AH865"/>
      <c r="AI865"/>
      <c r="AJ865"/>
      <c r="AK865"/>
      <c r="AL865"/>
      <c r="AM865"/>
      <c r="AN865"/>
      <c r="AO865"/>
      <c r="AP865"/>
      <c r="AQ865"/>
      <c r="AR865"/>
      <c r="AS865"/>
      <c r="AT865"/>
      <c r="AU865"/>
      <c r="AV865" s="1" t="s">
        <v>38</v>
      </c>
      <c r="BG865" s="7" t="s">
        <v>1242</v>
      </c>
    </row>
    <row r="866" spans="1:59" s="1" customFormat="1" ht="108" x14ac:dyDescent="0.45">
      <c r="A866" s="5">
        <v>865</v>
      </c>
      <c r="B866" s="1" t="s">
        <v>11474</v>
      </c>
      <c r="C866" s="6"/>
      <c r="J866" s="1" t="s">
        <v>7557</v>
      </c>
      <c r="K866" s="11" t="s">
        <v>12039</v>
      </c>
      <c r="P866" s="7" t="s">
        <v>1241</v>
      </c>
      <c r="Q866"/>
      <c r="R866"/>
      <c r="S866"/>
      <c r="T866"/>
      <c r="U866"/>
      <c r="V866"/>
      <c r="W866"/>
      <c r="X866"/>
      <c r="Y866"/>
      <c r="Z866"/>
      <c r="AA866"/>
      <c r="AB866"/>
      <c r="AC866"/>
      <c r="AD866"/>
      <c r="AE866"/>
      <c r="AF866"/>
      <c r="AG866"/>
      <c r="AH866"/>
      <c r="AI866"/>
      <c r="AJ866"/>
      <c r="AK866"/>
      <c r="AL866"/>
      <c r="AM866"/>
      <c r="AN866"/>
      <c r="AO866"/>
      <c r="AP866"/>
      <c r="AQ866"/>
      <c r="AR866"/>
      <c r="AS866"/>
      <c r="AT866"/>
      <c r="AU866"/>
      <c r="AV866" s="1" t="s">
        <v>38</v>
      </c>
      <c r="BG866" s="7" t="s">
        <v>1242</v>
      </c>
    </row>
    <row r="867" spans="1:59" s="1" customFormat="1" ht="126" x14ac:dyDescent="0.45">
      <c r="A867" s="5">
        <v>866</v>
      </c>
      <c r="B867" s="1" t="s">
        <v>11475</v>
      </c>
      <c r="C867" s="6"/>
      <c r="J867" s="1" t="s">
        <v>7557</v>
      </c>
      <c r="K867" s="11" t="s">
        <v>12040</v>
      </c>
      <c r="P867" s="7" t="s">
        <v>1241</v>
      </c>
      <c r="Q867"/>
      <c r="R867"/>
      <c r="S867"/>
      <c r="T867"/>
      <c r="U867"/>
      <c r="V867"/>
      <c r="W867"/>
      <c r="X867"/>
      <c r="Y867"/>
      <c r="Z867"/>
      <c r="AA867"/>
      <c r="AB867"/>
      <c r="AC867"/>
      <c r="AD867"/>
      <c r="AE867"/>
      <c r="AF867"/>
      <c r="AG867"/>
      <c r="AH867"/>
      <c r="AI867"/>
      <c r="AJ867"/>
      <c r="AK867"/>
      <c r="AL867"/>
      <c r="AM867"/>
      <c r="AN867"/>
      <c r="AO867"/>
      <c r="AP867"/>
      <c r="AQ867"/>
      <c r="AR867"/>
      <c r="AS867"/>
      <c r="AT867"/>
      <c r="AU867"/>
      <c r="AV867" s="1" t="s">
        <v>38</v>
      </c>
      <c r="BG867" s="7" t="s">
        <v>1242</v>
      </c>
    </row>
    <row r="868" spans="1:59" s="1" customFormat="1" ht="126" x14ac:dyDescent="0.45">
      <c r="A868" s="5">
        <v>867</v>
      </c>
      <c r="B868" s="1" t="s">
        <v>11476</v>
      </c>
      <c r="C868" s="6"/>
      <c r="J868" s="1" t="s">
        <v>7557</v>
      </c>
      <c r="K868" s="11" t="s">
        <v>12041</v>
      </c>
      <c r="P868" s="7" t="s">
        <v>1241</v>
      </c>
      <c r="Q868"/>
      <c r="R868"/>
      <c r="S868"/>
      <c r="T868"/>
      <c r="U868"/>
      <c r="V868"/>
      <c r="W868"/>
      <c r="X868"/>
      <c r="Y868"/>
      <c r="Z868"/>
      <c r="AA868"/>
      <c r="AB868"/>
      <c r="AC868"/>
      <c r="AD868"/>
      <c r="AE868"/>
      <c r="AF868"/>
      <c r="AG868"/>
      <c r="AH868"/>
      <c r="AI868"/>
      <c r="AJ868"/>
      <c r="AK868"/>
      <c r="AL868"/>
      <c r="AM868"/>
      <c r="AN868"/>
      <c r="AO868"/>
      <c r="AP868"/>
      <c r="AQ868"/>
      <c r="AR868"/>
      <c r="AS868"/>
      <c r="AT868"/>
      <c r="AU868"/>
      <c r="AV868" s="1" t="s">
        <v>38</v>
      </c>
      <c r="BG868" s="7" t="s">
        <v>1242</v>
      </c>
    </row>
    <row r="869" spans="1:59" s="1" customFormat="1" ht="144" x14ac:dyDescent="0.45">
      <c r="A869" s="5">
        <v>868</v>
      </c>
      <c r="B869" s="1" t="s">
        <v>11477</v>
      </c>
      <c r="C869" s="6"/>
      <c r="J869" s="1" t="s">
        <v>7557</v>
      </c>
      <c r="K869" s="2" t="s">
        <v>10660</v>
      </c>
      <c r="P869" s="7" t="s">
        <v>1241</v>
      </c>
      <c r="Q869"/>
      <c r="R869"/>
      <c r="S869"/>
      <c r="T869"/>
      <c r="U869"/>
      <c r="V869"/>
      <c r="W869"/>
      <c r="X869"/>
      <c r="Y869"/>
      <c r="Z869"/>
      <c r="AA869"/>
      <c r="AB869"/>
      <c r="AC869"/>
      <c r="AD869"/>
      <c r="AE869"/>
      <c r="AF869"/>
      <c r="AG869"/>
      <c r="AH869"/>
      <c r="AI869"/>
      <c r="AJ869"/>
      <c r="AK869"/>
      <c r="AL869"/>
      <c r="AM869"/>
      <c r="AN869"/>
      <c r="AO869"/>
      <c r="AP869"/>
      <c r="AQ869"/>
      <c r="AR869"/>
      <c r="AS869"/>
      <c r="AT869"/>
      <c r="AU869"/>
      <c r="AV869" s="1" t="s">
        <v>38</v>
      </c>
      <c r="BG869" s="7" t="s">
        <v>1242</v>
      </c>
    </row>
    <row r="870" spans="1:59" s="1" customFormat="1" ht="126" x14ac:dyDescent="0.45">
      <c r="A870" s="5">
        <v>869</v>
      </c>
      <c r="B870" s="1" t="s">
        <v>11478</v>
      </c>
      <c r="C870" s="6"/>
      <c r="J870" s="1" t="s">
        <v>7557</v>
      </c>
      <c r="K870" s="2" t="s">
        <v>11626</v>
      </c>
      <c r="P870" s="7" t="s">
        <v>1241</v>
      </c>
      <c r="Q870"/>
      <c r="R870"/>
      <c r="S870"/>
      <c r="T870"/>
      <c r="U870"/>
      <c r="V870"/>
      <c r="W870"/>
      <c r="X870"/>
      <c r="Y870"/>
      <c r="Z870"/>
      <c r="AA870"/>
      <c r="AB870"/>
      <c r="AC870"/>
      <c r="AD870"/>
      <c r="AE870"/>
      <c r="AF870"/>
      <c r="AG870"/>
      <c r="AH870"/>
      <c r="AI870"/>
      <c r="AJ870"/>
      <c r="AK870"/>
      <c r="AL870"/>
      <c r="AM870"/>
      <c r="AN870"/>
      <c r="AO870"/>
      <c r="AP870"/>
      <c r="AQ870"/>
      <c r="AR870"/>
      <c r="AS870"/>
      <c r="AT870"/>
      <c r="AU870"/>
      <c r="AV870" s="1" t="s">
        <v>38</v>
      </c>
      <c r="BG870" s="7" t="s">
        <v>1242</v>
      </c>
    </row>
    <row r="871" spans="1:59" s="1" customFormat="1" ht="54" x14ac:dyDescent="0.45">
      <c r="A871" s="5">
        <v>870</v>
      </c>
      <c r="B871" s="1" t="s">
        <v>11479</v>
      </c>
      <c r="C871" s="6"/>
      <c r="J871" s="1" t="s">
        <v>7557</v>
      </c>
      <c r="K871" s="2" t="s">
        <v>10661</v>
      </c>
      <c r="P871" s="7" t="s">
        <v>1241</v>
      </c>
      <c r="Q871"/>
      <c r="R871"/>
      <c r="S871"/>
      <c r="T871"/>
      <c r="U871"/>
      <c r="V871"/>
      <c r="W871"/>
      <c r="X871"/>
      <c r="Y871"/>
      <c r="Z871"/>
      <c r="AA871"/>
      <c r="AB871"/>
      <c r="AC871"/>
      <c r="AD871"/>
      <c r="AE871"/>
      <c r="AF871"/>
      <c r="AG871"/>
      <c r="AH871"/>
      <c r="AI871"/>
      <c r="AJ871"/>
      <c r="AK871"/>
      <c r="AL871"/>
      <c r="AM871"/>
      <c r="AN871"/>
      <c r="AO871"/>
      <c r="AP871"/>
      <c r="AQ871"/>
      <c r="AR871"/>
      <c r="AS871"/>
      <c r="AT871"/>
      <c r="AU871"/>
      <c r="AV871" s="1" t="s">
        <v>38</v>
      </c>
      <c r="BG871" s="7" t="s">
        <v>1242</v>
      </c>
    </row>
    <row r="872" spans="1:59" s="1" customFormat="1" ht="108" x14ac:dyDescent="0.45">
      <c r="A872" s="5">
        <v>871</v>
      </c>
      <c r="B872" s="1" t="s">
        <v>11480</v>
      </c>
      <c r="C872" s="6"/>
      <c r="J872" s="1" t="s">
        <v>7557</v>
      </c>
      <c r="K872" s="11" t="s">
        <v>12042</v>
      </c>
      <c r="P872" s="7" t="s">
        <v>1241</v>
      </c>
      <c r="Q872"/>
      <c r="R872"/>
      <c r="S872"/>
      <c r="T872"/>
      <c r="U872"/>
      <c r="V872"/>
      <c r="W872"/>
      <c r="X872"/>
      <c r="Y872"/>
      <c r="Z872"/>
      <c r="AA872"/>
      <c r="AB872"/>
      <c r="AC872"/>
      <c r="AD872"/>
      <c r="AE872"/>
      <c r="AF872"/>
      <c r="AG872"/>
      <c r="AH872"/>
      <c r="AI872"/>
      <c r="AJ872"/>
      <c r="AK872"/>
      <c r="AL872"/>
      <c r="AM872"/>
      <c r="AN872"/>
      <c r="AO872"/>
      <c r="AP872"/>
      <c r="AQ872"/>
      <c r="AR872"/>
      <c r="AS872"/>
      <c r="AT872"/>
      <c r="AU872"/>
      <c r="AV872" s="1" t="s">
        <v>38</v>
      </c>
      <c r="BG872" s="7" t="s">
        <v>1242</v>
      </c>
    </row>
    <row r="873" spans="1:59" s="1" customFormat="1" ht="54" x14ac:dyDescent="0.45">
      <c r="A873" s="5">
        <v>872</v>
      </c>
      <c r="B873" s="1" t="s">
        <v>11481</v>
      </c>
      <c r="C873" s="6"/>
      <c r="J873" s="1" t="s">
        <v>7557</v>
      </c>
      <c r="K873" s="2" t="s">
        <v>10662</v>
      </c>
      <c r="P873" s="7" t="s">
        <v>1241</v>
      </c>
      <c r="Q873"/>
      <c r="R873"/>
      <c r="S873"/>
      <c r="T873"/>
      <c r="U873"/>
      <c r="V873"/>
      <c r="W873"/>
      <c r="X873"/>
      <c r="Y873"/>
      <c r="Z873"/>
      <c r="AA873"/>
      <c r="AB873"/>
      <c r="AC873"/>
      <c r="AD873"/>
      <c r="AE873"/>
      <c r="AF873"/>
      <c r="AG873"/>
      <c r="AH873"/>
      <c r="AI873"/>
      <c r="AJ873"/>
      <c r="AK873"/>
      <c r="AL873"/>
      <c r="AM873"/>
      <c r="AN873"/>
      <c r="AO873"/>
      <c r="AP873"/>
      <c r="AQ873"/>
      <c r="AR873"/>
      <c r="AS873"/>
      <c r="AT873"/>
      <c r="AU873"/>
      <c r="AV873" s="1" t="s">
        <v>38</v>
      </c>
      <c r="BG873" s="7" t="s">
        <v>1242</v>
      </c>
    </row>
    <row r="874" spans="1:59" s="1" customFormat="1" ht="162" x14ac:dyDescent="0.45">
      <c r="A874" s="5">
        <v>873</v>
      </c>
      <c r="B874" s="1" t="s">
        <v>11482</v>
      </c>
      <c r="C874" s="6"/>
      <c r="J874" s="1" t="s">
        <v>7557</v>
      </c>
      <c r="K874" s="11" t="s">
        <v>12043</v>
      </c>
      <c r="P874" s="7" t="s">
        <v>1241</v>
      </c>
      <c r="Q874"/>
      <c r="R874"/>
      <c r="S874"/>
      <c r="T874"/>
      <c r="U874"/>
      <c r="V874"/>
      <c r="W874"/>
      <c r="X874"/>
      <c r="Y874"/>
      <c r="Z874"/>
      <c r="AA874"/>
      <c r="AB874"/>
      <c r="AC874"/>
      <c r="AD874"/>
      <c r="AE874"/>
      <c r="AF874"/>
      <c r="AG874"/>
      <c r="AH874"/>
      <c r="AI874"/>
      <c r="AJ874"/>
      <c r="AK874"/>
      <c r="AL874"/>
      <c r="AM874"/>
      <c r="AN874"/>
      <c r="AO874"/>
      <c r="AP874"/>
      <c r="AQ874"/>
      <c r="AR874"/>
      <c r="AS874"/>
      <c r="AT874"/>
      <c r="AU874"/>
      <c r="AV874" s="1" t="s">
        <v>38</v>
      </c>
      <c r="BG874" s="7" t="s">
        <v>1242</v>
      </c>
    </row>
    <row r="875" spans="1:59" s="1" customFormat="1" ht="162" x14ac:dyDescent="0.45">
      <c r="A875" s="5">
        <v>874</v>
      </c>
      <c r="B875" s="1" t="s">
        <v>11483</v>
      </c>
      <c r="C875" s="6"/>
      <c r="J875" s="1" t="s">
        <v>7557</v>
      </c>
      <c r="K875" s="11" t="s">
        <v>12044</v>
      </c>
      <c r="P875" s="7" t="s">
        <v>1241</v>
      </c>
      <c r="Q875"/>
      <c r="R875"/>
      <c r="S875"/>
      <c r="T875"/>
      <c r="U875"/>
      <c r="V875"/>
      <c r="W875"/>
      <c r="X875"/>
      <c r="Y875"/>
      <c r="Z875"/>
      <c r="AA875"/>
      <c r="AB875"/>
      <c r="AC875"/>
      <c r="AD875"/>
      <c r="AE875"/>
      <c r="AF875"/>
      <c r="AG875"/>
      <c r="AH875"/>
      <c r="AI875"/>
      <c r="AJ875"/>
      <c r="AK875"/>
      <c r="AL875"/>
      <c r="AM875"/>
      <c r="AN875"/>
      <c r="AO875"/>
      <c r="AP875"/>
      <c r="AQ875"/>
      <c r="AR875"/>
      <c r="AS875"/>
      <c r="AT875"/>
      <c r="AU875"/>
      <c r="AV875" s="1" t="s">
        <v>38</v>
      </c>
      <c r="BG875" s="7" t="s">
        <v>1242</v>
      </c>
    </row>
    <row r="876" spans="1:59" s="1" customFormat="1" ht="108" x14ac:dyDescent="0.45">
      <c r="A876" s="5">
        <v>875</v>
      </c>
      <c r="B876" s="1" t="s">
        <v>11484</v>
      </c>
      <c r="C876" s="6"/>
      <c r="J876" s="1" t="s">
        <v>7557</v>
      </c>
      <c r="K876" s="2" t="s">
        <v>10663</v>
      </c>
      <c r="P876" s="7" t="s">
        <v>1241</v>
      </c>
      <c r="Q876"/>
      <c r="R876"/>
      <c r="S876"/>
      <c r="T876"/>
      <c r="U876"/>
      <c r="V876"/>
      <c r="W876"/>
      <c r="X876"/>
      <c r="Y876"/>
      <c r="Z876"/>
      <c r="AA876"/>
      <c r="AB876"/>
      <c r="AC876"/>
      <c r="AD876"/>
      <c r="AE876"/>
      <c r="AF876"/>
      <c r="AG876"/>
      <c r="AH876"/>
      <c r="AI876"/>
      <c r="AJ876"/>
      <c r="AK876"/>
      <c r="AL876"/>
      <c r="AM876"/>
      <c r="AN876"/>
      <c r="AO876"/>
      <c r="AP876"/>
      <c r="AQ876"/>
      <c r="AR876"/>
      <c r="AS876"/>
      <c r="AT876"/>
      <c r="AU876"/>
      <c r="AV876" s="1" t="s">
        <v>38</v>
      </c>
      <c r="BG876" s="7" t="s">
        <v>1242</v>
      </c>
    </row>
    <row r="877" spans="1:59" s="1" customFormat="1" ht="144" x14ac:dyDescent="0.45">
      <c r="A877" s="5">
        <v>876</v>
      </c>
      <c r="B877" s="1" t="s">
        <v>11485</v>
      </c>
      <c r="C877" s="6"/>
      <c r="J877" s="1" t="s">
        <v>7557</v>
      </c>
      <c r="K877" s="11" t="s">
        <v>12045</v>
      </c>
      <c r="P877" s="7" t="s">
        <v>1241</v>
      </c>
      <c r="Q877"/>
      <c r="R877"/>
      <c r="S877"/>
      <c r="T877"/>
      <c r="U877"/>
      <c r="V877"/>
      <c r="W877"/>
      <c r="X877"/>
      <c r="Y877"/>
      <c r="Z877"/>
      <c r="AA877"/>
      <c r="AB877"/>
      <c r="AC877"/>
      <c r="AD877"/>
      <c r="AE877"/>
      <c r="AF877"/>
      <c r="AG877"/>
      <c r="AH877"/>
      <c r="AI877"/>
      <c r="AJ877"/>
      <c r="AK877"/>
      <c r="AL877"/>
      <c r="AM877"/>
      <c r="AN877"/>
      <c r="AO877"/>
      <c r="AP877"/>
      <c r="AQ877"/>
      <c r="AR877"/>
      <c r="AS877"/>
      <c r="AT877"/>
      <c r="AU877"/>
      <c r="AV877" s="1" t="s">
        <v>38</v>
      </c>
      <c r="BG877" s="7" t="s">
        <v>1242</v>
      </c>
    </row>
    <row r="878" spans="1:59" s="1" customFormat="1" ht="144" x14ac:dyDescent="0.45">
      <c r="A878" s="5">
        <v>877</v>
      </c>
      <c r="B878" s="1" t="s">
        <v>11486</v>
      </c>
      <c r="C878" s="6"/>
      <c r="J878" s="1" t="s">
        <v>7557</v>
      </c>
      <c r="K878" s="11" t="s">
        <v>12046</v>
      </c>
      <c r="P878" s="7" t="s">
        <v>1241</v>
      </c>
      <c r="Q878"/>
      <c r="R878"/>
      <c r="S878"/>
      <c r="T878"/>
      <c r="U878"/>
      <c r="V878"/>
      <c r="W878"/>
      <c r="X878"/>
      <c r="Y878"/>
      <c r="Z878"/>
      <c r="AA878"/>
      <c r="AB878"/>
      <c r="AC878"/>
      <c r="AD878"/>
      <c r="AE878"/>
      <c r="AF878"/>
      <c r="AG878"/>
      <c r="AH878"/>
      <c r="AI878"/>
      <c r="AJ878"/>
      <c r="AK878"/>
      <c r="AL878"/>
      <c r="AM878"/>
      <c r="AN878"/>
      <c r="AO878"/>
      <c r="AP878"/>
      <c r="AQ878"/>
      <c r="AR878"/>
      <c r="AS878"/>
      <c r="AT878"/>
      <c r="AU878"/>
      <c r="AV878" s="1" t="s">
        <v>38</v>
      </c>
      <c r="BG878" s="7" t="s">
        <v>1242</v>
      </c>
    </row>
    <row r="879" spans="1:59" s="1" customFormat="1" ht="90" x14ac:dyDescent="0.45">
      <c r="A879" s="5">
        <v>878</v>
      </c>
      <c r="B879" s="1" t="s">
        <v>11487</v>
      </c>
      <c r="C879" s="6"/>
      <c r="J879" s="1" t="s">
        <v>7557</v>
      </c>
      <c r="K879" s="2" t="s">
        <v>10664</v>
      </c>
      <c r="P879" s="7" t="s">
        <v>1241</v>
      </c>
      <c r="Q879"/>
      <c r="R879"/>
      <c r="S879"/>
      <c r="T879"/>
      <c r="U879"/>
      <c r="V879"/>
      <c r="W879"/>
      <c r="X879"/>
      <c r="Y879"/>
      <c r="Z879"/>
      <c r="AA879"/>
      <c r="AB879"/>
      <c r="AC879"/>
      <c r="AD879"/>
      <c r="AE879"/>
      <c r="AF879"/>
      <c r="AG879"/>
      <c r="AH879"/>
      <c r="AI879"/>
      <c r="AJ879"/>
      <c r="AK879"/>
      <c r="AL879"/>
      <c r="AM879"/>
      <c r="AN879"/>
      <c r="AO879"/>
      <c r="AP879"/>
      <c r="AQ879"/>
      <c r="AR879"/>
      <c r="AS879"/>
      <c r="AT879"/>
      <c r="AU879"/>
      <c r="AV879" s="1" t="s">
        <v>38</v>
      </c>
      <c r="BG879" s="7" t="s">
        <v>1242</v>
      </c>
    </row>
    <row r="880" spans="1:59" s="1" customFormat="1" ht="72" x14ac:dyDescent="0.45">
      <c r="A880" s="5">
        <v>879</v>
      </c>
      <c r="B880" s="1" t="s">
        <v>11488</v>
      </c>
      <c r="C880" s="6"/>
      <c r="J880" s="1" t="s">
        <v>7557</v>
      </c>
      <c r="K880" s="2" t="s">
        <v>10665</v>
      </c>
      <c r="P880" s="7" t="s">
        <v>1241</v>
      </c>
      <c r="Q880"/>
      <c r="R880"/>
      <c r="S880"/>
      <c r="T880"/>
      <c r="U880"/>
      <c r="V880"/>
      <c r="W880"/>
      <c r="X880"/>
      <c r="Y880"/>
      <c r="Z880"/>
      <c r="AA880"/>
      <c r="AB880"/>
      <c r="AC880"/>
      <c r="AD880"/>
      <c r="AE880"/>
      <c r="AF880"/>
      <c r="AG880"/>
      <c r="AH880"/>
      <c r="AI880"/>
      <c r="AJ880"/>
      <c r="AK880"/>
      <c r="AL880"/>
      <c r="AM880"/>
      <c r="AN880"/>
      <c r="AO880"/>
      <c r="AP880"/>
      <c r="AQ880"/>
      <c r="AR880"/>
      <c r="AS880"/>
      <c r="AT880"/>
      <c r="AU880"/>
      <c r="AV880" s="1" t="s">
        <v>38</v>
      </c>
      <c r="BG880" s="7" t="s">
        <v>1242</v>
      </c>
    </row>
    <row r="881" spans="1:59" s="1" customFormat="1" ht="90" x14ac:dyDescent="0.45">
      <c r="A881" s="5">
        <v>880</v>
      </c>
      <c r="B881" s="1" t="s">
        <v>11489</v>
      </c>
      <c r="C881" s="6"/>
      <c r="J881" s="1" t="s">
        <v>7557</v>
      </c>
      <c r="K881" s="11" t="s">
        <v>12047</v>
      </c>
      <c r="P881" s="7" t="s">
        <v>1241</v>
      </c>
      <c r="Q881"/>
      <c r="R881"/>
      <c r="S881"/>
      <c r="T881"/>
      <c r="U881"/>
      <c r="V881"/>
      <c r="W881"/>
      <c r="X881"/>
      <c r="Y881"/>
      <c r="Z881"/>
      <c r="AA881"/>
      <c r="AB881"/>
      <c r="AC881"/>
      <c r="AD881"/>
      <c r="AE881"/>
      <c r="AF881"/>
      <c r="AG881"/>
      <c r="AH881"/>
      <c r="AI881"/>
      <c r="AJ881"/>
      <c r="AK881"/>
      <c r="AL881"/>
      <c r="AM881"/>
      <c r="AN881"/>
      <c r="AO881"/>
      <c r="AP881"/>
      <c r="AQ881"/>
      <c r="AR881"/>
      <c r="AS881"/>
      <c r="AT881"/>
      <c r="AU881"/>
      <c r="AV881" s="1" t="s">
        <v>38</v>
      </c>
      <c r="BG881" s="7" t="s">
        <v>1242</v>
      </c>
    </row>
    <row r="882" spans="1:59" s="1" customFormat="1" ht="90" x14ac:dyDescent="0.45">
      <c r="A882" s="5">
        <v>881</v>
      </c>
      <c r="B882" s="1" t="s">
        <v>11490</v>
      </c>
      <c r="C882" s="6"/>
      <c r="J882" s="1" t="s">
        <v>7557</v>
      </c>
      <c r="K882" s="2" t="s">
        <v>10666</v>
      </c>
      <c r="P882" s="7" t="s">
        <v>1241</v>
      </c>
      <c r="Q882"/>
      <c r="R882"/>
      <c r="S882"/>
      <c r="T882"/>
      <c r="U882"/>
      <c r="V882"/>
      <c r="W882"/>
      <c r="X882"/>
      <c r="Y882"/>
      <c r="Z882"/>
      <c r="AA882"/>
      <c r="AB882"/>
      <c r="AC882"/>
      <c r="AD882"/>
      <c r="AE882"/>
      <c r="AF882"/>
      <c r="AG882"/>
      <c r="AH882"/>
      <c r="AI882"/>
      <c r="AJ882"/>
      <c r="AK882"/>
      <c r="AL882"/>
      <c r="AM882"/>
      <c r="AN882"/>
      <c r="AO882"/>
      <c r="AP882"/>
      <c r="AQ882"/>
      <c r="AR882"/>
      <c r="AS882"/>
      <c r="AT882"/>
      <c r="AU882"/>
      <c r="AV882" s="1" t="s">
        <v>38</v>
      </c>
      <c r="BG882" s="7" t="s">
        <v>1242</v>
      </c>
    </row>
    <row r="883" spans="1:59" s="1" customFormat="1" ht="90" x14ac:dyDescent="0.45">
      <c r="A883" s="5">
        <v>882</v>
      </c>
      <c r="B883" s="1" t="s">
        <v>11491</v>
      </c>
      <c r="C883" s="6"/>
      <c r="J883" s="1" t="s">
        <v>7557</v>
      </c>
      <c r="K883" s="2" t="s">
        <v>10667</v>
      </c>
      <c r="P883" s="7" t="s">
        <v>1241</v>
      </c>
      <c r="Q883"/>
      <c r="R883"/>
      <c r="S883"/>
      <c r="T883"/>
      <c r="U883"/>
      <c r="V883"/>
      <c r="W883"/>
      <c r="X883"/>
      <c r="Y883"/>
      <c r="Z883"/>
      <c r="AA883"/>
      <c r="AB883"/>
      <c r="AC883"/>
      <c r="AD883"/>
      <c r="AE883"/>
      <c r="AF883"/>
      <c r="AG883"/>
      <c r="AH883"/>
      <c r="AI883"/>
      <c r="AJ883"/>
      <c r="AK883"/>
      <c r="AL883"/>
      <c r="AM883"/>
      <c r="AN883"/>
      <c r="AO883"/>
      <c r="AP883"/>
      <c r="AQ883"/>
      <c r="AR883"/>
      <c r="AS883"/>
      <c r="AT883"/>
      <c r="AU883"/>
      <c r="AV883" s="1" t="s">
        <v>38</v>
      </c>
      <c r="BG883" s="7" t="s">
        <v>1242</v>
      </c>
    </row>
    <row r="884" spans="1:59" s="1" customFormat="1" ht="90" x14ac:dyDescent="0.45">
      <c r="A884" s="5">
        <v>883</v>
      </c>
      <c r="B884" s="1" t="s">
        <v>11492</v>
      </c>
      <c r="C884" s="6"/>
      <c r="J884" s="1" t="s">
        <v>7557</v>
      </c>
      <c r="K884" s="11" t="s">
        <v>12048</v>
      </c>
      <c r="P884" s="7" t="s">
        <v>1241</v>
      </c>
      <c r="Q884"/>
      <c r="R884"/>
      <c r="S884"/>
      <c r="T884"/>
      <c r="U884"/>
      <c r="V884"/>
      <c r="W884"/>
      <c r="X884"/>
      <c r="Y884"/>
      <c r="Z884"/>
      <c r="AA884"/>
      <c r="AB884"/>
      <c r="AC884"/>
      <c r="AD884"/>
      <c r="AE884"/>
      <c r="AF884"/>
      <c r="AG884"/>
      <c r="AH884"/>
      <c r="AI884"/>
      <c r="AJ884"/>
      <c r="AK884"/>
      <c r="AL884"/>
      <c r="AM884"/>
      <c r="AN884"/>
      <c r="AO884"/>
      <c r="AP884"/>
      <c r="AQ884"/>
      <c r="AR884"/>
      <c r="AS884"/>
      <c r="AT884"/>
      <c r="AU884"/>
      <c r="AV884" s="1" t="s">
        <v>38</v>
      </c>
      <c r="BG884" s="7" t="s">
        <v>1242</v>
      </c>
    </row>
    <row r="885" spans="1:59" s="1" customFormat="1" ht="126" x14ac:dyDescent="0.45">
      <c r="A885" s="5">
        <v>884</v>
      </c>
      <c r="B885" s="1" t="s">
        <v>11493</v>
      </c>
      <c r="C885" s="6"/>
      <c r="J885" s="1" t="s">
        <v>7557</v>
      </c>
      <c r="K885" s="11" t="s">
        <v>12049</v>
      </c>
      <c r="P885" s="7" t="s">
        <v>1241</v>
      </c>
      <c r="Q885"/>
      <c r="R885"/>
      <c r="S885"/>
      <c r="T885"/>
      <c r="U885"/>
      <c r="V885"/>
      <c r="W885"/>
      <c r="X885"/>
      <c r="Y885"/>
      <c r="Z885"/>
      <c r="AA885"/>
      <c r="AB885"/>
      <c r="AC885"/>
      <c r="AD885"/>
      <c r="AE885"/>
      <c r="AF885"/>
      <c r="AG885"/>
      <c r="AH885"/>
      <c r="AI885"/>
      <c r="AJ885"/>
      <c r="AK885"/>
      <c r="AL885"/>
      <c r="AM885"/>
      <c r="AN885"/>
      <c r="AO885"/>
      <c r="AP885"/>
      <c r="AQ885"/>
      <c r="AR885"/>
      <c r="AS885"/>
      <c r="AT885"/>
      <c r="AU885"/>
      <c r="AV885" s="1" t="s">
        <v>38</v>
      </c>
      <c r="BG885" s="7" t="s">
        <v>1242</v>
      </c>
    </row>
    <row r="886" spans="1:59" s="1" customFormat="1" ht="72" x14ac:dyDescent="0.45">
      <c r="A886" s="5">
        <v>885</v>
      </c>
      <c r="B886" s="1" t="s">
        <v>11494</v>
      </c>
      <c r="C886" s="6"/>
      <c r="J886" s="1" t="s">
        <v>7557</v>
      </c>
      <c r="K886" s="2" t="s">
        <v>10668</v>
      </c>
      <c r="P886" s="7" t="s">
        <v>1241</v>
      </c>
      <c r="Q886"/>
      <c r="R886"/>
      <c r="S886"/>
      <c r="T886"/>
      <c r="U886"/>
      <c r="V886"/>
      <c r="W886"/>
      <c r="X886"/>
      <c r="Y886"/>
      <c r="Z886"/>
      <c r="AA886"/>
      <c r="AB886"/>
      <c r="AC886"/>
      <c r="AD886"/>
      <c r="AE886"/>
      <c r="AF886"/>
      <c r="AG886"/>
      <c r="AH886"/>
      <c r="AI886"/>
      <c r="AJ886"/>
      <c r="AK886"/>
      <c r="AL886"/>
      <c r="AM886"/>
      <c r="AN886"/>
      <c r="AO886"/>
      <c r="AP886"/>
      <c r="AQ886"/>
      <c r="AR886"/>
      <c r="AS886"/>
      <c r="AT886"/>
      <c r="AU886"/>
      <c r="AV886" s="1" t="s">
        <v>38</v>
      </c>
      <c r="BG886" s="7" t="s">
        <v>1242</v>
      </c>
    </row>
    <row r="887" spans="1:59" s="1" customFormat="1" ht="108" x14ac:dyDescent="0.45">
      <c r="A887" s="5">
        <v>886</v>
      </c>
      <c r="B887" s="1" t="s">
        <v>11495</v>
      </c>
      <c r="C887" s="6"/>
      <c r="J887" s="1" t="s">
        <v>7557</v>
      </c>
      <c r="K887" s="2" t="s">
        <v>11627</v>
      </c>
      <c r="P887" s="7" t="s">
        <v>1241</v>
      </c>
      <c r="Q887"/>
      <c r="R887"/>
      <c r="S887"/>
      <c r="T887"/>
      <c r="U887"/>
      <c r="V887"/>
      <c r="W887"/>
      <c r="X887"/>
      <c r="Y887"/>
      <c r="Z887"/>
      <c r="AA887"/>
      <c r="AB887"/>
      <c r="AC887"/>
      <c r="AD887"/>
      <c r="AE887"/>
      <c r="AF887"/>
      <c r="AG887"/>
      <c r="AH887"/>
      <c r="AI887"/>
      <c r="AJ887"/>
      <c r="AK887"/>
      <c r="AL887"/>
      <c r="AM887"/>
      <c r="AN887"/>
      <c r="AO887"/>
      <c r="AP887"/>
      <c r="AQ887"/>
      <c r="AR887"/>
      <c r="AS887"/>
      <c r="AT887"/>
      <c r="AU887"/>
      <c r="AV887" s="1" t="s">
        <v>38</v>
      </c>
      <c r="BG887" s="7" t="s">
        <v>1242</v>
      </c>
    </row>
    <row r="888" spans="1:59" s="1" customFormat="1" ht="108" x14ac:dyDescent="0.45">
      <c r="A888" s="5">
        <v>887</v>
      </c>
      <c r="B888" s="1" t="s">
        <v>11496</v>
      </c>
      <c r="C888" s="6"/>
      <c r="J888" s="1" t="s">
        <v>7557</v>
      </c>
      <c r="K888" s="2" t="s">
        <v>10669</v>
      </c>
      <c r="P888" s="7" t="s">
        <v>1241</v>
      </c>
      <c r="Q888"/>
      <c r="R888"/>
      <c r="S888"/>
      <c r="T888"/>
      <c r="U888"/>
      <c r="V888"/>
      <c r="W888"/>
      <c r="X888"/>
      <c r="Y888"/>
      <c r="Z888"/>
      <c r="AA888"/>
      <c r="AB888"/>
      <c r="AC888"/>
      <c r="AD888"/>
      <c r="AE888"/>
      <c r="AF888"/>
      <c r="AG888"/>
      <c r="AH888"/>
      <c r="AI888"/>
      <c r="AJ888"/>
      <c r="AK888"/>
      <c r="AL888"/>
      <c r="AM888"/>
      <c r="AN888"/>
      <c r="AO888"/>
      <c r="AP888"/>
      <c r="AQ888"/>
      <c r="AR888"/>
      <c r="AS888"/>
      <c r="AT888"/>
      <c r="AU888"/>
      <c r="AV888" s="1" t="s">
        <v>38</v>
      </c>
      <c r="BG888" s="7" t="s">
        <v>1242</v>
      </c>
    </row>
    <row r="889" spans="1:59" s="1" customFormat="1" ht="126" x14ac:dyDescent="0.45">
      <c r="A889" s="5">
        <v>888</v>
      </c>
      <c r="B889" s="1" t="s">
        <v>11497</v>
      </c>
      <c r="C889" s="6"/>
      <c r="J889" s="1" t="s">
        <v>7557</v>
      </c>
      <c r="K889" s="11" t="s">
        <v>12050</v>
      </c>
      <c r="P889" s="7" t="s">
        <v>1241</v>
      </c>
      <c r="Q889"/>
      <c r="R889"/>
      <c r="S889"/>
      <c r="T889"/>
      <c r="U889"/>
      <c r="V889"/>
      <c r="W889"/>
      <c r="X889"/>
      <c r="Y889"/>
      <c r="Z889"/>
      <c r="AA889"/>
      <c r="AB889"/>
      <c r="AC889"/>
      <c r="AD889"/>
      <c r="AE889"/>
      <c r="AF889"/>
      <c r="AG889"/>
      <c r="AH889"/>
      <c r="AI889"/>
      <c r="AJ889"/>
      <c r="AK889"/>
      <c r="AL889"/>
      <c r="AM889"/>
      <c r="AN889"/>
      <c r="AO889"/>
      <c r="AP889"/>
      <c r="AQ889"/>
      <c r="AR889"/>
      <c r="AS889"/>
      <c r="AT889"/>
      <c r="AU889"/>
      <c r="AV889" s="1" t="s">
        <v>38</v>
      </c>
      <c r="BG889" s="7" t="s">
        <v>1242</v>
      </c>
    </row>
    <row r="890" spans="1:59" s="1" customFormat="1" ht="144" x14ac:dyDescent="0.45">
      <c r="A890" s="5">
        <v>889</v>
      </c>
      <c r="B890" s="1" t="s">
        <v>11498</v>
      </c>
      <c r="C890" s="6"/>
      <c r="J890" s="1" t="s">
        <v>7557</v>
      </c>
      <c r="K890" s="2" t="s">
        <v>10670</v>
      </c>
      <c r="P890" s="7" t="s">
        <v>1241</v>
      </c>
      <c r="Q890"/>
      <c r="R890"/>
      <c r="S890"/>
      <c r="T890"/>
      <c r="U890"/>
      <c r="V890"/>
      <c r="W890"/>
      <c r="X890"/>
      <c r="Y890"/>
      <c r="Z890"/>
      <c r="AA890"/>
      <c r="AB890"/>
      <c r="AC890"/>
      <c r="AD890"/>
      <c r="AE890"/>
      <c r="AF890"/>
      <c r="AG890"/>
      <c r="AH890"/>
      <c r="AI890"/>
      <c r="AJ890"/>
      <c r="AK890"/>
      <c r="AL890"/>
      <c r="AM890"/>
      <c r="AN890"/>
      <c r="AO890"/>
      <c r="AP890"/>
      <c r="AQ890"/>
      <c r="AR890"/>
      <c r="AS890"/>
      <c r="AT890"/>
      <c r="AU890"/>
      <c r="AV890" s="1" t="s">
        <v>38</v>
      </c>
      <c r="BG890" s="7" t="s">
        <v>1242</v>
      </c>
    </row>
    <row r="891" spans="1:59" s="1" customFormat="1" ht="126" x14ac:dyDescent="0.45">
      <c r="A891" s="5">
        <v>890</v>
      </c>
      <c r="B891" s="1" t="s">
        <v>11499</v>
      </c>
      <c r="C891" s="6"/>
      <c r="J891" s="1" t="s">
        <v>7557</v>
      </c>
      <c r="K891" s="2" t="s">
        <v>10671</v>
      </c>
      <c r="P891" s="7" t="s">
        <v>1241</v>
      </c>
      <c r="Q891"/>
      <c r="R891"/>
      <c r="S891"/>
      <c r="T891"/>
      <c r="U891"/>
      <c r="V891"/>
      <c r="W891"/>
      <c r="X891"/>
      <c r="Y891"/>
      <c r="Z891"/>
      <c r="AA891"/>
      <c r="AB891"/>
      <c r="AC891"/>
      <c r="AD891"/>
      <c r="AE891"/>
      <c r="AF891"/>
      <c r="AG891"/>
      <c r="AH891"/>
      <c r="AI891"/>
      <c r="AJ891"/>
      <c r="AK891"/>
      <c r="AL891"/>
      <c r="AM891"/>
      <c r="AN891"/>
      <c r="AO891"/>
      <c r="AP891"/>
      <c r="AQ891"/>
      <c r="AR891"/>
      <c r="AS891"/>
      <c r="AT891"/>
      <c r="AU891"/>
      <c r="AV891" s="1" t="s">
        <v>38</v>
      </c>
      <c r="BG891" s="7" t="s">
        <v>1242</v>
      </c>
    </row>
    <row r="892" spans="1:59" s="1" customFormat="1" ht="162" x14ac:dyDescent="0.45">
      <c r="A892" s="5">
        <v>891</v>
      </c>
      <c r="B892" s="1" t="s">
        <v>11500</v>
      </c>
      <c r="C892" s="6"/>
      <c r="J892" s="1" t="s">
        <v>7557</v>
      </c>
      <c r="K892" s="2" t="s">
        <v>10672</v>
      </c>
      <c r="P892" s="7" t="s">
        <v>1241</v>
      </c>
      <c r="Q892"/>
      <c r="R892"/>
      <c r="S892"/>
      <c r="T892"/>
      <c r="U892"/>
      <c r="V892"/>
      <c r="W892"/>
      <c r="X892"/>
      <c r="Y892"/>
      <c r="Z892"/>
      <c r="AA892"/>
      <c r="AB892"/>
      <c r="AC892"/>
      <c r="AD892"/>
      <c r="AE892"/>
      <c r="AF892"/>
      <c r="AG892"/>
      <c r="AH892"/>
      <c r="AI892"/>
      <c r="AJ892"/>
      <c r="AK892"/>
      <c r="AL892"/>
      <c r="AM892"/>
      <c r="AN892"/>
      <c r="AO892"/>
      <c r="AP892"/>
      <c r="AQ892"/>
      <c r="AR892"/>
      <c r="AS892"/>
      <c r="AT892"/>
      <c r="AU892"/>
      <c r="AV892" s="1" t="s">
        <v>38</v>
      </c>
      <c r="BG892" s="7" t="s">
        <v>1242</v>
      </c>
    </row>
    <row r="893" spans="1:59" s="1" customFormat="1" ht="72" x14ac:dyDescent="0.45">
      <c r="A893" s="5">
        <v>892</v>
      </c>
      <c r="B893" s="1" t="s">
        <v>11501</v>
      </c>
      <c r="C893" s="6"/>
      <c r="J893" s="1" t="s">
        <v>7557</v>
      </c>
      <c r="K893" s="2" t="s">
        <v>10673</v>
      </c>
      <c r="P893" s="7" t="s">
        <v>1241</v>
      </c>
      <c r="Q893"/>
      <c r="R893"/>
      <c r="S893"/>
      <c r="T893"/>
      <c r="U893"/>
      <c r="V893"/>
      <c r="W893"/>
      <c r="X893"/>
      <c r="Y893"/>
      <c r="Z893"/>
      <c r="AA893"/>
      <c r="AB893"/>
      <c r="AC893"/>
      <c r="AD893"/>
      <c r="AE893"/>
      <c r="AF893"/>
      <c r="AG893"/>
      <c r="AH893"/>
      <c r="AI893"/>
      <c r="AJ893"/>
      <c r="AK893"/>
      <c r="AL893"/>
      <c r="AM893"/>
      <c r="AN893"/>
      <c r="AO893"/>
      <c r="AP893"/>
      <c r="AQ893"/>
      <c r="AR893"/>
      <c r="AS893"/>
      <c r="AT893"/>
      <c r="AU893"/>
      <c r="AV893" s="1" t="s">
        <v>38</v>
      </c>
      <c r="BG893" s="7" t="s">
        <v>1242</v>
      </c>
    </row>
    <row r="894" spans="1:59" s="1" customFormat="1" ht="126" x14ac:dyDescent="0.45">
      <c r="A894" s="5">
        <v>893</v>
      </c>
      <c r="B894" s="1" t="s">
        <v>11502</v>
      </c>
      <c r="C894" s="6"/>
      <c r="J894" s="1" t="s">
        <v>7557</v>
      </c>
      <c r="K894" s="2" t="s">
        <v>11604</v>
      </c>
      <c r="P894" s="7" t="s">
        <v>1241</v>
      </c>
      <c r="Q894"/>
      <c r="R894"/>
      <c r="S894"/>
      <c r="T894"/>
      <c r="U894"/>
      <c r="V894"/>
      <c r="W894"/>
      <c r="X894"/>
      <c r="Y894"/>
      <c r="Z894"/>
      <c r="AA894"/>
      <c r="AB894"/>
      <c r="AC894"/>
      <c r="AD894"/>
      <c r="AE894"/>
      <c r="AF894"/>
      <c r="AG894"/>
      <c r="AH894"/>
      <c r="AI894"/>
      <c r="AJ894"/>
      <c r="AK894"/>
      <c r="AL894"/>
      <c r="AM894"/>
      <c r="AN894"/>
      <c r="AO894"/>
      <c r="AP894"/>
      <c r="AQ894"/>
      <c r="AR894"/>
      <c r="AS894"/>
      <c r="AT894"/>
      <c r="AU894"/>
      <c r="AV894" s="1" t="s">
        <v>38</v>
      </c>
      <c r="BG894" s="7" t="s">
        <v>1242</v>
      </c>
    </row>
    <row r="895" spans="1:59" s="1" customFormat="1" ht="90" x14ac:dyDescent="0.45">
      <c r="A895" s="5">
        <v>894</v>
      </c>
      <c r="B895" s="1" t="s">
        <v>11503</v>
      </c>
      <c r="C895" s="6"/>
      <c r="J895" s="1" t="s">
        <v>7557</v>
      </c>
      <c r="K895" s="2" t="s">
        <v>10674</v>
      </c>
      <c r="P895" s="7" t="s">
        <v>1241</v>
      </c>
      <c r="Q895"/>
      <c r="R895"/>
      <c r="S895"/>
      <c r="T895"/>
      <c r="U895"/>
      <c r="V895"/>
      <c r="W895"/>
      <c r="X895"/>
      <c r="Y895"/>
      <c r="Z895"/>
      <c r="AA895"/>
      <c r="AB895"/>
      <c r="AC895"/>
      <c r="AD895"/>
      <c r="AE895"/>
      <c r="AF895"/>
      <c r="AG895"/>
      <c r="AH895"/>
      <c r="AI895"/>
      <c r="AJ895"/>
      <c r="AK895"/>
      <c r="AL895"/>
      <c r="AM895"/>
      <c r="AN895"/>
      <c r="AO895"/>
      <c r="AP895"/>
      <c r="AQ895"/>
      <c r="AR895"/>
      <c r="AS895"/>
      <c r="AT895"/>
      <c r="AU895"/>
      <c r="AV895" s="1" t="s">
        <v>38</v>
      </c>
      <c r="BG895" s="7" t="s">
        <v>1242</v>
      </c>
    </row>
    <row r="896" spans="1:59" s="1" customFormat="1" ht="126" x14ac:dyDescent="0.45">
      <c r="A896" s="5">
        <v>895</v>
      </c>
      <c r="B896" s="1" t="s">
        <v>11504</v>
      </c>
      <c r="C896" s="6"/>
      <c r="J896" s="1" t="s">
        <v>7557</v>
      </c>
      <c r="K896" s="2" t="s">
        <v>10675</v>
      </c>
      <c r="P896" s="7" t="s">
        <v>1241</v>
      </c>
      <c r="Q896"/>
      <c r="R896"/>
      <c r="S896"/>
      <c r="T896"/>
      <c r="U896"/>
      <c r="V896"/>
      <c r="W896"/>
      <c r="X896"/>
      <c r="Y896"/>
      <c r="Z896"/>
      <c r="AA896"/>
      <c r="AB896"/>
      <c r="AC896"/>
      <c r="AD896"/>
      <c r="AE896"/>
      <c r="AF896"/>
      <c r="AG896"/>
      <c r="AH896"/>
      <c r="AI896"/>
      <c r="AJ896"/>
      <c r="AK896"/>
      <c r="AL896"/>
      <c r="AM896"/>
      <c r="AN896"/>
      <c r="AO896"/>
      <c r="AP896"/>
      <c r="AQ896"/>
      <c r="AR896"/>
      <c r="AS896"/>
      <c r="AT896"/>
      <c r="AU896"/>
      <c r="AV896" s="1" t="s">
        <v>38</v>
      </c>
      <c r="BG896" s="7" t="s">
        <v>1242</v>
      </c>
    </row>
    <row r="897" spans="1:59" s="1" customFormat="1" ht="126" x14ac:dyDescent="0.45">
      <c r="A897" s="5">
        <v>896</v>
      </c>
      <c r="B897" s="1" t="s">
        <v>11505</v>
      </c>
      <c r="C897" s="6"/>
      <c r="J897" s="1" t="s">
        <v>7557</v>
      </c>
      <c r="K897" s="2" t="s">
        <v>10676</v>
      </c>
      <c r="P897" s="7" t="s">
        <v>1241</v>
      </c>
      <c r="Q897"/>
      <c r="R897"/>
      <c r="S897"/>
      <c r="T897"/>
      <c r="U897"/>
      <c r="V897"/>
      <c r="W897"/>
      <c r="X897"/>
      <c r="Y897"/>
      <c r="Z897"/>
      <c r="AA897"/>
      <c r="AB897"/>
      <c r="AC897"/>
      <c r="AD897"/>
      <c r="AE897"/>
      <c r="AF897"/>
      <c r="AG897"/>
      <c r="AH897"/>
      <c r="AI897"/>
      <c r="AJ897"/>
      <c r="AK897"/>
      <c r="AL897"/>
      <c r="AM897"/>
      <c r="AN897"/>
      <c r="AO897"/>
      <c r="AP897"/>
      <c r="AQ897"/>
      <c r="AR897"/>
      <c r="AS897"/>
      <c r="AT897"/>
      <c r="AU897"/>
      <c r="AV897" s="1" t="s">
        <v>38</v>
      </c>
      <c r="BG897" s="7" t="s">
        <v>1242</v>
      </c>
    </row>
    <row r="898" spans="1:59" s="1" customFormat="1" ht="144" x14ac:dyDescent="0.45">
      <c r="A898" s="5">
        <v>897</v>
      </c>
      <c r="B898" s="1" t="s">
        <v>11506</v>
      </c>
      <c r="C898" s="6"/>
      <c r="J898" s="1" t="s">
        <v>7557</v>
      </c>
      <c r="K898" s="2" t="s">
        <v>10677</v>
      </c>
      <c r="P898" s="7" t="s">
        <v>1241</v>
      </c>
      <c r="Q898"/>
      <c r="R898"/>
      <c r="S898"/>
      <c r="T898"/>
      <c r="U898"/>
      <c r="V898"/>
      <c r="W898"/>
      <c r="X898"/>
      <c r="Y898"/>
      <c r="Z898"/>
      <c r="AA898"/>
      <c r="AB898"/>
      <c r="AC898"/>
      <c r="AD898"/>
      <c r="AE898"/>
      <c r="AF898"/>
      <c r="AG898"/>
      <c r="AH898"/>
      <c r="AI898"/>
      <c r="AJ898"/>
      <c r="AK898"/>
      <c r="AL898"/>
      <c r="AM898"/>
      <c r="AN898"/>
      <c r="AO898"/>
      <c r="AP898"/>
      <c r="AQ898"/>
      <c r="AR898"/>
      <c r="AS898"/>
      <c r="AT898"/>
      <c r="AU898"/>
      <c r="AV898" s="1" t="s">
        <v>38</v>
      </c>
      <c r="BG898" s="7" t="s">
        <v>1242</v>
      </c>
    </row>
    <row r="899" spans="1:59" s="1" customFormat="1" ht="126" x14ac:dyDescent="0.45">
      <c r="A899" s="5">
        <v>898</v>
      </c>
      <c r="B899" s="1" t="s">
        <v>11507</v>
      </c>
      <c r="C899" s="6"/>
      <c r="J899" s="1" t="s">
        <v>7557</v>
      </c>
      <c r="K899" s="2" t="s">
        <v>10678</v>
      </c>
      <c r="P899" s="7" t="s">
        <v>1241</v>
      </c>
      <c r="Q899"/>
      <c r="R899"/>
      <c r="S899"/>
      <c r="T899"/>
      <c r="U899"/>
      <c r="V899"/>
      <c r="W899"/>
      <c r="X899"/>
      <c r="Y899"/>
      <c r="Z899"/>
      <c r="AA899"/>
      <c r="AB899"/>
      <c r="AC899"/>
      <c r="AD899"/>
      <c r="AE899"/>
      <c r="AF899"/>
      <c r="AG899"/>
      <c r="AH899"/>
      <c r="AI899"/>
      <c r="AJ899"/>
      <c r="AK899"/>
      <c r="AL899"/>
      <c r="AM899"/>
      <c r="AN899"/>
      <c r="AO899"/>
      <c r="AP899"/>
      <c r="AQ899"/>
      <c r="AR899"/>
      <c r="AS899"/>
      <c r="AT899"/>
      <c r="AU899"/>
      <c r="AV899" s="1" t="s">
        <v>38</v>
      </c>
      <c r="BG899" s="7" t="s">
        <v>1242</v>
      </c>
    </row>
    <row r="900" spans="1:59" s="1" customFormat="1" ht="90" x14ac:dyDescent="0.45">
      <c r="A900" s="5">
        <v>899</v>
      </c>
      <c r="B900" s="1" t="s">
        <v>11508</v>
      </c>
      <c r="C900" s="6"/>
      <c r="J900" s="1" t="s">
        <v>7557</v>
      </c>
      <c r="K900" s="2" t="s">
        <v>10679</v>
      </c>
      <c r="P900" s="7" t="s">
        <v>1241</v>
      </c>
      <c r="Q900"/>
      <c r="R900"/>
      <c r="S900"/>
      <c r="T900"/>
      <c r="U900"/>
      <c r="V900"/>
      <c r="W900"/>
      <c r="X900"/>
      <c r="Y900"/>
      <c r="Z900"/>
      <c r="AA900"/>
      <c r="AB900"/>
      <c r="AC900"/>
      <c r="AD900"/>
      <c r="AE900"/>
      <c r="AF900"/>
      <c r="AG900"/>
      <c r="AH900"/>
      <c r="AI900"/>
      <c r="AJ900"/>
      <c r="AK900"/>
      <c r="AL900"/>
      <c r="AM900"/>
      <c r="AN900"/>
      <c r="AO900"/>
      <c r="AP900"/>
      <c r="AQ900"/>
      <c r="AR900"/>
      <c r="AS900"/>
      <c r="AT900"/>
      <c r="AU900"/>
      <c r="AV900" s="1" t="s">
        <v>38</v>
      </c>
      <c r="BG900" s="7" t="s">
        <v>1242</v>
      </c>
    </row>
    <row r="901" spans="1:59" s="1" customFormat="1" ht="144" x14ac:dyDescent="0.45">
      <c r="A901" s="5">
        <v>900</v>
      </c>
      <c r="B901" s="1" t="s">
        <v>11509</v>
      </c>
      <c r="C901" s="6"/>
      <c r="J901" s="1" t="s">
        <v>7557</v>
      </c>
      <c r="K901" s="11" t="s">
        <v>12051</v>
      </c>
      <c r="P901" s="7" t="s">
        <v>1241</v>
      </c>
      <c r="Q901"/>
      <c r="R901"/>
      <c r="S901"/>
      <c r="T901"/>
      <c r="U901"/>
      <c r="V901"/>
      <c r="W901"/>
      <c r="X901"/>
      <c r="Y901"/>
      <c r="Z901"/>
      <c r="AA901"/>
      <c r="AB901"/>
      <c r="AC901"/>
      <c r="AD901"/>
      <c r="AE901"/>
      <c r="AF901"/>
      <c r="AG901"/>
      <c r="AH901"/>
      <c r="AI901"/>
      <c r="AJ901"/>
      <c r="AK901"/>
      <c r="AL901"/>
      <c r="AM901"/>
      <c r="AN901"/>
      <c r="AO901"/>
      <c r="AP901"/>
      <c r="AQ901"/>
      <c r="AR901"/>
      <c r="AS901"/>
      <c r="AT901"/>
      <c r="AU901"/>
      <c r="AV901" s="1" t="s">
        <v>38</v>
      </c>
      <c r="BG901" s="7" t="s">
        <v>1242</v>
      </c>
    </row>
    <row r="902" spans="1:59" s="1" customFormat="1" ht="54" x14ac:dyDescent="0.45">
      <c r="A902" s="5">
        <v>901</v>
      </c>
      <c r="B902" s="1" t="s">
        <v>11510</v>
      </c>
      <c r="C902" s="6"/>
      <c r="J902" s="1" t="s">
        <v>7557</v>
      </c>
      <c r="K902" s="2" t="s">
        <v>10680</v>
      </c>
      <c r="P902" s="7" t="s">
        <v>1241</v>
      </c>
      <c r="Q902"/>
      <c r="R902"/>
      <c r="S902"/>
      <c r="T902"/>
      <c r="U902"/>
      <c r="V902"/>
      <c r="W902"/>
      <c r="X902"/>
      <c r="Y902"/>
      <c r="Z902"/>
      <c r="AA902"/>
      <c r="AB902"/>
      <c r="AC902"/>
      <c r="AD902"/>
      <c r="AE902"/>
      <c r="AF902"/>
      <c r="AG902"/>
      <c r="AH902"/>
      <c r="AI902"/>
      <c r="AJ902"/>
      <c r="AK902"/>
      <c r="AL902"/>
      <c r="AM902"/>
      <c r="AN902"/>
      <c r="AO902"/>
      <c r="AP902"/>
      <c r="AQ902"/>
      <c r="AR902"/>
      <c r="AS902"/>
      <c r="AT902"/>
      <c r="AU902"/>
      <c r="AV902" s="1" t="s">
        <v>38</v>
      </c>
      <c r="BG902" s="7" t="s">
        <v>1242</v>
      </c>
    </row>
    <row r="903" spans="1:59" s="1" customFormat="1" ht="54" x14ac:dyDescent="0.45">
      <c r="A903" s="5">
        <v>902</v>
      </c>
      <c r="B903" s="1" t="s">
        <v>11511</v>
      </c>
      <c r="C903" s="6"/>
      <c r="J903" s="1" t="s">
        <v>7557</v>
      </c>
      <c r="K903" s="2" t="s">
        <v>10681</v>
      </c>
      <c r="P903" s="7" t="s">
        <v>1241</v>
      </c>
      <c r="Q903"/>
      <c r="R903"/>
      <c r="S903"/>
      <c r="T903"/>
      <c r="U903"/>
      <c r="V903"/>
      <c r="W903"/>
      <c r="X903"/>
      <c r="Y903"/>
      <c r="Z903"/>
      <c r="AA903"/>
      <c r="AB903"/>
      <c r="AC903"/>
      <c r="AD903"/>
      <c r="AE903"/>
      <c r="AF903"/>
      <c r="AG903"/>
      <c r="AH903"/>
      <c r="AI903"/>
      <c r="AJ903"/>
      <c r="AK903"/>
      <c r="AL903"/>
      <c r="AM903"/>
      <c r="AN903"/>
      <c r="AO903"/>
      <c r="AP903"/>
      <c r="AQ903"/>
      <c r="AR903"/>
      <c r="AS903"/>
      <c r="AT903"/>
      <c r="AU903"/>
      <c r="AV903" s="1" t="s">
        <v>38</v>
      </c>
      <c r="BG903" s="7" t="s">
        <v>1242</v>
      </c>
    </row>
    <row r="904" spans="1:59" s="1" customFormat="1" ht="216" x14ac:dyDescent="0.45">
      <c r="A904" s="5">
        <v>903</v>
      </c>
      <c r="B904" s="1" t="s">
        <v>11512</v>
      </c>
      <c r="C904" s="6"/>
      <c r="J904" s="1" t="s">
        <v>7557</v>
      </c>
      <c r="K904" s="2" t="s">
        <v>10682</v>
      </c>
      <c r="P904" s="7" t="s">
        <v>1241</v>
      </c>
      <c r="Q904"/>
      <c r="R904"/>
      <c r="S904"/>
      <c r="T904"/>
      <c r="U904"/>
      <c r="V904"/>
      <c r="W904"/>
      <c r="X904"/>
      <c r="Y904"/>
      <c r="Z904"/>
      <c r="AA904"/>
      <c r="AB904"/>
      <c r="AC904"/>
      <c r="AD904"/>
      <c r="AE904"/>
      <c r="AF904"/>
      <c r="AG904"/>
      <c r="AH904"/>
      <c r="AI904"/>
      <c r="AJ904"/>
      <c r="AK904"/>
      <c r="AL904"/>
      <c r="AM904"/>
      <c r="AN904"/>
      <c r="AO904"/>
      <c r="AP904"/>
      <c r="AQ904"/>
      <c r="AR904"/>
      <c r="AS904"/>
      <c r="AT904"/>
      <c r="AU904"/>
      <c r="AV904" s="1" t="s">
        <v>38</v>
      </c>
      <c r="BG904" s="7" t="s">
        <v>1242</v>
      </c>
    </row>
    <row r="905" spans="1:59" s="1" customFormat="1" ht="54" x14ac:dyDescent="0.45">
      <c r="A905" s="5">
        <v>904</v>
      </c>
      <c r="B905" s="1" t="s">
        <v>11513</v>
      </c>
      <c r="C905" s="6"/>
      <c r="J905" s="1" t="s">
        <v>7557</v>
      </c>
      <c r="K905" s="2" t="s">
        <v>10683</v>
      </c>
      <c r="P905" s="7" t="s">
        <v>1241</v>
      </c>
      <c r="Q905"/>
      <c r="R905"/>
      <c r="S905"/>
      <c r="T905"/>
      <c r="U905"/>
      <c r="V905"/>
      <c r="W905"/>
      <c r="X905"/>
      <c r="Y905"/>
      <c r="Z905"/>
      <c r="AA905"/>
      <c r="AB905"/>
      <c r="AC905"/>
      <c r="AD905"/>
      <c r="AE905"/>
      <c r="AF905"/>
      <c r="AG905"/>
      <c r="AH905"/>
      <c r="AI905"/>
      <c r="AJ905"/>
      <c r="AK905"/>
      <c r="AL905"/>
      <c r="AM905"/>
      <c r="AN905"/>
      <c r="AO905"/>
      <c r="AP905"/>
      <c r="AQ905"/>
      <c r="AR905"/>
      <c r="AS905"/>
      <c r="AT905"/>
      <c r="AU905"/>
      <c r="AV905" s="1" t="s">
        <v>38</v>
      </c>
      <c r="BG905" s="7" t="s">
        <v>1242</v>
      </c>
    </row>
    <row r="906" spans="1:59" s="1" customFormat="1" ht="72" x14ac:dyDescent="0.45">
      <c r="A906" s="5">
        <v>905</v>
      </c>
      <c r="B906" s="1" t="s">
        <v>11514</v>
      </c>
      <c r="C906" s="6"/>
      <c r="J906" s="1" t="s">
        <v>7557</v>
      </c>
      <c r="K906" s="2" t="s">
        <v>10684</v>
      </c>
      <c r="P906" s="7" t="s">
        <v>1241</v>
      </c>
      <c r="Q906"/>
      <c r="R906"/>
      <c r="S906"/>
      <c r="T906"/>
      <c r="U906"/>
      <c r="V906"/>
      <c r="W906"/>
      <c r="X906"/>
      <c r="Y906"/>
      <c r="Z906"/>
      <c r="AA906"/>
      <c r="AB906"/>
      <c r="AC906"/>
      <c r="AD906"/>
      <c r="AE906"/>
      <c r="AF906"/>
      <c r="AG906"/>
      <c r="AH906"/>
      <c r="AI906"/>
      <c r="AJ906"/>
      <c r="AK906"/>
      <c r="AL906"/>
      <c r="AM906"/>
      <c r="AN906"/>
      <c r="AO906"/>
      <c r="AP906"/>
      <c r="AQ906"/>
      <c r="AR906"/>
      <c r="AS906"/>
      <c r="AT906"/>
      <c r="AU906"/>
      <c r="AV906" s="1" t="s">
        <v>38</v>
      </c>
      <c r="BG906" s="7" t="s">
        <v>1242</v>
      </c>
    </row>
    <row r="907" spans="1:59" s="1" customFormat="1" ht="108" x14ac:dyDescent="0.45">
      <c r="A907" s="5">
        <v>906</v>
      </c>
      <c r="B907" s="1" t="s">
        <v>11515</v>
      </c>
      <c r="C907" s="6"/>
      <c r="J907" s="1" t="s">
        <v>7557</v>
      </c>
      <c r="K907" s="2" t="s">
        <v>10685</v>
      </c>
      <c r="P907" s="7" t="s">
        <v>1241</v>
      </c>
      <c r="Q907"/>
      <c r="R907"/>
      <c r="S907"/>
      <c r="T907"/>
      <c r="U907"/>
      <c r="V907"/>
      <c r="W907"/>
      <c r="X907"/>
      <c r="Y907"/>
      <c r="Z907"/>
      <c r="AA907"/>
      <c r="AB907"/>
      <c r="AC907"/>
      <c r="AD907"/>
      <c r="AE907"/>
      <c r="AF907"/>
      <c r="AG907"/>
      <c r="AH907"/>
      <c r="AI907"/>
      <c r="AJ907"/>
      <c r="AK907"/>
      <c r="AL907"/>
      <c r="AM907"/>
      <c r="AN907"/>
      <c r="AO907"/>
      <c r="AP907"/>
      <c r="AQ907"/>
      <c r="AR907"/>
      <c r="AS907"/>
      <c r="AT907"/>
      <c r="AU907"/>
      <c r="AV907" s="1" t="s">
        <v>38</v>
      </c>
      <c r="BG907" s="7" t="s">
        <v>1242</v>
      </c>
    </row>
    <row r="908" spans="1:59" s="1" customFormat="1" ht="108" x14ac:dyDescent="0.45">
      <c r="A908" s="5">
        <v>907</v>
      </c>
      <c r="B908" s="1" t="s">
        <v>11516</v>
      </c>
      <c r="C908" s="6"/>
      <c r="J908" s="1" t="s">
        <v>7557</v>
      </c>
      <c r="K908" s="11" t="s">
        <v>12052</v>
      </c>
      <c r="P908" s="7" t="s">
        <v>1241</v>
      </c>
      <c r="Q908"/>
      <c r="R908"/>
      <c r="S908"/>
      <c r="T908"/>
      <c r="U908"/>
      <c r="V908"/>
      <c r="W908"/>
      <c r="X908"/>
      <c r="Y908"/>
      <c r="Z908"/>
      <c r="AA908"/>
      <c r="AB908"/>
      <c r="AC908"/>
      <c r="AD908"/>
      <c r="AE908"/>
      <c r="AF908"/>
      <c r="AG908"/>
      <c r="AH908"/>
      <c r="AI908"/>
      <c r="AJ908"/>
      <c r="AK908"/>
      <c r="AL908"/>
      <c r="AM908"/>
      <c r="AN908"/>
      <c r="AO908"/>
      <c r="AP908"/>
      <c r="AQ908"/>
      <c r="AR908"/>
      <c r="AS908"/>
      <c r="AT908"/>
      <c r="AU908"/>
      <c r="AV908" s="1" t="s">
        <v>38</v>
      </c>
      <c r="BG908" s="7" t="s">
        <v>1242</v>
      </c>
    </row>
    <row r="909" spans="1:59" s="1" customFormat="1" ht="90" x14ac:dyDescent="0.45">
      <c r="A909" s="5">
        <v>908</v>
      </c>
      <c r="B909" s="1" t="s">
        <v>11517</v>
      </c>
      <c r="C909" s="6"/>
      <c r="J909" s="1" t="s">
        <v>7557</v>
      </c>
      <c r="K909" s="11" t="s">
        <v>12053</v>
      </c>
      <c r="P909" s="7" t="s">
        <v>1241</v>
      </c>
      <c r="Q909"/>
      <c r="R909"/>
      <c r="S909"/>
      <c r="T909"/>
      <c r="U909"/>
      <c r="V909"/>
      <c r="W909"/>
      <c r="X909"/>
      <c r="Y909"/>
      <c r="Z909"/>
      <c r="AA909"/>
      <c r="AB909"/>
      <c r="AC909"/>
      <c r="AD909"/>
      <c r="AE909"/>
      <c r="AF909"/>
      <c r="AG909"/>
      <c r="AH909"/>
      <c r="AI909"/>
      <c r="AJ909"/>
      <c r="AK909"/>
      <c r="AL909"/>
      <c r="AM909"/>
      <c r="AN909"/>
      <c r="AO909"/>
      <c r="AP909"/>
      <c r="AQ909"/>
      <c r="AR909"/>
      <c r="AS909"/>
      <c r="AT909"/>
      <c r="AU909"/>
      <c r="AV909" s="1" t="s">
        <v>38</v>
      </c>
      <c r="BG909" s="7" t="s">
        <v>1242</v>
      </c>
    </row>
    <row r="910" spans="1:59" s="1" customFormat="1" ht="108" x14ac:dyDescent="0.45">
      <c r="A910" s="5">
        <v>909</v>
      </c>
      <c r="B910" s="1" t="s">
        <v>11518</v>
      </c>
      <c r="C910" s="6"/>
      <c r="J910" s="1" t="s">
        <v>7557</v>
      </c>
      <c r="K910" s="11" t="s">
        <v>12054</v>
      </c>
      <c r="P910" s="7" t="s">
        <v>1241</v>
      </c>
      <c r="Q910"/>
      <c r="R910"/>
      <c r="S910"/>
      <c r="T910"/>
      <c r="U910"/>
      <c r="V910"/>
      <c r="W910"/>
      <c r="X910"/>
      <c r="Y910"/>
      <c r="Z910"/>
      <c r="AA910"/>
      <c r="AB910"/>
      <c r="AC910"/>
      <c r="AD910"/>
      <c r="AE910"/>
      <c r="AF910"/>
      <c r="AG910"/>
      <c r="AH910"/>
      <c r="AI910"/>
      <c r="AJ910"/>
      <c r="AK910"/>
      <c r="AL910"/>
      <c r="AM910"/>
      <c r="AN910"/>
      <c r="AO910"/>
      <c r="AP910"/>
      <c r="AQ910"/>
      <c r="AR910"/>
      <c r="AS910"/>
      <c r="AT910"/>
      <c r="AU910"/>
      <c r="AV910" s="1" t="s">
        <v>38</v>
      </c>
      <c r="BG910" s="7" t="s">
        <v>1242</v>
      </c>
    </row>
    <row r="911" spans="1:59" s="1" customFormat="1" ht="54" x14ac:dyDescent="0.45">
      <c r="A911" s="5">
        <v>910</v>
      </c>
      <c r="B911" s="1" t="s">
        <v>11519</v>
      </c>
      <c r="C911" s="6"/>
      <c r="J911" s="1" t="s">
        <v>7557</v>
      </c>
      <c r="K911" s="2" t="s">
        <v>10686</v>
      </c>
      <c r="P911" s="7" t="s">
        <v>1241</v>
      </c>
      <c r="Q911"/>
      <c r="R911"/>
      <c r="S911"/>
      <c r="T911"/>
      <c r="U911"/>
      <c r="V911"/>
      <c r="W911"/>
      <c r="X911"/>
      <c r="Y911"/>
      <c r="Z911"/>
      <c r="AA911"/>
      <c r="AB911"/>
      <c r="AC911"/>
      <c r="AD911"/>
      <c r="AE911"/>
      <c r="AF911"/>
      <c r="AG911"/>
      <c r="AH911"/>
      <c r="AI911"/>
      <c r="AJ911"/>
      <c r="AK911"/>
      <c r="AL911"/>
      <c r="AM911"/>
      <c r="AN911"/>
      <c r="AO911"/>
      <c r="AP911"/>
      <c r="AQ911"/>
      <c r="AR911"/>
      <c r="AS911"/>
      <c r="AT911"/>
      <c r="AU911"/>
      <c r="AV911" s="1" t="s">
        <v>38</v>
      </c>
      <c r="BG911" s="7" t="s">
        <v>1242</v>
      </c>
    </row>
    <row r="912" spans="1:59" s="1" customFormat="1" ht="162" x14ac:dyDescent="0.45">
      <c r="A912" s="5">
        <v>911</v>
      </c>
      <c r="B912" s="1" t="s">
        <v>11520</v>
      </c>
      <c r="C912" s="6"/>
      <c r="J912" s="1" t="s">
        <v>7557</v>
      </c>
      <c r="K912" s="2" t="s">
        <v>10687</v>
      </c>
      <c r="P912" s="7" t="s">
        <v>1241</v>
      </c>
      <c r="Q912"/>
      <c r="R912"/>
      <c r="S912"/>
      <c r="T912"/>
      <c r="U912"/>
      <c r="V912"/>
      <c r="W912"/>
      <c r="X912"/>
      <c r="Y912"/>
      <c r="Z912"/>
      <c r="AA912"/>
      <c r="AB912"/>
      <c r="AC912"/>
      <c r="AD912"/>
      <c r="AE912"/>
      <c r="AF912"/>
      <c r="AG912"/>
      <c r="AH912"/>
      <c r="AI912"/>
      <c r="AJ912"/>
      <c r="AK912"/>
      <c r="AL912"/>
      <c r="AM912"/>
      <c r="AN912"/>
      <c r="AO912"/>
      <c r="AP912"/>
      <c r="AQ912"/>
      <c r="AR912"/>
      <c r="AS912"/>
      <c r="AT912"/>
      <c r="AU912"/>
      <c r="AV912" s="1" t="s">
        <v>38</v>
      </c>
      <c r="BG912" s="7" t="s">
        <v>1242</v>
      </c>
    </row>
    <row r="913" spans="1:59" s="1" customFormat="1" ht="108" x14ac:dyDescent="0.45">
      <c r="A913" s="5">
        <v>912</v>
      </c>
      <c r="B913" s="1" t="s">
        <v>11521</v>
      </c>
      <c r="C913" s="6"/>
      <c r="J913" s="1" t="s">
        <v>7557</v>
      </c>
      <c r="K913" s="2" t="s">
        <v>10688</v>
      </c>
      <c r="P913" s="7" t="s">
        <v>1241</v>
      </c>
      <c r="Q913"/>
      <c r="R913"/>
      <c r="S913"/>
      <c r="T913"/>
      <c r="U913"/>
      <c r="V913"/>
      <c r="W913"/>
      <c r="X913"/>
      <c r="Y913"/>
      <c r="Z913"/>
      <c r="AA913"/>
      <c r="AB913"/>
      <c r="AC913"/>
      <c r="AD913"/>
      <c r="AE913"/>
      <c r="AF913"/>
      <c r="AG913"/>
      <c r="AH913"/>
      <c r="AI913"/>
      <c r="AJ913"/>
      <c r="AK913"/>
      <c r="AL913"/>
      <c r="AM913"/>
      <c r="AN913"/>
      <c r="AO913"/>
      <c r="AP913"/>
      <c r="AQ913"/>
      <c r="AR913"/>
      <c r="AS913"/>
      <c r="AT913"/>
      <c r="AU913"/>
      <c r="AV913" s="1" t="s">
        <v>38</v>
      </c>
      <c r="BG913" s="7" t="s">
        <v>1242</v>
      </c>
    </row>
    <row r="914" spans="1:59" s="1" customFormat="1" ht="36" x14ac:dyDescent="0.45">
      <c r="A914" s="5">
        <v>913</v>
      </c>
      <c r="B914" s="1" t="s">
        <v>11522</v>
      </c>
      <c r="C914" s="6"/>
      <c r="J914" s="1" t="s">
        <v>7557</v>
      </c>
      <c r="K914" s="2" t="s">
        <v>10689</v>
      </c>
      <c r="P914" s="7" t="s">
        <v>1241</v>
      </c>
      <c r="Q914"/>
      <c r="R914"/>
      <c r="S914"/>
      <c r="T914"/>
      <c r="U914"/>
      <c r="V914"/>
      <c r="W914"/>
      <c r="X914"/>
      <c r="Y914"/>
      <c r="Z914"/>
      <c r="AA914"/>
      <c r="AB914"/>
      <c r="AC914"/>
      <c r="AD914"/>
      <c r="AE914"/>
      <c r="AF914"/>
      <c r="AG914"/>
      <c r="AH914"/>
      <c r="AI914"/>
      <c r="AJ914"/>
      <c r="AK914"/>
      <c r="AL914"/>
      <c r="AM914"/>
      <c r="AN914"/>
      <c r="AO914"/>
      <c r="AP914"/>
      <c r="AQ914"/>
      <c r="AR914"/>
      <c r="AS914"/>
      <c r="AT914"/>
      <c r="AU914"/>
      <c r="AV914" s="1" t="s">
        <v>38</v>
      </c>
      <c r="BG914" s="7" t="s">
        <v>1242</v>
      </c>
    </row>
    <row r="915" spans="1:59" s="1" customFormat="1" ht="144" x14ac:dyDescent="0.45">
      <c r="A915" s="5">
        <v>914</v>
      </c>
      <c r="B915" s="1" t="s">
        <v>11523</v>
      </c>
      <c r="C915" s="6"/>
      <c r="J915" s="1" t="s">
        <v>7557</v>
      </c>
      <c r="K915" s="11" t="s">
        <v>12055</v>
      </c>
      <c r="P915" s="7" t="s">
        <v>1241</v>
      </c>
      <c r="Q915"/>
      <c r="R915"/>
      <c r="S915"/>
      <c r="T915"/>
      <c r="U915"/>
      <c r="V915"/>
      <c r="W915"/>
      <c r="X915"/>
      <c r="Y915"/>
      <c r="Z915"/>
      <c r="AA915"/>
      <c r="AB915"/>
      <c r="AC915"/>
      <c r="AD915"/>
      <c r="AE915"/>
      <c r="AF915"/>
      <c r="AG915"/>
      <c r="AH915"/>
      <c r="AI915"/>
      <c r="AJ915"/>
      <c r="AK915"/>
      <c r="AL915"/>
      <c r="AM915"/>
      <c r="AN915"/>
      <c r="AO915"/>
      <c r="AP915"/>
      <c r="AQ915"/>
      <c r="AR915"/>
      <c r="AS915"/>
      <c r="AT915"/>
      <c r="AU915"/>
      <c r="AV915" s="1" t="s">
        <v>38</v>
      </c>
      <c r="BG915" s="7" t="s">
        <v>1242</v>
      </c>
    </row>
    <row r="916" spans="1:59" s="1" customFormat="1" ht="54" x14ac:dyDescent="0.45">
      <c r="A916" s="5">
        <v>915</v>
      </c>
      <c r="B916" s="1" t="s">
        <v>11524</v>
      </c>
      <c r="C916" s="6"/>
      <c r="J916" s="1" t="s">
        <v>7557</v>
      </c>
      <c r="K916" s="2" t="s">
        <v>10690</v>
      </c>
      <c r="P916" s="7" t="s">
        <v>1241</v>
      </c>
      <c r="Q916"/>
      <c r="R916"/>
      <c r="S916"/>
      <c r="T916"/>
      <c r="U916"/>
      <c r="V916"/>
      <c r="W916"/>
      <c r="X916"/>
      <c r="Y916"/>
      <c r="Z916"/>
      <c r="AA916"/>
      <c r="AB916"/>
      <c r="AC916"/>
      <c r="AD916"/>
      <c r="AE916"/>
      <c r="AF916"/>
      <c r="AG916"/>
      <c r="AH916"/>
      <c r="AI916"/>
      <c r="AJ916"/>
      <c r="AK916"/>
      <c r="AL916"/>
      <c r="AM916"/>
      <c r="AN916"/>
      <c r="AO916"/>
      <c r="AP916"/>
      <c r="AQ916"/>
      <c r="AR916"/>
      <c r="AS916"/>
      <c r="AT916"/>
      <c r="AU916"/>
      <c r="AV916" s="1" t="s">
        <v>38</v>
      </c>
      <c r="BG916" s="7" t="s">
        <v>1242</v>
      </c>
    </row>
    <row r="917" spans="1:59" s="1" customFormat="1" ht="72" x14ac:dyDescent="0.45">
      <c r="A917" s="5">
        <v>916</v>
      </c>
      <c r="B917" s="1" t="s">
        <v>11525</v>
      </c>
      <c r="C917" s="6"/>
      <c r="J917" s="1" t="s">
        <v>7557</v>
      </c>
      <c r="K917" s="2" t="s">
        <v>10691</v>
      </c>
      <c r="P917" s="7" t="s">
        <v>1241</v>
      </c>
      <c r="Q917"/>
      <c r="R917"/>
      <c r="S917"/>
      <c r="T917"/>
      <c r="U917"/>
      <c r="V917"/>
      <c r="W917"/>
      <c r="X917"/>
      <c r="Y917"/>
      <c r="Z917"/>
      <c r="AA917"/>
      <c r="AB917"/>
      <c r="AC917"/>
      <c r="AD917"/>
      <c r="AE917"/>
      <c r="AF917"/>
      <c r="AG917"/>
      <c r="AH917"/>
      <c r="AI917"/>
      <c r="AJ917"/>
      <c r="AK917"/>
      <c r="AL917"/>
      <c r="AM917"/>
      <c r="AN917"/>
      <c r="AO917"/>
      <c r="AP917"/>
      <c r="AQ917"/>
      <c r="AR917"/>
      <c r="AS917"/>
      <c r="AT917"/>
      <c r="AU917"/>
      <c r="AV917" s="1" t="s">
        <v>38</v>
      </c>
      <c r="BG917" s="7" t="s">
        <v>1242</v>
      </c>
    </row>
    <row r="918" spans="1:59" s="1" customFormat="1" ht="108" x14ac:dyDescent="0.45">
      <c r="A918" s="5">
        <v>917</v>
      </c>
      <c r="B918" s="1" t="s">
        <v>11526</v>
      </c>
      <c r="C918" s="6"/>
      <c r="J918" s="1" t="s">
        <v>7557</v>
      </c>
      <c r="K918" s="11" t="s">
        <v>12056</v>
      </c>
      <c r="P918" s="7" t="s">
        <v>1241</v>
      </c>
      <c r="Q918"/>
      <c r="R918"/>
      <c r="S918"/>
      <c r="T918"/>
      <c r="U918"/>
      <c r="V918"/>
      <c r="W918"/>
      <c r="X918"/>
      <c r="Y918"/>
      <c r="Z918"/>
      <c r="AA918"/>
      <c r="AB918"/>
      <c r="AC918"/>
      <c r="AD918"/>
      <c r="AE918"/>
      <c r="AF918"/>
      <c r="AG918"/>
      <c r="AH918"/>
      <c r="AI918"/>
      <c r="AJ918"/>
      <c r="AK918"/>
      <c r="AL918"/>
      <c r="AM918"/>
      <c r="AN918"/>
      <c r="AO918"/>
      <c r="AP918"/>
      <c r="AQ918"/>
      <c r="AR918"/>
      <c r="AS918"/>
      <c r="AT918"/>
      <c r="AU918"/>
      <c r="AV918" s="1" t="s">
        <v>38</v>
      </c>
      <c r="BG918" s="7" t="s">
        <v>1242</v>
      </c>
    </row>
    <row r="919" spans="1:59" s="1" customFormat="1" ht="108" x14ac:dyDescent="0.45">
      <c r="A919" s="5">
        <v>918</v>
      </c>
      <c r="B919" s="1" t="s">
        <v>11527</v>
      </c>
      <c r="C919" s="6"/>
      <c r="J919" s="1" t="s">
        <v>7557</v>
      </c>
      <c r="K919" s="11" t="s">
        <v>12057</v>
      </c>
      <c r="P919" s="7" t="s">
        <v>1241</v>
      </c>
      <c r="Q919"/>
      <c r="R919"/>
      <c r="S919"/>
      <c r="T919"/>
      <c r="U919"/>
      <c r="V919"/>
      <c r="W919"/>
      <c r="X919"/>
      <c r="Y919"/>
      <c r="Z919"/>
      <c r="AA919"/>
      <c r="AB919"/>
      <c r="AC919"/>
      <c r="AD919"/>
      <c r="AE919"/>
      <c r="AF919"/>
      <c r="AG919"/>
      <c r="AH919"/>
      <c r="AI919"/>
      <c r="AJ919"/>
      <c r="AK919"/>
      <c r="AL919"/>
      <c r="AM919"/>
      <c r="AN919"/>
      <c r="AO919"/>
      <c r="AP919"/>
      <c r="AQ919"/>
      <c r="AR919"/>
      <c r="AS919"/>
      <c r="AT919"/>
      <c r="AU919"/>
      <c r="AV919" s="1" t="s">
        <v>38</v>
      </c>
      <c r="BG919" s="7" t="s">
        <v>1242</v>
      </c>
    </row>
    <row r="920" spans="1:59" s="1" customFormat="1" ht="108" x14ac:dyDescent="0.45">
      <c r="A920" s="5">
        <v>919</v>
      </c>
      <c r="B920" s="1" t="s">
        <v>11528</v>
      </c>
      <c r="C920" s="6"/>
      <c r="J920" s="1" t="s">
        <v>7557</v>
      </c>
      <c r="K920" s="2" t="s">
        <v>12242</v>
      </c>
      <c r="P920" s="7" t="s">
        <v>1241</v>
      </c>
      <c r="Q920"/>
      <c r="R920"/>
      <c r="S920"/>
      <c r="T920"/>
      <c r="U920"/>
      <c r="V920"/>
      <c r="W920"/>
      <c r="X920"/>
      <c r="Y920"/>
      <c r="Z920"/>
      <c r="AA920"/>
      <c r="AB920"/>
      <c r="AC920"/>
      <c r="AD920"/>
      <c r="AE920"/>
      <c r="AF920"/>
      <c r="AG920"/>
      <c r="AH920"/>
      <c r="AI920"/>
      <c r="AJ920"/>
      <c r="AK920"/>
      <c r="AL920"/>
      <c r="AM920"/>
      <c r="AN920"/>
      <c r="AO920"/>
      <c r="AP920"/>
      <c r="AQ920"/>
      <c r="AR920"/>
      <c r="AS920"/>
      <c r="AT920"/>
      <c r="AU920"/>
      <c r="AV920" s="1" t="s">
        <v>38</v>
      </c>
      <c r="BG920" s="7" t="s">
        <v>1242</v>
      </c>
    </row>
    <row r="921" spans="1:59" s="1" customFormat="1" ht="54" x14ac:dyDescent="0.45">
      <c r="A921" s="5">
        <v>920</v>
      </c>
      <c r="B921" s="1" t="s">
        <v>11529</v>
      </c>
      <c r="C921" s="6"/>
      <c r="J921" s="1" t="s">
        <v>7557</v>
      </c>
      <c r="K921" s="2" t="s">
        <v>10692</v>
      </c>
      <c r="P921" s="7" t="s">
        <v>1241</v>
      </c>
      <c r="Q921"/>
      <c r="R921"/>
      <c r="S921"/>
      <c r="T921"/>
      <c r="U921"/>
      <c r="V921"/>
      <c r="W921"/>
      <c r="X921"/>
      <c r="Y921"/>
      <c r="Z921"/>
      <c r="AA921"/>
      <c r="AB921"/>
      <c r="AC921"/>
      <c r="AD921"/>
      <c r="AE921"/>
      <c r="AF921"/>
      <c r="AG921"/>
      <c r="AH921"/>
      <c r="AI921"/>
      <c r="AJ921"/>
      <c r="AK921"/>
      <c r="AL921"/>
      <c r="AM921"/>
      <c r="AN921"/>
      <c r="AO921"/>
      <c r="AP921"/>
      <c r="AQ921"/>
      <c r="AR921"/>
      <c r="AS921"/>
      <c r="AT921"/>
      <c r="AU921"/>
      <c r="AV921" s="1" t="s">
        <v>38</v>
      </c>
      <c r="BG921" s="7" t="s">
        <v>1242</v>
      </c>
    </row>
    <row r="922" spans="1:59" s="1" customFormat="1" ht="54" x14ac:dyDescent="0.45">
      <c r="A922" s="5">
        <v>921</v>
      </c>
      <c r="B922" s="1" t="s">
        <v>11530</v>
      </c>
      <c r="C922" s="6"/>
      <c r="J922" s="1" t="s">
        <v>7557</v>
      </c>
      <c r="K922" s="2" t="s">
        <v>10693</v>
      </c>
      <c r="P922" s="7" t="s">
        <v>1241</v>
      </c>
      <c r="Q922"/>
      <c r="R922"/>
      <c r="S922"/>
      <c r="T922"/>
      <c r="U922"/>
      <c r="V922"/>
      <c r="W922"/>
      <c r="X922"/>
      <c r="Y922"/>
      <c r="Z922"/>
      <c r="AA922"/>
      <c r="AB922"/>
      <c r="AC922"/>
      <c r="AD922"/>
      <c r="AE922"/>
      <c r="AF922"/>
      <c r="AG922"/>
      <c r="AH922"/>
      <c r="AI922"/>
      <c r="AJ922"/>
      <c r="AK922"/>
      <c r="AL922"/>
      <c r="AM922"/>
      <c r="AN922"/>
      <c r="AO922"/>
      <c r="AP922"/>
      <c r="AQ922"/>
      <c r="AR922"/>
      <c r="AS922"/>
      <c r="AT922"/>
      <c r="AU922"/>
      <c r="AV922" s="1" t="s">
        <v>38</v>
      </c>
      <c r="BG922" s="7" t="s">
        <v>1242</v>
      </c>
    </row>
    <row r="923" spans="1:59" s="1" customFormat="1" ht="54" x14ac:dyDescent="0.45">
      <c r="A923" s="5">
        <v>922</v>
      </c>
      <c r="B923" s="1" t="s">
        <v>11531</v>
      </c>
      <c r="C923" s="6"/>
      <c r="J923" s="1" t="s">
        <v>7557</v>
      </c>
      <c r="K923" s="2" t="s">
        <v>10694</v>
      </c>
      <c r="P923" s="7" t="s">
        <v>1241</v>
      </c>
      <c r="Q923"/>
      <c r="R923"/>
      <c r="S923"/>
      <c r="T923"/>
      <c r="U923"/>
      <c r="V923"/>
      <c r="W923"/>
      <c r="X923"/>
      <c r="Y923"/>
      <c r="Z923"/>
      <c r="AA923"/>
      <c r="AB923"/>
      <c r="AC923"/>
      <c r="AD923"/>
      <c r="AE923"/>
      <c r="AF923"/>
      <c r="AG923"/>
      <c r="AH923"/>
      <c r="AI923"/>
      <c r="AJ923"/>
      <c r="AK923"/>
      <c r="AL923"/>
      <c r="AM923"/>
      <c r="AN923"/>
      <c r="AO923"/>
      <c r="AP923"/>
      <c r="AQ923"/>
      <c r="AR923"/>
      <c r="AS923"/>
      <c r="AT923"/>
      <c r="AU923"/>
      <c r="AV923" s="1" t="s">
        <v>38</v>
      </c>
      <c r="BG923" s="7" t="s">
        <v>1242</v>
      </c>
    </row>
    <row r="924" spans="1:59" s="1" customFormat="1" ht="108" x14ac:dyDescent="0.45">
      <c r="A924" s="5">
        <v>923</v>
      </c>
      <c r="B924" s="1" t="s">
        <v>11532</v>
      </c>
      <c r="C924" s="6"/>
      <c r="J924" s="1" t="s">
        <v>7557</v>
      </c>
      <c r="K924" s="2" t="s">
        <v>10695</v>
      </c>
      <c r="P924" s="7" t="s">
        <v>1241</v>
      </c>
      <c r="Q924"/>
      <c r="R924"/>
      <c r="S924"/>
      <c r="T924"/>
      <c r="U924"/>
      <c r="V924"/>
      <c r="W924"/>
      <c r="X924"/>
      <c r="Y924"/>
      <c r="Z924"/>
      <c r="AA924"/>
      <c r="AB924"/>
      <c r="AC924"/>
      <c r="AD924"/>
      <c r="AE924"/>
      <c r="AF924"/>
      <c r="AG924"/>
      <c r="AH924"/>
      <c r="AI924"/>
      <c r="AJ924"/>
      <c r="AK924"/>
      <c r="AL924"/>
      <c r="AM924"/>
      <c r="AN924"/>
      <c r="AO924"/>
      <c r="AP924"/>
      <c r="AQ924"/>
      <c r="AR924"/>
      <c r="AS924"/>
      <c r="AT924"/>
      <c r="AU924"/>
      <c r="AV924" s="1" t="s">
        <v>38</v>
      </c>
      <c r="BG924" s="7" t="s">
        <v>1242</v>
      </c>
    </row>
    <row r="925" spans="1:59" s="1" customFormat="1" ht="72" x14ac:dyDescent="0.45">
      <c r="A925" s="5">
        <v>924</v>
      </c>
      <c r="B925" s="1" t="s">
        <v>11533</v>
      </c>
      <c r="C925" s="6"/>
      <c r="J925" s="1" t="s">
        <v>7557</v>
      </c>
      <c r="K925" s="2" t="s">
        <v>10696</v>
      </c>
      <c r="P925" s="7" t="s">
        <v>1241</v>
      </c>
      <c r="Q925"/>
      <c r="R925"/>
      <c r="S925"/>
      <c r="T925"/>
      <c r="U925"/>
      <c r="V925"/>
      <c r="W925"/>
      <c r="X925"/>
      <c r="Y925"/>
      <c r="Z925"/>
      <c r="AA925"/>
      <c r="AB925"/>
      <c r="AC925"/>
      <c r="AD925"/>
      <c r="AE925"/>
      <c r="AF925"/>
      <c r="AG925"/>
      <c r="AH925"/>
      <c r="AI925"/>
      <c r="AJ925"/>
      <c r="AK925"/>
      <c r="AL925"/>
      <c r="AM925"/>
      <c r="AN925"/>
      <c r="AO925"/>
      <c r="AP925"/>
      <c r="AQ925"/>
      <c r="AR925"/>
      <c r="AS925"/>
      <c r="AT925"/>
      <c r="AU925"/>
      <c r="AV925" s="1" t="s">
        <v>38</v>
      </c>
      <c r="BG925" s="7" t="s">
        <v>1242</v>
      </c>
    </row>
    <row r="926" spans="1:59" s="1" customFormat="1" ht="180" x14ac:dyDescent="0.45">
      <c r="A926" s="5">
        <v>925</v>
      </c>
      <c r="B926" s="1" t="s">
        <v>11534</v>
      </c>
      <c r="C926" s="6"/>
      <c r="J926" s="1" t="s">
        <v>7557</v>
      </c>
      <c r="K926" s="2" t="s">
        <v>12243</v>
      </c>
      <c r="P926" s="7" t="s">
        <v>1241</v>
      </c>
      <c r="Q926"/>
      <c r="R926"/>
      <c r="S926"/>
      <c r="T926"/>
      <c r="U926"/>
      <c r="V926"/>
      <c r="W926"/>
      <c r="X926"/>
      <c r="Y926"/>
      <c r="Z926"/>
      <c r="AA926"/>
      <c r="AB926"/>
      <c r="AC926"/>
      <c r="AD926"/>
      <c r="AE926"/>
      <c r="AF926"/>
      <c r="AG926"/>
      <c r="AH926"/>
      <c r="AI926"/>
      <c r="AJ926"/>
      <c r="AK926"/>
      <c r="AL926"/>
      <c r="AM926"/>
      <c r="AN926"/>
      <c r="AO926"/>
      <c r="AP926"/>
      <c r="AQ926"/>
      <c r="AR926"/>
      <c r="AS926"/>
      <c r="AT926"/>
      <c r="AU926"/>
      <c r="AV926" s="1" t="s">
        <v>38</v>
      </c>
      <c r="BG926" s="7" t="s">
        <v>1242</v>
      </c>
    </row>
    <row r="927" spans="1:59" s="1" customFormat="1" ht="108" x14ac:dyDescent="0.45">
      <c r="A927" s="5">
        <v>926</v>
      </c>
      <c r="B927" s="1" t="s">
        <v>11535</v>
      </c>
      <c r="C927" s="6"/>
      <c r="J927" s="1" t="s">
        <v>7557</v>
      </c>
      <c r="K927" s="2" t="s">
        <v>11608</v>
      </c>
      <c r="P927" s="7" t="s">
        <v>1241</v>
      </c>
      <c r="Q927"/>
      <c r="R927"/>
      <c r="S927"/>
      <c r="T927"/>
      <c r="U927"/>
      <c r="V927"/>
      <c r="W927"/>
      <c r="X927"/>
      <c r="Y927"/>
      <c r="Z927"/>
      <c r="AA927"/>
      <c r="AB927"/>
      <c r="AC927"/>
      <c r="AD927"/>
      <c r="AE927"/>
      <c r="AF927"/>
      <c r="AG927"/>
      <c r="AH927"/>
      <c r="AI927"/>
      <c r="AJ927"/>
      <c r="AK927"/>
      <c r="AL927"/>
      <c r="AM927"/>
      <c r="AN927"/>
      <c r="AO927"/>
      <c r="AP927"/>
      <c r="AQ927"/>
      <c r="AR927"/>
      <c r="AS927"/>
      <c r="AT927"/>
      <c r="AU927"/>
      <c r="AV927" s="1" t="s">
        <v>38</v>
      </c>
      <c r="BG927" s="7" t="s">
        <v>1242</v>
      </c>
    </row>
    <row r="928" spans="1:59" s="1" customFormat="1" ht="216" x14ac:dyDescent="0.45">
      <c r="A928" s="5">
        <v>927</v>
      </c>
      <c r="B928" s="1" t="s">
        <v>11536</v>
      </c>
      <c r="C928" s="6"/>
      <c r="J928" s="1" t="s">
        <v>7557</v>
      </c>
      <c r="K928" s="2" t="s">
        <v>11609</v>
      </c>
      <c r="P928" s="7" t="s">
        <v>1241</v>
      </c>
      <c r="Q928"/>
      <c r="R928"/>
      <c r="S928"/>
      <c r="T928"/>
      <c r="U928"/>
      <c r="V928"/>
      <c r="W928"/>
      <c r="X928"/>
      <c r="Y928"/>
      <c r="Z928"/>
      <c r="AA928"/>
      <c r="AB928"/>
      <c r="AC928"/>
      <c r="AD928"/>
      <c r="AE928"/>
      <c r="AF928"/>
      <c r="AG928"/>
      <c r="AH928"/>
      <c r="AI928"/>
      <c r="AJ928"/>
      <c r="AK928"/>
      <c r="AL928"/>
      <c r="AM928"/>
      <c r="AN928"/>
      <c r="AO928"/>
      <c r="AP928"/>
      <c r="AQ928"/>
      <c r="AR928"/>
      <c r="AS928"/>
      <c r="AT928"/>
      <c r="AU928"/>
      <c r="AV928" s="1" t="s">
        <v>38</v>
      </c>
      <c r="BG928" s="7" t="s">
        <v>1242</v>
      </c>
    </row>
    <row r="929" spans="1:59" s="1" customFormat="1" ht="90" x14ac:dyDescent="0.45">
      <c r="A929" s="5">
        <v>928</v>
      </c>
      <c r="B929" s="1" t="s">
        <v>11537</v>
      </c>
      <c r="C929" s="6"/>
      <c r="J929" s="1" t="s">
        <v>7557</v>
      </c>
      <c r="K929" s="2" t="s">
        <v>11610</v>
      </c>
      <c r="P929" s="7" t="s">
        <v>1241</v>
      </c>
      <c r="Q929"/>
      <c r="R929"/>
      <c r="S929"/>
      <c r="T929"/>
      <c r="U929"/>
      <c r="V929"/>
      <c r="W929"/>
      <c r="X929"/>
      <c r="Y929"/>
      <c r="Z929"/>
      <c r="AA929"/>
      <c r="AB929"/>
      <c r="AC929"/>
      <c r="AD929"/>
      <c r="AE929"/>
      <c r="AF929"/>
      <c r="AG929"/>
      <c r="AH929"/>
      <c r="AI929"/>
      <c r="AJ929"/>
      <c r="AK929"/>
      <c r="AL929"/>
      <c r="AM929"/>
      <c r="AN929"/>
      <c r="AO929"/>
      <c r="AP929"/>
      <c r="AQ929"/>
      <c r="AR929"/>
      <c r="AS929"/>
      <c r="AT929"/>
      <c r="AU929"/>
      <c r="AV929" s="1" t="s">
        <v>38</v>
      </c>
      <c r="BG929" s="7" t="s">
        <v>1242</v>
      </c>
    </row>
    <row r="930" spans="1:59" s="1" customFormat="1" ht="324" x14ac:dyDescent="0.45">
      <c r="A930" s="5">
        <v>929</v>
      </c>
      <c r="B930" s="1" t="s">
        <v>11538</v>
      </c>
      <c r="C930" s="6"/>
      <c r="J930" s="1" t="s">
        <v>7557</v>
      </c>
      <c r="K930" s="11" t="s">
        <v>12058</v>
      </c>
      <c r="P930" s="7" t="s">
        <v>1241</v>
      </c>
      <c r="Q930"/>
      <c r="R930"/>
      <c r="S930"/>
      <c r="T930"/>
      <c r="U930"/>
      <c r="V930"/>
      <c r="W930"/>
      <c r="X930"/>
      <c r="Y930"/>
      <c r="Z930"/>
      <c r="AA930"/>
      <c r="AB930"/>
      <c r="AC930"/>
      <c r="AD930"/>
      <c r="AE930"/>
      <c r="AF930"/>
      <c r="AG930"/>
      <c r="AH930"/>
      <c r="AI930"/>
      <c r="AJ930"/>
      <c r="AK930"/>
      <c r="AL930"/>
      <c r="AM930"/>
      <c r="AN930"/>
      <c r="AO930"/>
      <c r="AP930"/>
      <c r="AQ930"/>
      <c r="AR930"/>
      <c r="AS930"/>
      <c r="AT930"/>
      <c r="AU930"/>
      <c r="AV930" s="1" t="s">
        <v>38</v>
      </c>
      <c r="BG930" s="7" t="s">
        <v>1242</v>
      </c>
    </row>
    <row r="931" spans="1:59" s="1" customFormat="1" ht="162" x14ac:dyDescent="0.45">
      <c r="A931" s="5">
        <v>930</v>
      </c>
      <c r="B931" s="1" t="s">
        <v>11539</v>
      </c>
      <c r="C931" s="6"/>
      <c r="J931" s="1" t="s">
        <v>7557</v>
      </c>
      <c r="K931" s="2" t="s">
        <v>11611</v>
      </c>
      <c r="P931" s="7" t="s">
        <v>1241</v>
      </c>
      <c r="Q931"/>
      <c r="R931"/>
      <c r="S931"/>
      <c r="T931"/>
      <c r="U931"/>
      <c r="V931"/>
      <c r="W931"/>
      <c r="X931"/>
      <c r="Y931"/>
      <c r="Z931"/>
      <c r="AA931"/>
      <c r="AB931"/>
      <c r="AC931"/>
      <c r="AD931"/>
      <c r="AE931"/>
      <c r="AF931"/>
      <c r="AG931"/>
      <c r="AH931"/>
      <c r="AI931"/>
      <c r="AJ931"/>
      <c r="AK931"/>
      <c r="AL931"/>
      <c r="AM931"/>
      <c r="AN931"/>
      <c r="AO931"/>
      <c r="AP931"/>
      <c r="AQ931"/>
      <c r="AR931"/>
      <c r="AS931"/>
      <c r="AT931"/>
      <c r="AU931"/>
      <c r="AV931" s="1" t="s">
        <v>38</v>
      </c>
      <c r="BG931" s="7" t="s">
        <v>1242</v>
      </c>
    </row>
    <row r="932" spans="1:59" s="1" customFormat="1" ht="162" x14ac:dyDescent="0.45">
      <c r="A932" s="5">
        <v>931</v>
      </c>
      <c r="B932" s="1" t="s">
        <v>11612</v>
      </c>
      <c r="C932" s="6"/>
      <c r="J932" s="1" t="s">
        <v>7557</v>
      </c>
      <c r="K932" s="11" t="s">
        <v>12059</v>
      </c>
      <c r="P932" s="7" t="s">
        <v>1241</v>
      </c>
      <c r="Q932"/>
      <c r="R932"/>
      <c r="S932"/>
      <c r="T932"/>
      <c r="U932"/>
      <c r="V932"/>
      <c r="W932"/>
      <c r="X932"/>
      <c r="Y932"/>
      <c r="Z932"/>
      <c r="AA932"/>
      <c r="AB932"/>
      <c r="AC932"/>
      <c r="AD932"/>
      <c r="AE932"/>
      <c r="AF932"/>
      <c r="AG932"/>
      <c r="AH932"/>
      <c r="AI932"/>
      <c r="AJ932"/>
      <c r="AK932"/>
      <c r="AL932"/>
      <c r="AM932"/>
      <c r="AN932"/>
      <c r="AO932"/>
      <c r="AP932"/>
      <c r="AQ932"/>
      <c r="AR932"/>
      <c r="AS932"/>
      <c r="AT932"/>
      <c r="AU932"/>
      <c r="AV932" s="1" t="s">
        <v>38</v>
      </c>
      <c r="BG932" s="7" t="s">
        <v>1242</v>
      </c>
    </row>
    <row r="933" spans="1:59" s="1" customFormat="1" ht="180" x14ac:dyDescent="0.45">
      <c r="A933" s="5">
        <v>932</v>
      </c>
      <c r="B933" s="1" t="s">
        <v>11540</v>
      </c>
      <c r="C933" s="6"/>
      <c r="J933" s="1" t="s">
        <v>7557</v>
      </c>
      <c r="K933" s="2" t="s">
        <v>11613</v>
      </c>
      <c r="P933" s="7" t="s">
        <v>1241</v>
      </c>
      <c r="Q933"/>
      <c r="R933"/>
      <c r="S933"/>
      <c r="T933"/>
      <c r="U933"/>
      <c r="V933"/>
      <c r="W933"/>
      <c r="X933"/>
      <c r="Y933"/>
      <c r="Z933"/>
      <c r="AA933"/>
      <c r="AB933"/>
      <c r="AC933"/>
      <c r="AD933"/>
      <c r="AE933"/>
      <c r="AF933"/>
      <c r="AG933"/>
      <c r="AH933"/>
      <c r="AI933"/>
      <c r="AJ933"/>
      <c r="AK933"/>
      <c r="AL933"/>
      <c r="AM933"/>
      <c r="AN933"/>
      <c r="AO933"/>
      <c r="AP933"/>
      <c r="AQ933"/>
      <c r="AR933"/>
      <c r="AS933"/>
      <c r="AT933"/>
      <c r="AU933"/>
      <c r="AV933" s="1" t="s">
        <v>38</v>
      </c>
      <c r="BG933" s="7" t="s">
        <v>1242</v>
      </c>
    </row>
    <row r="934" spans="1:59" s="1" customFormat="1" ht="90" x14ac:dyDescent="0.45">
      <c r="A934" s="5">
        <v>933</v>
      </c>
      <c r="B934" s="1" t="s">
        <v>11541</v>
      </c>
      <c r="C934" s="6"/>
      <c r="J934" s="1" t="s">
        <v>7557</v>
      </c>
      <c r="K934" s="2" t="s">
        <v>12225</v>
      </c>
      <c r="P934" s="7" t="s">
        <v>1241</v>
      </c>
      <c r="Q934"/>
      <c r="R934"/>
      <c r="S934"/>
      <c r="T934"/>
      <c r="U934"/>
      <c r="V934"/>
      <c r="W934"/>
      <c r="X934"/>
      <c r="Y934"/>
      <c r="Z934"/>
      <c r="AA934"/>
      <c r="AB934"/>
      <c r="AC934"/>
      <c r="AD934"/>
      <c r="AE934"/>
      <c r="AF934"/>
      <c r="AG934"/>
      <c r="AH934"/>
      <c r="AI934"/>
      <c r="AJ934"/>
      <c r="AK934"/>
      <c r="AL934"/>
      <c r="AM934"/>
      <c r="AN934"/>
      <c r="AO934"/>
      <c r="AP934"/>
      <c r="AQ934"/>
      <c r="AR934"/>
      <c r="AS934"/>
      <c r="AT934"/>
      <c r="AU934"/>
      <c r="AV934" s="1" t="s">
        <v>38</v>
      </c>
      <c r="BG934" s="7" t="s">
        <v>1242</v>
      </c>
    </row>
    <row r="935" spans="1:59" s="1" customFormat="1" ht="72" x14ac:dyDescent="0.45">
      <c r="A935" s="5">
        <v>934</v>
      </c>
      <c r="B935" s="1" t="s">
        <v>11542</v>
      </c>
      <c r="C935" s="6"/>
      <c r="J935" s="1" t="s">
        <v>7557</v>
      </c>
      <c r="K935" s="2" t="s">
        <v>11614</v>
      </c>
      <c r="P935" s="7" t="s">
        <v>1241</v>
      </c>
      <c r="Q935"/>
      <c r="R935"/>
      <c r="S935"/>
      <c r="T935"/>
      <c r="U935"/>
      <c r="V935"/>
      <c r="W935"/>
      <c r="X935"/>
      <c r="Y935"/>
      <c r="Z935"/>
      <c r="AA935"/>
      <c r="AB935"/>
      <c r="AC935"/>
      <c r="AD935"/>
      <c r="AE935"/>
      <c r="AF935"/>
      <c r="AG935"/>
      <c r="AH935"/>
      <c r="AI935"/>
      <c r="AJ935"/>
      <c r="AK935"/>
      <c r="AL935"/>
      <c r="AM935"/>
      <c r="AN935"/>
      <c r="AO935"/>
      <c r="AP935"/>
      <c r="AQ935"/>
      <c r="AR935"/>
      <c r="AS935"/>
      <c r="AT935"/>
      <c r="AU935"/>
      <c r="AV935" s="1" t="s">
        <v>38</v>
      </c>
      <c r="BG935" s="7" t="s">
        <v>1242</v>
      </c>
    </row>
    <row r="936" spans="1:59" s="1" customFormat="1" ht="72" x14ac:dyDescent="0.45">
      <c r="A936" s="5">
        <v>935</v>
      </c>
      <c r="B936" s="1" t="s">
        <v>11543</v>
      </c>
      <c r="C936" s="6"/>
      <c r="J936" s="1" t="s">
        <v>7557</v>
      </c>
      <c r="K936" s="2" t="s">
        <v>11628</v>
      </c>
      <c r="P936" s="7" t="s">
        <v>1241</v>
      </c>
      <c r="Q936"/>
      <c r="R936"/>
      <c r="S936"/>
      <c r="T936"/>
      <c r="U936"/>
      <c r="V936"/>
      <c r="W936"/>
      <c r="X936"/>
      <c r="Y936"/>
      <c r="Z936"/>
      <c r="AA936"/>
      <c r="AB936"/>
      <c r="AC936"/>
      <c r="AD936"/>
      <c r="AE936"/>
      <c r="AF936"/>
      <c r="AG936"/>
      <c r="AH936"/>
      <c r="AI936"/>
      <c r="AJ936"/>
      <c r="AK936"/>
      <c r="AL936"/>
      <c r="AM936"/>
      <c r="AN936"/>
      <c r="AO936"/>
      <c r="AP936"/>
      <c r="AQ936"/>
      <c r="AR936"/>
      <c r="AS936"/>
      <c r="AT936"/>
      <c r="AU936"/>
      <c r="AV936" s="1" t="s">
        <v>38</v>
      </c>
      <c r="BG936" s="7" t="s">
        <v>1242</v>
      </c>
    </row>
    <row r="937" spans="1:59" s="1" customFormat="1" ht="162" x14ac:dyDescent="0.45">
      <c r="A937" s="5" t="s">
        <v>5055</v>
      </c>
      <c r="B937" s="1" t="s">
        <v>11615</v>
      </c>
      <c r="C937" s="6"/>
      <c r="J937" s="1" t="s">
        <v>7557</v>
      </c>
      <c r="K937" s="2" t="s">
        <v>11629</v>
      </c>
      <c r="P937" s="7" t="s">
        <v>1241</v>
      </c>
      <c r="Q937"/>
      <c r="R937"/>
      <c r="S937"/>
      <c r="T937"/>
      <c r="U937"/>
      <c r="V937"/>
      <c r="W937"/>
      <c r="X937"/>
      <c r="Y937"/>
      <c r="Z937"/>
      <c r="AA937"/>
      <c r="AB937"/>
      <c r="AC937"/>
      <c r="AD937"/>
      <c r="AE937"/>
      <c r="AF937"/>
      <c r="AG937"/>
      <c r="AH937"/>
      <c r="AI937"/>
      <c r="AJ937"/>
      <c r="AK937"/>
      <c r="AL937"/>
      <c r="AM937"/>
      <c r="AN937"/>
      <c r="AO937"/>
      <c r="AP937"/>
      <c r="AQ937"/>
      <c r="AR937"/>
      <c r="AS937"/>
      <c r="AT937"/>
      <c r="AU937"/>
      <c r="AV937" s="1" t="s">
        <v>38</v>
      </c>
      <c r="BG937" s="7" t="s">
        <v>1242</v>
      </c>
    </row>
    <row r="938" spans="1:59" s="1" customFormat="1" ht="54" x14ac:dyDescent="0.45">
      <c r="A938" s="5">
        <v>937</v>
      </c>
      <c r="B938" s="1" t="s">
        <v>11544</v>
      </c>
      <c r="C938" s="6"/>
      <c r="J938" s="1" t="s">
        <v>7557</v>
      </c>
      <c r="K938" s="2" t="s">
        <v>11616</v>
      </c>
      <c r="P938" s="7" t="s">
        <v>1241</v>
      </c>
      <c r="Q938"/>
      <c r="R938"/>
      <c r="S938"/>
      <c r="T938"/>
      <c r="U938"/>
      <c r="V938"/>
      <c r="W938"/>
      <c r="X938"/>
      <c r="Y938"/>
      <c r="Z938"/>
      <c r="AA938"/>
      <c r="AB938"/>
      <c r="AC938"/>
      <c r="AD938"/>
      <c r="AE938"/>
      <c r="AF938"/>
      <c r="AG938"/>
      <c r="AH938"/>
      <c r="AI938"/>
      <c r="AJ938"/>
      <c r="AK938"/>
      <c r="AL938"/>
      <c r="AM938"/>
      <c r="AN938"/>
      <c r="AO938"/>
      <c r="AP938"/>
      <c r="AQ938"/>
      <c r="AR938"/>
      <c r="AS938"/>
      <c r="AT938"/>
      <c r="AU938"/>
      <c r="AV938" s="1" t="s">
        <v>38</v>
      </c>
      <c r="BG938" s="7" t="s">
        <v>1242</v>
      </c>
    </row>
    <row r="939" spans="1:59" s="1" customFormat="1" ht="90" x14ac:dyDescent="0.45">
      <c r="A939" s="5">
        <v>938</v>
      </c>
      <c r="B939" s="1" t="s">
        <v>11545</v>
      </c>
      <c r="C939" s="6"/>
      <c r="J939" s="1" t="s">
        <v>7557</v>
      </c>
      <c r="K939" s="11" t="s">
        <v>12060</v>
      </c>
      <c r="P939" s="7" t="s">
        <v>1241</v>
      </c>
      <c r="Q939"/>
      <c r="R939"/>
      <c r="S939"/>
      <c r="T939"/>
      <c r="U939"/>
      <c r="V939"/>
      <c r="W939"/>
      <c r="X939"/>
      <c r="Y939"/>
      <c r="Z939"/>
      <c r="AA939"/>
      <c r="AB939"/>
      <c r="AC939"/>
      <c r="AD939"/>
      <c r="AE939"/>
      <c r="AF939"/>
      <c r="AG939"/>
      <c r="AH939"/>
      <c r="AI939"/>
      <c r="AJ939"/>
      <c r="AK939"/>
      <c r="AL939"/>
      <c r="AM939"/>
      <c r="AN939"/>
      <c r="AO939"/>
      <c r="AP939"/>
      <c r="AQ939"/>
      <c r="AR939"/>
      <c r="AS939"/>
      <c r="AT939"/>
      <c r="AU939"/>
      <c r="AV939" s="1" t="s">
        <v>38</v>
      </c>
      <c r="BG939" s="7" t="s">
        <v>1242</v>
      </c>
    </row>
    <row r="940" spans="1:59" s="1" customFormat="1" ht="234" x14ac:dyDescent="0.45">
      <c r="A940" s="5">
        <v>939</v>
      </c>
      <c r="B940" s="1" t="s">
        <v>11546</v>
      </c>
      <c r="C940" s="6"/>
      <c r="J940" s="1" t="s">
        <v>7557</v>
      </c>
      <c r="K940" s="11" t="s">
        <v>12061</v>
      </c>
      <c r="P940" s="7" t="s">
        <v>1241</v>
      </c>
      <c r="Q940"/>
      <c r="R940"/>
      <c r="S940"/>
      <c r="T940"/>
      <c r="U940"/>
      <c r="V940"/>
      <c r="W940"/>
      <c r="X940"/>
      <c r="Y940"/>
      <c r="Z940"/>
      <c r="AA940"/>
      <c r="AB940"/>
      <c r="AC940"/>
      <c r="AD940"/>
      <c r="AE940"/>
      <c r="AF940"/>
      <c r="AG940"/>
      <c r="AH940"/>
      <c r="AI940"/>
      <c r="AJ940"/>
      <c r="AK940"/>
      <c r="AL940"/>
      <c r="AM940"/>
      <c r="AN940"/>
      <c r="AO940"/>
      <c r="AP940"/>
      <c r="AQ940"/>
      <c r="AR940"/>
      <c r="AS940"/>
      <c r="AT940"/>
      <c r="AU940"/>
      <c r="AV940" s="1" t="s">
        <v>38</v>
      </c>
      <c r="BG940" s="7" t="s">
        <v>1242</v>
      </c>
    </row>
    <row r="941" spans="1:59" s="1" customFormat="1" ht="90" x14ac:dyDescent="0.45">
      <c r="A941" s="5">
        <v>940</v>
      </c>
      <c r="B941" s="1" t="s">
        <v>11547</v>
      </c>
      <c r="C941" s="6"/>
      <c r="J941" s="1" t="s">
        <v>7557</v>
      </c>
      <c r="K941" s="2" t="s">
        <v>11617</v>
      </c>
      <c r="P941" s="7" t="s">
        <v>1241</v>
      </c>
      <c r="Q941"/>
      <c r="R941"/>
      <c r="S941"/>
      <c r="T941"/>
      <c r="U941"/>
      <c r="V941"/>
      <c r="W941"/>
      <c r="X941"/>
      <c r="Y941"/>
      <c r="Z941"/>
      <c r="AA941"/>
      <c r="AB941"/>
      <c r="AC941"/>
      <c r="AD941"/>
      <c r="AE941"/>
      <c r="AF941"/>
      <c r="AG941"/>
      <c r="AH941"/>
      <c r="AI941"/>
      <c r="AJ941"/>
      <c r="AK941"/>
      <c r="AL941"/>
      <c r="AM941"/>
      <c r="AN941"/>
      <c r="AO941"/>
      <c r="AP941"/>
      <c r="AQ941"/>
      <c r="AR941"/>
      <c r="AS941"/>
      <c r="AT941"/>
      <c r="AU941"/>
      <c r="AV941" s="1" t="s">
        <v>38</v>
      </c>
      <c r="BG941" s="7" t="s">
        <v>1242</v>
      </c>
    </row>
    <row r="942" spans="1:59" s="1" customFormat="1" ht="72" x14ac:dyDescent="0.45">
      <c r="A942" s="5">
        <v>941</v>
      </c>
      <c r="B942" s="1" t="s">
        <v>11548</v>
      </c>
      <c r="C942" s="6"/>
      <c r="J942" s="1" t="s">
        <v>7557</v>
      </c>
      <c r="K942" s="2" t="s">
        <v>11630</v>
      </c>
      <c r="P942" s="7" t="s">
        <v>1241</v>
      </c>
      <c r="Q942"/>
      <c r="R942"/>
      <c r="S942"/>
      <c r="T942"/>
      <c r="U942"/>
      <c r="V942"/>
      <c r="W942"/>
      <c r="X942"/>
      <c r="Y942"/>
      <c r="Z942"/>
      <c r="AA942"/>
      <c r="AB942"/>
      <c r="AC942"/>
      <c r="AD942"/>
      <c r="AE942"/>
      <c r="AF942"/>
      <c r="AG942"/>
      <c r="AH942"/>
      <c r="AI942"/>
      <c r="AJ942"/>
      <c r="AK942"/>
      <c r="AL942"/>
      <c r="AM942"/>
      <c r="AN942"/>
      <c r="AO942"/>
      <c r="AP942"/>
      <c r="AQ942"/>
      <c r="AR942"/>
      <c r="AS942"/>
      <c r="AT942"/>
      <c r="AU942"/>
      <c r="AV942" s="1" t="s">
        <v>38</v>
      </c>
      <c r="BG942" s="7" t="s">
        <v>1242</v>
      </c>
    </row>
    <row r="943" spans="1:59" s="1" customFormat="1" ht="90" x14ac:dyDescent="0.45">
      <c r="A943" s="5">
        <v>942</v>
      </c>
      <c r="B943" s="1" t="s">
        <v>11549</v>
      </c>
      <c r="C943" s="6"/>
      <c r="J943" s="1" t="s">
        <v>7557</v>
      </c>
      <c r="K943" s="2" t="s">
        <v>11618</v>
      </c>
      <c r="P943" s="7" t="s">
        <v>1241</v>
      </c>
      <c r="Q943"/>
      <c r="R943"/>
      <c r="S943"/>
      <c r="T943"/>
      <c r="U943"/>
      <c r="V943"/>
      <c r="W943"/>
      <c r="X943"/>
      <c r="Y943"/>
      <c r="Z943"/>
      <c r="AA943"/>
      <c r="AB943"/>
      <c r="AC943"/>
      <c r="AD943"/>
      <c r="AE943"/>
      <c r="AF943"/>
      <c r="AG943"/>
      <c r="AH943"/>
      <c r="AI943"/>
      <c r="AJ943"/>
      <c r="AK943"/>
      <c r="AL943"/>
      <c r="AM943"/>
      <c r="AN943"/>
      <c r="AO943"/>
      <c r="AP943"/>
      <c r="AQ943"/>
      <c r="AR943"/>
      <c r="AS943"/>
      <c r="AT943"/>
      <c r="AU943"/>
      <c r="AV943" s="1" t="s">
        <v>38</v>
      </c>
      <c r="BG943" s="7" t="s">
        <v>1242</v>
      </c>
    </row>
    <row r="944" spans="1:59" s="1" customFormat="1" ht="162" x14ac:dyDescent="0.45">
      <c r="A944" s="5">
        <v>943</v>
      </c>
      <c r="B944" s="1" t="s">
        <v>11550</v>
      </c>
      <c r="C944" s="6"/>
      <c r="J944" s="1" t="s">
        <v>7557</v>
      </c>
      <c r="K944" s="2" t="s">
        <v>11631</v>
      </c>
      <c r="P944" s="7" t="s">
        <v>1241</v>
      </c>
      <c r="Q944"/>
      <c r="R944"/>
      <c r="S944"/>
      <c r="T944"/>
      <c r="U944"/>
      <c r="V944"/>
      <c r="W944"/>
      <c r="X944"/>
      <c r="Y944"/>
      <c r="Z944"/>
      <c r="AA944"/>
      <c r="AB944"/>
      <c r="AC944"/>
      <c r="AD944"/>
      <c r="AE944"/>
      <c r="AF944"/>
      <c r="AG944"/>
      <c r="AH944"/>
      <c r="AI944"/>
      <c r="AJ944"/>
      <c r="AK944"/>
      <c r="AL944"/>
      <c r="AM944"/>
      <c r="AN944"/>
      <c r="AO944"/>
      <c r="AP944"/>
      <c r="AQ944"/>
      <c r="AR944"/>
      <c r="AS944"/>
      <c r="AT944"/>
      <c r="AU944"/>
      <c r="AV944" s="1" t="s">
        <v>38</v>
      </c>
      <c r="BG944" s="7" t="s">
        <v>1242</v>
      </c>
    </row>
    <row r="945" spans="1:59" s="1" customFormat="1" ht="144" x14ac:dyDescent="0.45">
      <c r="A945" s="5">
        <v>944</v>
      </c>
      <c r="B945" s="1" t="s">
        <v>11551</v>
      </c>
      <c r="C945" s="6"/>
      <c r="J945" s="1" t="s">
        <v>7557</v>
      </c>
      <c r="K945" s="11" t="s">
        <v>12062</v>
      </c>
      <c r="P945" s="7" t="s">
        <v>1241</v>
      </c>
      <c r="Q945"/>
      <c r="R945"/>
      <c r="S945"/>
      <c r="T945"/>
      <c r="U945"/>
      <c r="V945"/>
      <c r="W945"/>
      <c r="X945"/>
      <c r="Y945"/>
      <c r="Z945"/>
      <c r="AA945"/>
      <c r="AB945"/>
      <c r="AC945"/>
      <c r="AD945"/>
      <c r="AE945"/>
      <c r="AF945"/>
      <c r="AG945"/>
      <c r="AH945"/>
      <c r="AI945"/>
      <c r="AJ945"/>
      <c r="AK945"/>
      <c r="AL945"/>
      <c r="AM945"/>
      <c r="AN945"/>
      <c r="AO945"/>
      <c r="AP945"/>
      <c r="AQ945"/>
      <c r="AR945"/>
      <c r="AS945"/>
      <c r="AT945"/>
      <c r="AU945"/>
      <c r="AV945" s="1" t="s">
        <v>38</v>
      </c>
      <c r="BG945" s="7" t="s">
        <v>1242</v>
      </c>
    </row>
    <row r="946" spans="1:59" s="1" customFormat="1" ht="162" x14ac:dyDescent="0.45">
      <c r="A946" s="5">
        <v>945</v>
      </c>
      <c r="B946" s="1" t="s">
        <v>11552</v>
      </c>
      <c r="C946" s="6"/>
      <c r="J946" s="1" t="s">
        <v>7557</v>
      </c>
      <c r="K946" s="11" t="s">
        <v>12063</v>
      </c>
      <c r="P946" s="7" t="s">
        <v>1241</v>
      </c>
      <c r="Q946"/>
      <c r="R946"/>
      <c r="S946"/>
      <c r="T946"/>
      <c r="U946"/>
      <c r="V946"/>
      <c r="W946"/>
      <c r="X946"/>
      <c r="Y946"/>
      <c r="Z946"/>
      <c r="AA946"/>
      <c r="AB946"/>
      <c r="AC946"/>
      <c r="AD946"/>
      <c r="AE946"/>
      <c r="AF946"/>
      <c r="AG946"/>
      <c r="AH946"/>
      <c r="AI946"/>
      <c r="AJ946"/>
      <c r="AK946"/>
      <c r="AL946"/>
      <c r="AM946"/>
      <c r="AN946"/>
      <c r="AO946"/>
      <c r="AP946"/>
      <c r="AQ946"/>
      <c r="AR946"/>
      <c r="AS946"/>
      <c r="AT946"/>
      <c r="AU946"/>
      <c r="AV946" s="1" t="s">
        <v>38</v>
      </c>
      <c r="BG946" s="7" t="s">
        <v>1242</v>
      </c>
    </row>
    <row r="947" spans="1:59" s="1" customFormat="1" ht="36" x14ac:dyDescent="0.45">
      <c r="A947" s="5">
        <v>946</v>
      </c>
      <c r="B947" s="1" t="s">
        <v>11553</v>
      </c>
      <c r="C947" s="6"/>
      <c r="J947" s="1" t="s">
        <v>7557</v>
      </c>
      <c r="K947" s="2" t="s">
        <v>11632</v>
      </c>
      <c r="P947" s="7" t="s">
        <v>1241</v>
      </c>
      <c r="Q947"/>
      <c r="R947"/>
      <c r="S947"/>
      <c r="T947"/>
      <c r="U947"/>
      <c r="V947"/>
      <c r="W947"/>
      <c r="X947"/>
      <c r="Y947"/>
      <c r="Z947"/>
      <c r="AA947"/>
      <c r="AB947"/>
      <c r="AC947"/>
      <c r="AD947"/>
      <c r="AE947"/>
      <c r="AF947"/>
      <c r="AG947"/>
      <c r="AH947"/>
      <c r="AI947"/>
      <c r="AJ947"/>
      <c r="AK947"/>
      <c r="AL947"/>
      <c r="AM947"/>
      <c r="AN947"/>
      <c r="AO947"/>
      <c r="AP947"/>
      <c r="AQ947"/>
      <c r="AR947"/>
      <c r="AS947"/>
      <c r="AT947"/>
      <c r="AU947"/>
      <c r="AV947" s="1" t="s">
        <v>38</v>
      </c>
      <c r="BG947" s="7" t="s">
        <v>1242</v>
      </c>
    </row>
    <row r="948" spans="1:59" s="1" customFormat="1" ht="198" x14ac:dyDescent="0.45">
      <c r="A948" s="5">
        <v>947</v>
      </c>
      <c r="B948" s="1" t="s">
        <v>11554</v>
      </c>
      <c r="C948" s="6"/>
      <c r="J948" s="1" t="s">
        <v>7557</v>
      </c>
      <c r="K948" s="2" t="s">
        <v>11633</v>
      </c>
      <c r="P948" s="7" t="s">
        <v>1241</v>
      </c>
      <c r="Q948"/>
      <c r="R948"/>
      <c r="S948"/>
      <c r="T948"/>
      <c r="U948"/>
      <c r="V948"/>
      <c r="W948"/>
      <c r="X948"/>
      <c r="Y948"/>
      <c r="Z948"/>
      <c r="AA948"/>
      <c r="AB948"/>
      <c r="AC948"/>
      <c r="AD948"/>
      <c r="AE948"/>
      <c r="AF948"/>
      <c r="AG948"/>
      <c r="AH948"/>
      <c r="AI948"/>
      <c r="AJ948"/>
      <c r="AK948"/>
      <c r="AL948"/>
      <c r="AM948"/>
      <c r="AN948"/>
      <c r="AO948"/>
      <c r="AP948"/>
      <c r="AQ948"/>
      <c r="AR948"/>
      <c r="AS948"/>
      <c r="AT948"/>
      <c r="AU948"/>
      <c r="AV948" s="1" t="s">
        <v>38</v>
      </c>
      <c r="BG948" s="7" t="s">
        <v>1242</v>
      </c>
    </row>
    <row r="949" spans="1:59" s="1" customFormat="1" ht="72" x14ac:dyDescent="0.45">
      <c r="A949" s="5">
        <v>948</v>
      </c>
      <c r="B949" s="1" t="s">
        <v>11555</v>
      </c>
      <c r="C949" s="6"/>
      <c r="J949" s="1" t="s">
        <v>7557</v>
      </c>
      <c r="K949" s="2" t="s">
        <v>11634</v>
      </c>
      <c r="P949" s="7" t="s">
        <v>1241</v>
      </c>
      <c r="Q949"/>
      <c r="R949"/>
      <c r="S949"/>
      <c r="T949"/>
      <c r="U949"/>
      <c r="V949"/>
      <c r="W949"/>
      <c r="X949"/>
      <c r="Y949"/>
      <c r="Z949"/>
      <c r="AA949"/>
      <c r="AB949"/>
      <c r="AC949"/>
      <c r="AD949"/>
      <c r="AE949"/>
      <c r="AF949"/>
      <c r="AG949"/>
      <c r="AH949"/>
      <c r="AI949"/>
      <c r="AJ949"/>
      <c r="AK949"/>
      <c r="AL949"/>
      <c r="AM949"/>
      <c r="AN949"/>
      <c r="AO949"/>
      <c r="AP949"/>
      <c r="AQ949"/>
      <c r="AR949"/>
      <c r="AS949"/>
      <c r="AT949"/>
      <c r="AU949"/>
      <c r="AV949" s="1" t="s">
        <v>38</v>
      </c>
      <c r="BG949" s="7" t="s">
        <v>1242</v>
      </c>
    </row>
    <row r="950" spans="1:59" s="1" customFormat="1" ht="54" x14ac:dyDescent="0.45">
      <c r="A950" s="5">
        <v>949</v>
      </c>
      <c r="B950" s="1" t="s">
        <v>11556</v>
      </c>
      <c r="C950" s="6"/>
      <c r="J950" s="1" t="s">
        <v>7557</v>
      </c>
      <c r="K950" s="2" t="s">
        <v>11635</v>
      </c>
      <c r="P950" s="7" t="s">
        <v>1241</v>
      </c>
      <c r="Q950"/>
      <c r="R950"/>
      <c r="S950"/>
      <c r="T950"/>
      <c r="U950"/>
      <c r="V950"/>
      <c r="W950"/>
      <c r="X950"/>
      <c r="Y950"/>
      <c r="Z950"/>
      <c r="AA950"/>
      <c r="AB950"/>
      <c r="AC950"/>
      <c r="AD950"/>
      <c r="AE950"/>
      <c r="AF950"/>
      <c r="AG950"/>
      <c r="AH950"/>
      <c r="AI950"/>
      <c r="AJ950"/>
      <c r="AK950"/>
      <c r="AL950"/>
      <c r="AM950"/>
      <c r="AN950"/>
      <c r="AO950"/>
      <c r="AP950"/>
      <c r="AQ950"/>
      <c r="AR950"/>
      <c r="AS950"/>
      <c r="AT950"/>
      <c r="AU950"/>
      <c r="AV950" s="1" t="s">
        <v>38</v>
      </c>
      <c r="BG950" s="7" t="s">
        <v>1242</v>
      </c>
    </row>
    <row r="951" spans="1:59" s="1" customFormat="1" ht="126" x14ac:dyDescent="0.45">
      <c r="A951" s="5">
        <v>950</v>
      </c>
      <c r="B951" s="1" t="s">
        <v>11557</v>
      </c>
      <c r="C951" s="6"/>
      <c r="J951" s="1" t="s">
        <v>7557</v>
      </c>
      <c r="K951" s="2" t="s">
        <v>11636</v>
      </c>
      <c r="P951" s="7" t="s">
        <v>1241</v>
      </c>
      <c r="Q951"/>
      <c r="R951"/>
      <c r="S951"/>
      <c r="T951"/>
      <c r="U951"/>
      <c r="V951"/>
      <c r="W951"/>
      <c r="X951"/>
      <c r="Y951"/>
      <c r="Z951"/>
      <c r="AA951"/>
      <c r="AB951"/>
      <c r="AC951"/>
      <c r="AD951"/>
      <c r="AE951"/>
      <c r="AF951"/>
      <c r="AG951"/>
      <c r="AH951"/>
      <c r="AI951"/>
      <c r="AJ951"/>
      <c r="AK951"/>
      <c r="AL951"/>
      <c r="AM951"/>
      <c r="AN951"/>
      <c r="AO951"/>
      <c r="AP951"/>
      <c r="AQ951"/>
      <c r="AR951"/>
      <c r="AS951"/>
      <c r="AT951"/>
      <c r="AU951"/>
      <c r="AV951" s="1" t="s">
        <v>38</v>
      </c>
      <c r="BG951" s="7" t="s">
        <v>1242</v>
      </c>
    </row>
    <row r="952" spans="1:59" s="1" customFormat="1" ht="54" x14ac:dyDescent="0.45">
      <c r="A952" s="5">
        <v>951</v>
      </c>
      <c r="B952" s="1" t="s">
        <v>11558</v>
      </c>
      <c r="C952" s="6"/>
      <c r="J952" s="1" t="s">
        <v>7557</v>
      </c>
      <c r="K952" s="2" t="s">
        <v>11637</v>
      </c>
      <c r="P952" s="7" t="s">
        <v>1241</v>
      </c>
      <c r="Q952"/>
      <c r="R952"/>
      <c r="S952"/>
      <c r="T952"/>
      <c r="U952"/>
      <c r="V952"/>
      <c r="W952"/>
      <c r="X952"/>
      <c r="Y952"/>
      <c r="Z952"/>
      <c r="AA952"/>
      <c r="AB952"/>
      <c r="AC952"/>
      <c r="AD952"/>
      <c r="AE952"/>
      <c r="AF952"/>
      <c r="AG952"/>
      <c r="AH952"/>
      <c r="AI952"/>
      <c r="AJ952"/>
      <c r="AK952"/>
      <c r="AL952"/>
      <c r="AM952"/>
      <c r="AN952"/>
      <c r="AO952"/>
      <c r="AP952"/>
      <c r="AQ952"/>
      <c r="AR952"/>
      <c r="AS952"/>
      <c r="AT952"/>
      <c r="AU952"/>
      <c r="AV952" s="1" t="s">
        <v>38</v>
      </c>
      <c r="BG952" s="7" t="s">
        <v>1242</v>
      </c>
    </row>
    <row r="953" spans="1:59" s="1" customFormat="1" ht="126" x14ac:dyDescent="0.45">
      <c r="A953" s="5">
        <v>952</v>
      </c>
      <c r="B953" s="1" t="s">
        <v>11559</v>
      </c>
      <c r="C953" s="6"/>
      <c r="J953" s="1" t="s">
        <v>7557</v>
      </c>
      <c r="K953" s="2" t="s">
        <v>11638</v>
      </c>
      <c r="P953" s="7" t="s">
        <v>1241</v>
      </c>
      <c r="Q953"/>
      <c r="R953"/>
      <c r="S953"/>
      <c r="T953"/>
      <c r="U953"/>
      <c r="V953"/>
      <c r="W953"/>
      <c r="X953"/>
      <c r="Y953"/>
      <c r="Z953"/>
      <c r="AA953"/>
      <c r="AB953"/>
      <c r="AC953"/>
      <c r="AD953"/>
      <c r="AE953"/>
      <c r="AF953"/>
      <c r="AG953"/>
      <c r="AH953"/>
      <c r="AI953"/>
      <c r="AJ953"/>
      <c r="AK953"/>
      <c r="AL953"/>
      <c r="AM953"/>
      <c r="AN953"/>
      <c r="AO953"/>
      <c r="AP953"/>
      <c r="AQ953"/>
      <c r="AR953"/>
      <c r="AS953"/>
      <c r="AT953"/>
      <c r="AU953"/>
      <c r="AV953" s="1" t="s">
        <v>38</v>
      </c>
      <c r="BG953" s="7" t="s">
        <v>1242</v>
      </c>
    </row>
    <row r="954" spans="1:59" s="1" customFormat="1" ht="162" x14ac:dyDescent="0.45">
      <c r="A954" s="5">
        <v>953</v>
      </c>
      <c r="B954" s="1" t="s">
        <v>11560</v>
      </c>
      <c r="C954" s="6"/>
      <c r="J954" s="1" t="s">
        <v>7557</v>
      </c>
      <c r="K954" s="2" t="s">
        <v>11639</v>
      </c>
      <c r="P954" s="7" t="s">
        <v>1241</v>
      </c>
      <c r="Q954"/>
      <c r="R954"/>
      <c r="S954"/>
      <c r="T954"/>
      <c r="U954"/>
      <c r="V954"/>
      <c r="W954"/>
      <c r="X954"/>
      <c r="Y954"/>
      <c r="Z954"/>
      <c r="AA954"/>
      <c r="AB954"/>
      <c r="AC954"/>
      <c r="AD954"/>
      <c r="AE954"/>
      <c r="AF954"/>
      <c r="AG954"/>
      <c r="AH954"/>
      <c r="AI954"/>
      <c r="AJ954"/>
      <c r="AK954"/>
      <c r="AL954"/>
      <c r="AM954"/>
      <c r="AN954"/>
      <c r="AO954"/>
      <c r="AP954"/>
      <c r="AQ954"/>
      <c r="AR954"/>
      <c r="AS954"/>
      <c r="AT954"/>
      <c r="AU954"/>
      <c r="AV954" s="1" t="s">
        <v>38</v>
      </c>
      <c r="BG954" s="7" t="s">
        <v>1242</v>
      </c>
    </row>
    <row r="955" spans="1:59" s="1" customFormat="1" ht="126" x14ac:dyDescent="0.45">
      <c r="A955" s="5">
        <v>954</v>
      </c>
      <c r="B955" s="1" t="s">
        <v>11561</v>
      </c>
      <c r="C955" s="6"/>
      <c r="J955" s="1" t="s">
        <v>7557</v>
      </c>
      <c r="K955" s="11" t="s">
        <v>12226</v>
      </c>
      <c r="P955" s="7" t="s">
        <v>1241</v>
      </c>
      <c r="Q955"/>
      <c r="R955"/>
      <c r="S955"/>
      <c r="T955"/>
      <c r="U955"/>
      <c r="V955"/>
      <c r="W955"/>
      <c r="X955"/>
      <c r="Y955"/>
      <c r="Z955"/>
      <c r="AA955"/>
      <c r="AB955"/>
      <c r="AC955"/>
      <c r="AD955"/>
      <c r="AE955"/>
      <c r="AF955"/>
      <c r="AG955"/>
      <c r="AH955"/>
      <c r="AI955"/>
      <c r="AJ955"/>
      <c r="AK955"/>
      <c r="AL955"/>
      <c r="AM955"/>
      <c r="AN955"/>
      <c r="AO955"/>
      <c r="AP955"/>
      <c r="AQ955"/>
      <c r="AR955"/>
      <c r="AS955"/>
      <c r="AT955"/>
      <c r="AU955"/>
      <c r="AV955" s="1" t="s">
        <v>38</v>
      </c>
      <c r="BG955" s="7" t="s">
        <v>1242</v>
      </c>
    </row>
    <row r="956" spans="1:59" s="1" customFormat="1" ht="108" x14ac:dyDescent="0.45">
      <c r="A956" s="5">
        <v>955</v>
      </c>
      <c r="B956" s="1" t="s">
        <v>11562</v>
      </c>
      <c r="C956" s="6"/>
      <c r="J956" s="1" t="s">
        <v>7557</v>
      </c>
      <c r="K956" s="2" t="s">
        <v>11640</v>
      </c>
      <c r="P956" s="7" t="s">
        <v>1241</v>
      </c>
      <c r="Q956"/>
      <c r="R956"/>
      <c r="S956"/>
      <c r="T956"/>
      <c r="U956"/>
      <c r="V956"/>
      <c r="W956"/>
      <c r="X956"/>
      <c r="Y956"/>
      <c r="Z956"/>
      <c r="AA956"/>
      <c r="AB956"/>
      <c r="AC956"/>
      <c r="AD956"/>
      <c r="AE956"/>
      <c r="AF956"/>
      <c r="AG956"/>
      <c r="AH956"/>
      <c r="AI956"/>
      <c r="AJ956"/>
      <c r="AK956"/>
      <c r="AL956"/>
      <c r="AM956"/>
      <c r="AN956"/>
      <c r="AO956"/>
      <c r="AP956"/>
      <c r="AQ956"/>
      <c r="AR956"/>
      <c r="AS956"/>
      <c r="AT956"/>
      <c r="AU956"/>
      <c r="AV956" s="1" t="s">
        <v>38</v>
      </c>
      <c r="BG956" s="7" t="s">
        <v>1242</v>
      </c>
    </row>
    <row r="957" spans="1:59" s="1" customFormat="1" ht="72" x14ac:dyDescent="0.45">
      <c r="A957" s="5">
        <v>956</v>
      </c>
      <c r="B957" s="1" t="s">
        <v>11563</v>
      </c>
      <c r="C957" s="6"/>
      <c r="J957" s="1" t="s">
        <v>7557</v>
      </c>
      <c r="K957" s="2" t="s">
        <v>11641</v>
      </c>
      <c r="P957" s="7" t="s">
        <v>1241</v>
      </c>
      <c r="Q957"/>
      <c r="R957"/>
      <c r="S957"/>
      <c r="T957"/>
      <c r="U957"/>
      <c r="V957"/>
      <c r="W957"/>
      <c r="X957"/>
      <c r="Y957"/>
      <c r="Z957"/>
      <c r="AA957"/>
      <c r="AB957"/>
      <c r="AC957"/>
      <c r="AD957"/>
      <c r="AE957"/>
      <c r="AF957"/>
      <c r="AG957"/>
      <c r="AH957"/>
      <c r="AI957"/>
      <c r="AJ957"/>
      <c r="AK957"/>
      <c r="AL957"/>
      <c r="AM957"/>
      <c r="AN957"/>
      <c r="AO957"/>
      <c r="AP957"/>
      <c r="AQ957"/>
      <c r="AR957"/>
      <c r="AS957"/>
      <c r="AT957"/>
      <c r="AU957"/>
      <c r="AV957" s="1" t="s">
        <v>38</v>
      </c>
      <c r="BG957" s="7" t="s">
        <v>1242</v>
      </c>
    </row>
    <row r="958" spans="1:59" s="1" customFormat="1" ht="108" x14ac:dyDescent="0.45">
      <c r="A958" s="5">
        <v>957</v>
      </c>
      <c r="B958" s="1" t="s">
        <v>11564</v>
      </c>
      <c r="C958" s="6"/>
      <c r="J958" s="1" t="s">
        <v>7557</v>
      </c>
      <c r="K958" s="2" t="s">
        <v>11642</v>
      </c>
      <c r="P958" s="7" t="s">
        <v>1241</v>
      </c>
      <c r="Q958"/>
      <c r="R958"/>
      <c r="S958"/>
      <c r="T958"/>
      <c r="U958"/>
      <c r="V958"/>
      <c r="W958"/>
      <c r="X958"/>
      <c r="Y958"/>
      <c r="Z958"/>
      <c r="AA958"/>
      <c r="AB958"/>
      <c r="AC958"/>
      <c r="AD958"/>
      <c r="AE958"/>
      <c r="AF958"/>
      <c r="AG958"/>
      <c r="AH958"/>
      <c r="AI958"/>
      <c r="AJ958"/>
      <c r="AK958"/>
      <c r="AL958"/>
      <c r="AM958"/>
      <c r="AN958"/>
      <c r="AO958"/>
      <c r="AP958"/>
      <c r="AQ958"/>
      <c r="AR958"/>
      <c r="AS958"/>
      <c r="AT958"/>
      <c r="AU958"/>
      <c r="AV958" s="1" t="s">
        <v>38</v>
      </c>
      <c r="BG958" s="7" t="s">
        <v>1242</v>
      </c>
    </row>
    <row r="959" spans="1:59" s="1" customFormat="1" ht="108" x14ac:dyDescent="0.45">
      <c r="A959" s="5">
        <v>958</v>
      </c>
      <c r="B959" s="1" t="s">
        <v>11565</v>
      </c>
      <c r="C959" s="6"/>
      <c r="J959" s="1" t="s">
        <v>7557</v>
      </c>
      <c r="K959" s="2" t="s">
        <v>11643</v>
      </c>
      <c r="P959" s="7" t="s">
        <v>1241</v>
      </c>
      <c r="Q959"/>
      <c r="R959"/>
      <c r="S959"/>
      <c r="T959"/>
      <c r="U959"/>
      <c r="V959"/>
      <c r="W959"/>
      <c r="X959"/>
      <c r="Y959"/>
      <c r="Z959"/>
      <c r="AA959"/>
      <c r="AB959"/>
      <c r="AC959"/>
      <c r="AD959"/>
      <c r="AE959"/>
      <c r="AF959"/>
      <c r="AG959"/>
      <c r="AH959"/>
      <c r="AI959"/>
      <c r="AJ959"/>
      <c r="AK959"/>
      <c r="AL959"/>
      <c r="AM959"/>
      <c r="AN959"/>
      <c r="AO959"/>
      <c r="AP959"/>
      <c r="AQ959"/>
      <c r="AR959"/>
      <c r="AS959"/>
      <c r="AT959"/>
      <c r="AU959"/>
      <c r="AV959" s="1" t="s">
        <v>38</v>
      </c>
      <c r="BG959" s="7" t="s">
        <v>1242</v>
      </c>
    </row>
    <row r="960" spans="1:59" s="1" customFormat="1" ht="162" x14ac:dyDescent="0.45">
      <c r="A960" s="5">
        <v>959</v>
      </c>
      <c r="B960" s="1" t="s">
        <v>11566</v>
      </c>
      <c r="C960" s="6"/>
      <c r="J960" s="1" t="s">
        <v>7557</v>
      </c>
      <c r="K960" s="2" t="s">
        <v>11644</v>
      </c>
      <c r="P960" s="7" t="s">
        <v>1241</v>
      </c>
      <c r="Q960"/>
      <c r="R960"/>
      <c r="S960"/>
      <c r="T960"/>
      <c r="U960"/>
      <c r="V960"/>
      <c r="W960"/>
      <c r="X960"/>
      <c r="Y960"/>
      <c r="Z960"/>
      <c r="AA960"/>
      <c r="AB960"/>
      <c r="AC960"/>
      <c r="AD960"/>
      <c r="AE960"/>
      <c r="AF960"/>
      <c r="AG960"/>
      <c r="AH960"/>
      <c r="AI960"/>
      <c r="AJ960"/>
      <c r="AK960"/>
      <c r="AL960"/>
      <c r="AM960"/>
      <c r="AN960"/>
      <c r="AO960"/>
      <c r="AP960"/>
      <c r="AQ960"/>
      <c r="AR960"/>
      <c r="AS960"/>
      <c r="AT960"/>
      <c r="AU960"/>
      <c r="AV960" s="1" t="s">
        <v>38</v>
      </c>
      <c r="BG960" s="7" t="s">
        <v>1242</v>
      </c>
    </row>
    <row r="961" spans="1:59" s="1" customFormat="1" ht="90" x14ac:dyDescent="0.45">
      <c r="A961" s="5">
        <v>960</v>
      </c>
      <c r="B961" s="1" t="s">
        <v>11567</v>
      </c>
      <c r="C961" s="6"/>
      <c r="J961" s="1" t="s">
        <v>7557</v>
      </c>
      <c r="K961" s="11" t="s">
        <v>12064</v>
      </c>
      <c r="P961" s="7" t="s">
        <v>1241</v>
      </c>
      <c r="Q961"/>
      <c r="R961"/>
      <c r="S961"/>
      <c r="T961"/>
      <c r="U961"/>
      <c r="V961"/>
      <c r="W961"/>
      <c r="X961"/>
      <c r="Y961"/>
      <c r="Z961"/>
      <c r="AA961"/>
      <c r="AB961"/>
      <c r="AC961"/>
      <c r="AD961"/>
      <c r="AE961"/>
      <c r="AF961"/>
      <c r="AG961"/>
      <c r="AH961"/>
      <c r="AI961"/>
      <c r="AJ961"/>
      <c r="AK961"/>
      <c r="AL961"/>
      <c r="AM961"/>
      <c r="AN961"/>
      <c r="AO961"/>
      <c r="AP961"/>
      <c r="AQ961"/>
      <c r="AR961"/>
      <c r="AS961"/>
      <c r="AT961"/>
      <c r="AU961"/>
      <c r="AV961" s="1" t="s">
        <v>38</v>
      </c>
      <c r="BG961" s="7" t="s">
        <v>1242</v>
      </c>
    </row>
    <row r="962" spans="1:59" s="1" customFormat="1" ht="198" x14ac:dyDescent="0.45">
      <c r="A962" s="5">
        <v>961</v>
      </c>
      <c r="B962" s="1" t="s">
        <v>11645</v>
      </c>
      <c r="C962" s="6"/>
      <c r="J962" s="1" t="s">
        <v>7557</v>
      </c>
      <c r="K962" s="2" t="s">
        <v>11646</v>
      </c>
      <c r="P962" s="7" t="s">
        <v>1241</v>
      </c>
      <c r="Q962"/>
      <c r="R962"/>
      <c r="S962"/>
      <c r="T962"/>
      <c r="U962"/>
      <c r="V962"/>
      <c r="W962"/>
      <c r="X962"/>
      <c r="Y962"/>
      <c r="Z962"/>
      <c r="AA962"/>
      <c r="AB962"/>
      <c r="AC962"/>
      <c r="AD962"/>
      <c r="AE962"/>
      <c r="AF962"/>
      <c r="AG962"/>
      <c r="AH962"/>
      <c r="AI962"/>
      <c r="AJ962"/>
      <c r="AK962"/>
      <c r="AL962"/>
      <c r="AM962"/>
      <c r="AN962"/>
      <c r="AO962"/>
      <c r="AP962"/>
      <c r="AQ962"/>
      <c r="AR962"/>
      <c r="AS962"/>
      <c r="AT962"/>
      <c r="AU962"/>
      <c r="AV962" s="1" t="s">
        <v>38</v>
      </c>
      <c r="BG962" s="7" t="s">
        <v>1242</v>
      </c>
    </row>
    <row r="963" spans="1:59" s="1" customFormat="1" ht="108" x14ac:dyDescent="0.45">
      <c r="A963" s="5">
        <v>962</v>
      </c>
      <c r="B963" s="1" t="s">
        <v>11568</v>
      </c>
      <c r="C963" s="6"/>
      <c r="J963" s="1" t="s">
        <v>7557</v>
      </c>
      <c r="K963" s="2" t="s">
        <v>11647</v>
      </c>
      <c r="P963" s="7" t="s">
        <v>1241</v>
      </c>
      <c r="Q963"/>
      <c r="R963"/>
      <c r="S963"/>
      <c r="T963"/>
      <c r="U963"/>
      <c r="V963"/>
      <c r="W963"/>
      <c r="X963"/>
      <c r="Y963"/>
      <c r="Z963"/>
      <c r="AA963"/>
      <c r="AB963"/>
      <c r="AC963"/>
      <c r="AD963"/>
      <c r="AE963"/>
      <c r="AF963"/>
      <c r="AG963"/>
      <c r="AH963"/>
      <c r="AI963"/>
      <c r="AJ963"/>
      <c r="AK963"/>
      <c r="AL963"/>
      <c r="AM963"/>
      <c r="AN963"/>
      <c r="AO963"/>
      <c r="AP963"/>
      <c r="AQ963"/>
      <c r="AR963"/>
      <c r="AS963"/>
      <c r="AT963"/>
      <c r="AU963"/>
      <c r="AV963" s="1" t="s">
        <v>38</v>
      </c>
      <c r="BG963" s="7" t="s">
        <v>1242</v>
      </c>
    </row>
    <row r="964" spans="1:59" s="1" customFormat="1" ht="234" x14ac:dyDescent="0.45">
      <c r="A964" s="5">
        <v>963</v>
      </c>
      <c r="B964" s="1" t="s">
        <v>11569</v>
      </c>
      <c r="C964" s="6"/>
      <c r="J964" s="1" t="s">
        <v>7557</v>
      </c>
      <c r="K964" s="2" t="s">
        <v>11648</v>
      </c>
      <c r="P964" s="7" t="s">
        <v>1241</v>
      </c>
      <c r="Q964"/>
      <c r="R964"/>
      <c r="S964"/>
      <c r="T964"/>
      <c r="U964"/>
      <c r="V964"/>
      <c r="W964"/>
      <c r="X964"/>
      <c r="Y964"/>
      <c r="Z964"/>
      <c r="AA964"/>
      <c r="AB964"/>
      <c r="AC964"/>
      <c r="AD964"/>
      <c r="AE964"/>
      <c r="AF964"/>
      <c r="AG964"/>
      <c r="AH964"/>
      <c r="AI964"/>
      <c r="AJ964"/>
      <c r="AK964"/>
      <c r="AL964"/>
      <c r="AM964"/>
      <c r="AN964"/>
      <c r="AO964"/>
      <c r="AP964"/>
      <c r="AQ964"/>
      <c r="AR964"/>
      <c r="AS964"/>
      <c r="AT964"/>
      <c r="AU964"/>
      <c r="AV964" s="1" t="s">
        <v>38</v>
      </c>
      <c r="BG964" s="7" t="s">
        <v>1242</v>
      </c>
    </row>
    <row r="965" spans="1:59" s="1" customFormat="1" ht="108" x14ac:dyDescent="0.45">
      <c r="A965" s="5">
        <v>964</v>
      </c>
      <c r="B965" s="1" t="s">
        <v>11570</v>
      </c>
      <c r="C965" s="6"/>
      <c r="J965" s="1" t="s">
        <v>7557</v>
      </c>
      <c r="K965" s="2" t="s">
        <v>12227</v>
      </c>
      <c r="P965" s="7" t="s">
        <v>1241</v>
      </c>
      <c r="Q965"/>
      <c r="R965"/>
      <c r="S965"/>
      <c r="T965"/>
      <c r="U965"/>
      <c r="V965"/>
      <c r="W965"/>
      <c r="X965"/>
      <c r="Y965"/>
      <c r="Z965"/>
      <c r="AA965"/>
      <c r="AB965"/>
      <c r="AC965"/>
      <c r="AD965"/>
      <c r="AE965"/>
      <c r="AF965"/>
      <c r="AG965"/>
      <c r="AH965"/>
      <c r="AI965"/>
      <c r="AJ965"/>
      <c r="AK965"/>
      <c r="AL965"/>
      <c r="AM965"/>
      <c r="AN965"/>
      <c r="AO965"/>
      <c r="AP965"/>
      <c r="AQ965"/>
      <c r="AR965"/>
      <c r="AS965"/>
      <c r="AT965"/>
      <c r="AU965"/>
      <c r="AV965" s="1" t="s">
        <v>38</v>
      </c>
      <c r="BG965" s="7" t="s">
        <v>1242</v>
      </c>
    </row>
    <row r="966" spans="1:59" s="1" customFormat="1" ht="108" x14ac:dyDescent="0.45">
      <c r="A966" s="5">
        <v>965</v>
      </c>
      <c r="B966" s="1" t="s">
        <v>11571</v>
      </c>
      <c r="C966" s="6"/>
      <c r="J966" s="1" t="s">
        <v>7557</v>
      </c>
      <c r="K966" s="2" t="s">
        <v>11649</v>
      </c>
      <c r="P966" s="7" t="s">
        <v>1241</v>
      </c>
      <c r="Q966"/>
      <c r="R966"/>
      <c r="S966"/>
      <c r="T966"/>
      <c r="U966"/>
      <c r="V966"/>
      <c r="W966"/>
      <c r="X966"/>
      <c r="Y966"/>
      <c r="Z966"/>
      <c r="AA966"/>
      <c r="AB966"/>
      <c r="AC966"/>
      <c r="AD966"/>
      <c r="AE966"/>
      <c r="AF966"/>
      <c r="AG966"/>
      <c r="AH966"/>
      <c r="AI966"/>
      <c r="AJ966"/>
      <c r="AK966"/>
      <c r="AL966"/>
      <c r="AM966"/>
      <c r="AN966"/>
      <c r="AO966"/>
      <c r="AP966"/>
      <c r="AQ966"/>
      <c r="AR966"/>
      <c r="AS966"/>
      <c r="AT966"/>
      <c r="AU966"/>
      <c r="AV966" s="1" t="s">
        <v>38</v>
      </c>
      <c r="BG966" s="7" t="s">
        <v>1242</v>
      </c>
    </row>
    <row r="967" spans="1:59" s="1" customFormat="1" ht="234" x14ac:dyDescent="0.45">
      <c r="A967" s="5">
        <v>966</v>
      </c>
      <c r="B967" s="1" t="s">
        <v>11572</v>
      </c>
      <c r="C967" s="6"/>
      <c r="J967" s="1" t="s">
        <v>7557</v>
      </c>
      <c r="K967" s="2" t="s">
        <v>12228</v>
      </c>
      <c r="P967" s="7" t="s">
        <v>1241</v>
      </c>
      <c r="Q967"/>
      <c r="R967"/>
      <c r="S967"/>
      <c r="T967"/>
      <c r="U967"/>
      <c r="V967"/>
      <c r="W967"/>
      <c r="X967"/>
      <c r="Y967"/>
      <c r="Z967"/>
      <c r="AA967"/>
      <c r="AB967"/>
      <c r="AC967"/>
      <c r="AD967"/>
      <c r="AE967"/>
      <c r="AF967"/>
      <c r="AG967"/>
      <c r="AH967"/>
      <c r="AI967"/>
      <c r="AJ967"/>
      <c r="AK967"/>
      <c r="AL967"/>
      <c r="AM967"/>
      <c r="AN967"/>
      <c r="AO967"/>
      <c r="AP967"/>
      <c r="AQ967"/>
      <c r="AR967"/>
      <c r="AS967"/>
      <c r="AT967"/>
      <c r="AU967"/>
      <c r="AV967" s="1" t="s">
        <v>38</v>
      </c>
      <c r="BG967" s="7" t="s">
        <v>1242</v>
      </c>
    </row>
    <row r="968" spans="1:59" s="1" customFormat="1" ht="54" x14ac:dyDescent="0.45">
      <c r="A968" s="5">
        <v>967</v>
      </c>
      <c r="B968" s="1" t="s">
        <v>11573</v>
      </c>
      <c r="C968" s="6"/>
      <c r="J968" s="1" t="s">
        <v>7557</v>
      </c>
      <c r="K968" s="2" t="s">
        <v>11650</v>
      </c>
      <c r="P968" s="7" t="s">
        <v>1241</v>
      </c>
      <c r="Q968"/>
      <c r="R968"/>
      <c r="S968"/>
      <c r="T968"/>
      <c r="U968"/>
      <c r="V968"/>
      <c r="W968"/>
      <c r="X968"/>
      <c r="Y968"/>
      <c r="Z968"/>
      <c r="AA968"/>
      <c r="AB968"/>
      <c r="AC968"/>
      <c r="AD968"/>
      <c r="AE968"/>
      <c r="AF968"/>
      <c r="AG968"/>
      <c r="AH968"/>
      <c r="AI968"/>
      <c r="AJ968"/>
      <c r="AK968"/>
      <c r="AL968"/>
      <c r="AM968"/>
      <c r="AN968"/>
      <c r="AO968"/>
      <c r="AP968"/>
      <c r="AQ968"/>
      <c r="AR968"/>
      <c r="AS968"/>
      <c r="AT968"/>
      <c r="AU968"/>
      <c r="AV968" s="1" t="s">
        <v>38</v>
      </c>
      <c r="BG968" s="7" t="s">
        <v>1242</v>
      </c>
    </row>
    <row r="969" spans="1:59" s="1" customFormat="1" ht="108" x14ac:dyDescent="0.45">
      <c r="A969" s="5">
        <v>968</v>
      </c>
      <c r="B969" s="1" t="s">
        <v>11574</v>
      </c>
      <c r="C969" s="6"/>
      <c r="J969" s="1" t="s">
        <v>7557</v>
      </c>
      <c r="K969" s="2" t="s">
        <v>11651</v>
      </c>
      <c r="P969" s="7" t="s">
        <v>1241</v>
      </c>
      <c r="Q969"/>
      <c r="R969"/>
      <c r="S969"/>
      <c r="T969"/>
      <c r="U969"/>
      <c r="V969"/>
      <c r="W969"/>
      <c r="X969"/>
      <c r="Y969"/>
      <c r="Z969"/>
      <c r="AA969"/>
      <c r="AB969"/>
      <c r="AC969"/>
      <c r="AD969"/>
      <c r="AE969"/>
      <c r="AF969"/>
      <c r="AG969"/>
      <c r="AH969"/>
      <c r="AI969"/>
      <c r="AJ969"/>
      <c r="AK969"/>
      <c r="AL969"/>
      <c r="AM969"/>
      <c r="AN969"/>
      <c r="AO969"/>
      <c r="AP969"/>
      <c r="AQ969"/>
      <c r="AR969"/>
      <c r="AS969"/>
      <c r="AT969"/>
      <c r="AU969"/>
      <c r="AV969" s="1" t="s">
        <v>38</v>
      </c>
      <c r="BG969" s="7" t="s">
        <v>1242</v>
      </c>
    </row>
    <row r="970" spans="1:59" s="1" customFormat="1" ht="90" x14ac:dyDescent="0.45">
      <c r="A970" s="5">
        <v>969</v>
      </c>
      <c r="B970" s="1" t="s">
        <v>11575</v>
      </c>
      <c r="C970" s="6"/>
      <c r="J970" s="1" t="s">
        <v>7557</v>
      </c>
      <c r="K970" s="2" t="s">
        <v>11652</v>
      </c>
      <c r="P970" s="7" t="s">
        <v>1241</v>
      </c>
      <c r="Q970"/>
      <c r="R970"/>
      <c r="S970"/>
      <c r="T970"/>
      <c r="U970"/>
      <c r="V970"/>
      <c r="W970"/>
      <c r="X970"/>
      <c r="Y970"/>
      <c r="Z970"/>
      <c r="AA970"/>
      <c r="AB970"/>
      <c r="AC970"/>
      <c r="AD970"/>
      <c r="AE970"/>
      <c r="AF970"/>
      <c r="AG970"/>
      <c r="AH970"/>
      <c r="AI970"/>
      <c r="AJ970"/>
      <c r="AK970"/>
      <c r="AL970"/>
      <c r="AM970"/>
      <c r="AN970"/>
      <c r="AO970"/>
      <c r="AP970"/>
      <c r="AQ970"/>
      <c r="AR970"/>
      <c r="AS970"/>
      <c r="AT970"/>
      <c r="AU970"/>
      <c r="AV970" s="1" t="s">
        <v>38</v>
      </c>
      <c r="BG970" s="7" t="s">
        <v>1242</v>
      </c>
    </row>
    <row r="971" spans="1:59" s="1" customFormat="1" ht="54" x14ac:dyDescent="0.45">
      <c r="A971" s="5">
        <v>970</v>
      </c>
      <c r="B971" s="1" t="s">
        <v>11576</v>
      </c>
      <c r="C971" s="6"/>
      <c r="J971" s="1" t="s">
        <v>7557</v>
      </c>
      <c r="K971" s="2" t="s">
        <v>11653</v>
      </c>
      <c r="P971" s="7" t="s">
        <v>1241</v>
      </c>
      <c r="Q971"/>
      <c r="R971"/>
      <c r="S971"/>
      <c r="T971"/>
      <c r="U971"/>
      <c r="V971"/>
      <c r="W971"/>
      <c r="X971"/>
      <c r="Y971"/>
      <c r="Z971"/>
      <c r="AA971"/>
      <c r="AB971"/>
      <c r="AC971"/>
      <c r="AD971"/>
      <c r="AE971"/>
      <c r="AF971"/>
      <c r="AG971"/>
      <c r="AH971"/>
      <c r="AI971"/>
      <c r="AJ971"/>
      <c r="AK971"/>
      <c r="AL971"/>
      <c r="AM971"/>
      <c r="AN971"/>
      <c r="AO971"/>
      <c r="AP971"/>
      <c r="AQ971"/>
      <c r="AR971"/>
      <c r="AS971"/>
      <c r="AT971"/>
      <c r="AU971"/>
      <c r="AV971" s="1" t="s">
        <v>38</v>
      </c>
      <c r="BG971" s="7" t="s">
        <v>1242</v>
      </c>
    </row>
    <row r="972" spans="1:59" s="1" customFormat="1" ht="144" x14ac:dyDescent="0.45">
      <c r="A972" s="5">
        <v>971</v>
      </c>
      <c r="B972" s="1" t="s">
        <v>11577</v>
      </c>
      <c r="C972" s="6"/>
      <c r="J972" s="1" t="s">
        <v>7557</v>
      </c>
      <c r="K972" s="2" t="s">
        <v>11654</v>
      </c>
      <c r="P972" s="7" t="s">
        <v>1241</v>
      </c>
      <c r="Q972"/>
      <c r="R972"/>
      <c r="S972"/>
      <c r="T972"/>
      <c r="U972"/>
      <c r="V972"/>
      <c r="W972"/>
      <c r="X972"/>
      <c r="Y972"/>
      <c r="Z972"/>
      <c r="AA972"/>
      <c r="AB972"/>
      <c r="AC972"/>
      <c r="AD972"/>
      <c r="AE972"/>
      <c r="AF972"/>
      <c r="AG972"/>
      <c r="AH972"/>
      <c r="AI972"/>
      <c r="AJ972"/>
      <c r="AK972"/>
      <c r="AL972"/>
      <c r="AM972"/>
      <c r="AN972"/>
      <c r="AO972"/>
      <c r="AP972"/>
      <c r="AQ972"/>
      <c r="AR972"/>
      <c r="AS972"/>
      <c r="AT972"/>
      <c r="AU972"/>
      <c r="AV972" s="1" t="s">
        <v>38</v>
      </c>
      <c r="BG972" s="7" t="s">
        <v>1242</v>
      </c>
    </row>
    <row r="973" spans="1:59" s="1" customFormat="1" ht="54" x14ac:dyDescent="0.45">
      <c r="A973" s="5">
        <v>972</v>
      </c>
      <c r="B973" s="1" t="s">
        <v>11578</v>
      </c>
      <c r="C973" s="6"/>
      <c r="J973" s="1" t="s">
        <v>7557</v>
      </c>
      <c r="K973" s="2" t="s">
        <v>11655</v>
      </c>
      <c r="P973" s="7" t="s">
        <v>1241</v>
      </c>
      <c r="Q973"/>
      <c r="R973"/>
      <c r="S973"/>
      <c r="T973"/>
      <c r="U973"/>
      <c r="V973"/>
      <c r="W973"/>
      <c r="X973"/>
      <c r="Y973"/>
      <c r="Z973"/>
      <c r="AA973"/>
      <c r="AB973"/>
      <c r="AC973"/>
      <c r="AD973"/>
      <c r="AE973"/>
      <c r="AF973"/>
      <c r="AG973"/>
      <c r="AH973"/>
      <c r="AI973"/>
      <c r="AJ973"/>
      <c r="AK973"/>
      <c r="AL973"/>
      <c r="AM973"/>
      <c r="AN973"/>
      <c r="AO973"/>
      <c r="AP973"/>
      <c r="AQ973"/>
      <c r="AR973"/>
      <c r="AS973"/>
      <c r="AT973"/>
      <c r="AU973"/>
      <c r="AV973" s="1" t="s">
        <v>38</v>
      </c>
      <c r="BG973" s="7" t="s">
        <v>1242</v>
      </c>
    </row>
    <row r="974" spans="1:59" s="1" customFormat="1" ht="162" x14ac:dyDescent="0.45">
      <c r="A974" s="5">
        <v>973</v>
      </c>
      <c r="B974" s="1" t="s">
        <v>11579</v>
      </c>
      <c r="C974" s="6"/>
      <c r="J974" s="1" t="s">
        <v>7557</v>
      </c>
      <c r="K974" s="11" t="s">
        <v>12065</v>
      </c>
      <c r="P974" s="7" t="s">
        <v>1241</v>
      </c>
      <c r="Q974"/>
      <c r="R974"/>
      <c r="S974"/>
      <c r="T974"/>
      <c r="U974"/>
      <c r="V974"/>
      <c r="W974"/>
      <c r="X974"/>
      <c r="Y974"/>
      <c r="Z974"/>
      <c r="AA974"/>
      <c r="AB974"/>
      <c r="AC974"/>
      <c r="AD974"/>
      <c r="AE974"/>
      <c r="AF974"/>
      <c r="AG974"/>
      <c r="AH974"/>
      <c r="AI974"/>
      <c r="AJ974"/>
      <c r="AK974"/>
      <c r="AL974"/>
      <c r="AM974"/>
      <c r="AN974"/>
      <c r="AO974"/>
      <c r="AP974"/>
      <c r="AQ974"/>
      <c r="AR974"/>
      <c r="AS974"/>
      <c r="AT974"/>
      <c r="AU974"/>
      <c r="AV974" s="1" t="s">
        <v>38</v>
      </c>
      <c r="BG974" s="7" t="s">
        <v>1242</v>
      </c>
    </row>
    <row r="975" spans="1:59" s="1" customFormat="1" ht="36" x14ac:dyDescent="0.45">
      <c r="A975" s="5">
        <v>974</v>
      </c>
      <c r="B975" s="1" t="s">
        <v>11580</v>
      </c>
      <c r="C975" s="6"/>
      <c r="J975" s="1" t="s">
        <v>7557</v>
      </c>
      <c r="K975" s="2" t="s">
        <v>11656</v>
      </c>
      <c r="P975" s="7" t="s">
        <v>1241</v>
      </c>
      <c r="Q975"/>
      <c r="R975"/>
      <c r="S975"/>
      <c r="T975"/>
      <c r="U975"/>
      <c r="V975"/>
      <c r="W975"/>
      <c r="X975"/>
      <c r="Y975"/>
      <c r="Z975"/>
      <c r="AA975"/>
      <c r="AB975"/>
      <c r="AC975"/>
      <c r="AD975"/>
      <c r="AE975"/>
      <c r="AF975"/>
      <c r="AG975"/>
      <c r="AH975"/>
      <c r="AI975"/>
      <c r="AJ975"/>
      <c r="AK975"/>
      <c r="AL975"/>
      <c r="AM975"/>
      <c r="AN975"/>
      <c r="AO975"/>
      <c r="AP975"/>
      <c r="AQ975"/>
      <c r="AR975"/>
      <c r="AS975"/>
      <c r="AT975"/>
      <c r="AU975"/>
      <c r="AV975" s="1" t="s">
        <v>38</v>
      </c>
      <c r="BG975" s="7" t="s">
        <v>1242</v>
      </c>
    </row>
    <row r="976" spans="1:59" s="1" customFormat="1" ht="54" x14ac:dyDescent="0.45">
      <c r="A976" s="5">
        <v>975</v>
      </c>
      <c r="B976" s="1" t="s">
        <v>11581</v>
      </c>
      <c r="C976" s="6"/>
      <c r="J976" s="1" t="s">
        <v>7557</v>
      </c>
      <c r="K976" s="2" t="s">
        <v>11657</v>
      </c>
      <c r="P976" s="7" t="s">
        <v>1241</v>
      </c>
      <c r="Q976"/>
      <c r="R976"/>
      <c r="S976"/>
      <c r="T976"/>
      <c r="U976"/>
      <c r="V976"/>
      <c r="W976"/>
      <c r="X976"/>
      <c r="Y976"/>
      <c r="Z976"/>
      <c r="AA976"/>
      <c r="AB976"/>
      <c r="AC976"/>
      <c r="AD976"/>
      <c r="AE976"/>
      <c r="AF976"/>
      <c r="AG976"/>
      <c r="AH976"/>
      <c r="AI976"/>
      <c r="AJ976"/>
      <c r="AK976"/>
      <c r="AL976"/>
      <c r="AM976"/>
      <c r="AN976"/>
      <c r="AO976"/>
      <c r="AP976"/>
      <c r="AQ976"/>
      <c r="AR976"/>
      <c r="AS976"/>
      <c r="AT976"/>
      <c r="AU976"/>
      <c r="AV976" s="1" t="s">
        <v>38</v>
      </c>
      <c r="BG976" s="7" t="s">
        <v>1242</v>
      </c>
    </row>
    <row r="977" spans="1:59" s="1" customFormat="1" ht="54" x14ac:dyDescent="0.45">
      <c r="A977" s="5">
        <v>976</v>
      </c>
      <c r="B977" s="1" t="s">
        <v>11582</v>
      </c>
      <c r="C977" s="6"/>
      <c r="J977" s="1" t="s">
        <v>7557</v>
      </c>
      <c r="K977" s="2" t="s">
        <v>11658</v>
      </c>
      <c r="P977" s="7" t="s">
        <v>1241</v>
      </c>
      <c r="Q977"/>
      <c r="R977"/>
      <c r="S977"/>
      <c r="T977"/>
      <c r="U977"/>
      <c r="V977"/>
      <c r="W977"/>
      <c r="X977"/>
      <c r="Y977"/>
      <c r="Z977"/>
      <c r="AA977"/>
      <c r="AB977"/>
      <c r="AC977"/>
      <c r="AD977"/>
      <c r="AE977"/>
      <c r="AF977"/>
      <c r="AG977"/>
      <c r="AH977"/>
      <c r="AI977"/>
      <c r="AJ977"/>
      <c r="AK977"/>
      <c r="AL977"/>
      <c r="AM977"/>
      <c r="AN977"/>
      <c r="AO977"/>
      <c r="AP977"/>
      <c r="AQ977"/>
      <c r="AR977"/>
      <c r="AS977"/>
      <c r="AT977"/>
      <c r="AU977"/>
      <c r="AV977" s="1" t="s">
        <v>38</v>
      </c>
      <c r="BG977" s="7" t="s">
        <v>1242</v>
      </c>
    </row>
    <row r="978" spans="1:59" s="1" customFormat="1" ht="54" x14ac:dyDescent="0.45">
      <c r="A978" s="5">
        <v>977</v>
      </c>
      <c r="B978" s="1" t="s">
        <v>11659</v>
      </c>
      <c r="C978" s="6"/>
      <c r="J978" s="1" t="s">
        <v>7557</v>
      </c>
      <c r="K978" s="2" t="s">
        <v>11660</v>
      </c>
      <c r="P978" s="7" t="s">
        <v>1241</v>
      </c>
      <c r="Q978"/>
      <c r="R978"/>
      <c r="S978"/>
      <c r="T978"/>
      <c r="U978"/>
      <c r="V978"/>
      <c r="W978"/>
      <c r="X978"/>
      <c r="Y978"/>
      <c r="Z978"/>
      <c r="AA978"/>
      <c r="AB978"/>
      <c r="AC978"/>
      <c r="AD978"/>
      <c r="AE978"/>
      <c r="AF978"/>
      <c r="AG978"/>
      <c r="AH978"/>
      <c r="AI978"/>
      <c r="AJ978"/>
      <c r="AK978"/>
      <c r="AL978"/>
      <c r="AM978"/>
      <c r="AN978"/>
      <c r="AO978"/>
      <c r="AP978"/>
      <c r="AQ978"/>
      <c r="AR978"/>
      <c r="AS978"/>
      <c r="AT978"/>
      <c r="AU978"/>
      <c r="AV978" s="1" t="s">
        <v>38</v>
      </c>
      <c r="BG978" s="7" t="s">
        <v>1242</v>
      </c>
    </row>
    <row r="979" spans="1:59" s="1" customFormat="1" ht="72" x14ac:dyDescent="0.45">
      <c r="A979" s="5">
        <v>978</v>
      </c>
      <c r="B979" s="1" t="s">
        <v>11583</v>
      </c>
      <c r="C979" s="6"/>
      <c r="J979" s="1" t="s">
        <v>7557</v>
      </c>
      <c r="K979" s="2" t="s">
        <v>11661</v>
      </c>
      <c r="P979" s="7" t="s">
        <v>1241</v>
      </c>
      <c r="Q979"/>
      <c r="R979"/>
      <c r="S979"/>
      <c r="T979"/>
      <c r="U979"/>
      <c r="V979"/>
      <c r="W979"/>
      <c r="X979"/>
      <c r="Y979"/>
      <c r="Z979"/>
      <c r="AA979"/>
      <c r="AB979"/>
      <c r="AC979"/>
      <c r="AD979"/>
      <c r="AE979"/>
      <c r="AF979"/>
      <c r="AG979"/>
      <c r="AH979"/>
      <c r="AI979"/>
      <c r="AJ979"/>
      <c r="AK979"/>
      <c r="AL979"/>
      <c r="AM979"/>
      <c r="AN979"/>
      <c r="AO979"/>
      <c r="AP979"/>
      <c r="AQ979"/>
      <c r="AR979"/>
      <c r="AS979"/>
      <c r="AT979"/>
      <c r="AU979"/>
      <c r="AV979" s="1" t="s">
        <v>38</v>
      </c>
      <c r="BG979" s="7" t="s">
        <v>1242</v>
      </c>
    </row>
    <row r="980" spans="1:59" s="1" customFormat="1" ht="144" x14ac:dyDescent="0.45">
      <c r="A980" s="5">
        <v>979</v>
      </c>
      <c r="B980" s="1" t="s">
        <v>11584</v>
      </c>
      <c r="C980" s="6"/>
      <c r="J980" s="1" t="s">
        <v>7557</v>
      </c>
      <c r="K980" s="11" t="s">
        <v>12066</v>
      </c>
      <c r="P980" s="7" t="s">
        <v>1241</v>
      </c>
      <c r="Q980"/>
      <c r="R980"/>
      <c r="S980"/>
      <c r="T980"/>
      <c r="U980"/>
      <c r="V980"/>
      <c r="W980"/>
      <c r="X980"/>
      <c r="Y980"/>
      <c r="Z980"/>
      <c r="AA980"/>
      <c r="AB980"/>
      <c r="AC980"/>
      <c r="AD980"/>
      <c r="AE980"/>
      <c r="AF980"/>
      <c r="AG980"/>
      <c r="AH980"/>
      <c r="AI980"/>
      <c r="AJ980"/>
      <c r="AK980"/>
      <c r="AL980"/>
      <c r="AM980"/>
      <c r="AN980"/>
      <c r="AO980"/>
      <c r="AP980"/>
      <c r="AQ980"/>
      <c r="AR980"/>
      <c r="AS980"/>
      <c r="AT980"/>
      <c r="AU980"/>
      <c r="AV980" s="1" t="s">
        <v>38</v>
      </c>
      <c r="BG980" s="7" t="s">
        <v>1242</v>
      </c>
    </row>
    <row r="981" spans="1:59" s="1" customFormat="1" ht="54" x14ac:dyDescent="0.45">
      <c r="A981" s="5">
        <v>980</v>
      </c>
      <c r="B981" s="1" t="s">
        <v>11585</v>
      </c>
      <c r="C981" s="6"/>
      <c r="J981" s="1" t="s">
        <v>7557</v>
      </c>
      <c r="K981" s="2" t="s">
        <v>11662</v>
      </c>
      <c r="P981" s="7" t="s">
        <v>1241</v>
      </c>
      <c r="Q981"/>
      <c r="R981"/>
      <c r="S981"/>
      <c r="T981"/>
      <c r="U981"/>
      <c r="V981"/>
      <c r="W981"/>
      <c r="X981"/>
      <c r="Y981"/>
      <c r="Z981"/>
      <c r="AA981"/>
      <c r="AB981"/>
      <c r="AC981"/>
      <c r="AD981"/>
      <c r="AE981"/>
      <c r="AF981"/>
      <c r="AG981"/>
      <c r="AH981"/>
      <c r="AI981"/>
      <c r="AJ981"/>
      <c r="AK981"/>
      <c r="AL981"/>
      <c r="AM981"/>
      <c r="AN981"/>
      <c r="AO981"/>
      <c r="AP981"/>
      <c r="AQ981"/>
      <c r="AR981"/>
      <c r="AS981"/>
      <c r="AT981"/>
      <c r="AU981"/>
      <c r="AV981" s="1" t="s">
        <v>38</v>
      </c>
      <c r="BG981" s="7" t="s">
        <v>1242</v>
      </c>
    </row>
    <row r="982" spans="1:59" s="1" customFormat="1" ht="54" x14ac:dyDescent="0.45">
      <c r="A982" s="5">
        <v>981</v>
      </c>
      <c r="B982" s="1" t="s">
        <v>11586</v>
      </c>
      <c r="C982" s="6"/>
      <c r="J982" s="1" t="s">
        <v>7557</v>
      </c>
      <c r="K982" s="2" t="s">
        <v>11663</v>
      </c>
      <c r="P982" s="7" t="s">
        <v>1241</v>
      </c>
      <c r="Q982"/>
      <c r="R982"/>
      <c r="S982"/>
      <c r="T982"/>
      <c r="U982"/>
      <c r="V982"/>
      <c r="W982"/>
      <c r="X982"/>
      <c r="Y982"/>
      <c r="Z982"/>
      <c r="AA982"/>
      <c r="AB982"/>
      <c r="AC982"/>
      <c r="AD982"/>
      <c r="AE982"/>
      <c r="AF982"/>
      <c r="AG982"/>
      <c r="AH982"/>
      <c r="AI982"/>
      <c r="AJ982"/>
      <c r="AK982"/>
      <c r="AL982"/>
      <c r="AM982"/>
      <c r="AN982"/>
      <c r="AO982"/>
      <c r="AP982"/>
      <c r="AQ982"/>
      <c r="AR982"/>
      <c r="AS982"/>
      <c r="AT982"/>
      <c r="AU982"/>
      <c r="AV982" s="1" t="s">
        <v>38</v>
      </c>
      <c r="BG982" s="7" t="s">
        <v>1242</v>
      </c>
    </row>
    <row r="983" spans="1:59" s="1" customFormat="1" ht="54" x14ac:dyDescent="0.45">
      <c r="A983" s="5">
        <v>982</v>
      </c>
      <c r="B983" s="1" t="s">
        <v>11587</v>
      </c>
      <c r="C983" s="6"/>
      <c r="J983" s="1" t="s">
        <v>7557</v>
      </c>
      <c r="K983" s="2" t="s">
        <v>11664</v>
      </c>
      <c r="P983" s="7" t="s">
        <v>1241</v>
      </c>
      <c r="Q983"/>
      <c r="R983"/>
      <c r="S983"/>
      <c r="T983"/>
      <c r="U983"/>
      <c r="V983"/>
      <c r="W983"/>
      <c r="X983"/>
      <c r="Y983"/>
      <c r="Z983"/>
      <c r="AA983"/>
      <c r="AB983"/>
      <c r="AC983"/>
      <c r="AD983"/>
      <c r="AE983"/>
      <c r="AF983"/>
      <c r="AG983"/>
      <c r="AH983"/>
      <c r="AI983"/>
      <c r="AJ983"/>
      <c r="AK983"/>
      <c r="AL983"/>
      <c r="AM983"/>
      <c r="AN983"/>
      <c r="AO983"/>
      <c r="AP983"/>
      <c r="AQ983"/>
      <c r="AR983"/>
      <c r="AS983"/>
      <c r="AT983"/>
      <c r="AU983"/>
      <c r="AV983" s="1" t="s">
        <v>38</v>
      </c>
      <c r="BG983" s="7" t="s">
        <v>1242</v>
      </c>
    </row>
    <row r="984" spans="1:59" s="1" customFormat="1" ht="108" x14ac:dyDescent="0.45">
      <c r="A984" s="5">
        <v>983</v>
      </c>
      <c r="B984" s="1" t="s">
        <v>11588</v>
      </c>
      <c r="C984" s="6"/>
      <c r="J984" s="1" t="s">
        <v>7557</v>
      </c>
      <c r="K984" s="2" t="s">
        <v>11665</v>
      </c>
      <c r="P984" s="7" t="s">
        <v>1241</v>
      </c>
      <c r="Q984"/>
      <c r="R984"/>
      <c r="S984"/>
      <c r="T984"/>
      <c r="U984"/>
      <c r="V984"/>
      <c r="W984"/>
      <c r="X984"/>
      <c r="Y984"/>
      <c r="Z984"/>
      <c r="AA984"/>
      <c r="AB984"/>
      <c r="AC984"/>
      <c r="AD984"/>
      <c r="AE984"/>
      <c r="AF984"/>
      <c r="AG984"/>
      <c r="AH984"/>
      <c r="AI984"/>
      <c r="AJ984"/>
      <c r="AK984"/>
      <c r="AL984"/>
      <c r="AM984"/>
      <c r="AN984"/>
      <c r="AO984"/>
      <c r="AP984"/>
      <c r="AQ984"/>
      <c r="AR984"/>
      <c r="AS984"/>
      <c r="AT984"/>
      <c r="AU984"/>
      <c r="AV984" s="1" t="s">
        <v>38</v>
      </c>
      <c r="BG984" s="7" t="s">
        <v>1242</v>
      </c>
    </row>
    <row r="985" spans="1:59" s="1" customFormat="1" ht="90" x14ac:dyDescent="0.45">
      <c r="A985" s="5">
        <v>984</v>
      </c>
      <c r="B985" s="1" t="s">
        <v>11589</v>
      </c>
      <c r="C985" s="6"/>
      <c r="J985" s="1" t="s">
        <v>7557</v>
      </c>
      <c r="K985" s="11" t="s">
        <v>12072</v>
      </c>
      <c r="P985" s="7" t="s">
        <v>1241</v>
      </c>
      <c r="Q985"/>
      <c r="R985"/>
      <c r="S985"/>
      <c r="T985"/>
      <c r="U985"/>
      <c r="V985"/>
      <c r="W985"/>
      <c r="X985"/>
      <c r="Y985"/>
      <c r="Z985"/>
      <c r="AA985"/>
      <c r="AB985"/>
      <c r="AC985"/>
      <c r="AD985"/>
      <c r="AE985"/>
      <c r="AF985"/>
      <c r="AG985"/>
      <c r="AH985"/>
      <c r="AI985"/>
      <c r="AJ985"/>
      <c r="AK985"/>
      <c r="AL985"/>
      <c r="AM985"/>
      <c r="AN985"/>
      <c r="AO985"/>
      <c r="AP985"/>
      <c r="AQ985"/>
      <c r="AR985"/>
      <c r="AS985"/>
      <c r="AT985"/>
      <c r="AU985"/>
      <c r="AV985" s="1" t="s">
        <v>38</v>
      </c>
      <c r="BG985" s="7" t="s">
        <v>1242</v>
      </c>
    </row>
    <row r="986" spans="1:59" s="1" customFormat="1" ht="360" x14ac:dyDescent="0.45">
      <c r="A986" s="5">
        <v>985</v>
      </c>
      <c r="B986" s="1" t="s">
        <v>11590</v>
      </c>
      <c r="C986" s="6"/>
      <c r="J986" s="1" t="s">
        <v>7557</v>
      </c>
      <c r="K986" s="11" t="s">
        <v>12229</v>
      </c>
      <c r="P986" s="7" t="s">
        <v>1241</v>
      </c>
      <c r="Q986"/>
      <c r="R986"/>
      <c r="S986"/>
      <c r="T986"/>
      <c r="U986"/>
      <c r="V986"/>
      <c r="W986"/>
      <c r="X986"/>
      <c r="Y986"/>
      <c r="Z986"/>
      <c r="AA986"/>
      <c r="AB986"/>
      <c r="AC986"/>
      <c r="AD986"/>
      <c r="AE986"/>
      <c r="AF986"/>
      <c r="AG986"/>
      <c r="AH986"/>
      <c r="AI986"/>
      <c r="AJ986"/>
      <c r="AK986"/>
      <c r="AL986"/>
      <c r="AM986"/>
      <c r="AN986"/>
      <c r="AO986"/>
      <c r="AP986"/>
      <c r="AQ986"/>
      <c r="AR986"/>
      <c r="AS986"/>
      <c r="AT986"/>
      <c r="AU986"/>
      <c r="AV986" s="1" t="s">
        <v>38</v>
      </c>
      <c r="BG986" s="7" t="s">
        <v>1242</v>
      </c>
    </row>
    <row r="987" spans="1:59" s="1" customFormat="1" ht="36" x14ac:dyDescent="0.45">
      <c r="A987" s="5">
        <v>986</v>
      </c>
      <c r="B987" s="1" t="s">
        <v>11591</v>
      </c>
      <c r="C987" s="6"/>
      <c r="J987" s="1" t="s">
        <v>7557</v>
      </c>
      <c r="K987" s="2" t="s">
        <v>11666</v>
      </c>
      <c r="P987" s="7" t="s">
        <v>1241</v>
      </c>
      <c r="Q987"/>
      <c r="R987"/>
      <c r="S987"/>
      <c r="T987"/>
      <c r="U987"/>
      <c r="V987"/>
      <c r="W987"/>
      <c r="X987"/>
      <c r="Y987"/>
      <c r="Z987"/>
      <c r="AA987"/>
      <c r="AB987"/>
      <c r="AC987"/>
      <c r="AD987"/>
      <c r="AE987"/>
      <c r="AF987"/>
      <c r="AG987"/>
      <c r="AH987"/>
      <c r="AI987"/>
      <c r="AJ987"/>
      <c r="AK987"/>
      <c r="AL987"/>
      <c r="AM987"/>
      <c r="AN987"/>
      <c r="AO987"/>
      <c r="AP987"/>
      <c r="AQ987"/>
      <c r="AR987"/>
      <c r="AS987"/>
      <c r="AT987"/>
      <c r="AU987"/>
      <c r="AV987" s="1" t="s">
        <v>38</v>
      </c>
      <c r="BG987" s="7" t="s">
        <v>1242</v>
      </c>
    </row>
    <row r="988" spans="1:59" s="1" customFormat="1" ht="90" x14ac:dyDescent="0.45">
      <c r="A988" s="5">
        <v>987</v>
      </c>
      <c r="B988" s="1" t="s">
        <v>11592</v>
      </c>
      <c r="C988" s="6"/>
      <c r="J988" s="1" t="s">
        <v>7557</v>
      </c>
      <c r="K988" s="2" t="s">
        <v>11667</v>
      </c>
      <c r="P988" s="7" t="s">
        <v>1241</v>
      </c>
      <c r="Q988"/>
      <c r="R988"/>
      <c r="S988"/>
      <c r="T988"/>
      <c r="U988"/>
      <c r="V988"/>
      <c r="W988"/>
      <c r="X988"/>
      <c r="Y988"/>
      <c r="Z988"/>
      <c r="AA988"/>
      <c r="AB988"/>
      <c r="AC988"/>
      <c r="AD988"/>
      <c r="AE988"/>
      <c r="AF988"/>
      <c r="AG988"/>
      <c r="AH988"/>
      <c r="AI988"/>
      <c r="AJ988"/>
      <c r="AK988"/>
      <c r="AL988"/>
      <c r="AM988"/>
      <c r="AN988"/>
      <c r="AO988"/>
      <c r="AP988"/>
      <c r="AQ988"/>
      <c r="AR988"/>
      <c r="AS988"/>
      <c r="AT988"/>
      <c r="AU988"/>
      <c r="AV988" s="1" t="s">
        <v>38</v>
      </c>
      <c r="BG988" s="7" t="s">
        <v>1242</v>
      </c>
    </row>
    <row r="989" spans="1:59" s="1" customFormat="1" ht="270" x14ac:dyDescent="0.45">
      <c r="A989" s="5">
        <v>988</v>
      </c>
      <c r="B989" s="1" t="s">
        <v>11593</v>
      </c>
      <c r="C989" s="6"/>
      <c r="J989" s="1" t="s">
        <v>7557</v>
      </c>
      <c r="K989" s="2" t="s">
        <v>11668</v>
      </c>
      <c r="P989" s="7" t="s">
        <v>1241</v>
      </c>
      <c r="Q989"/>
      <c r="R989"/>
      <c r="S989"/>
      <c r="T989"/>
      <c r="U989"/>
      <c r="V989"/>
      <c r="W989"/>
      <c r="X989"/>
      <c r="Y989"/>
      <c r="Z989"/>
      <c r="AA989"/>
      <c r="AB989"/>
      <c r="AC989"/>
      <c r="AD989"/>
      <c r="AE989"/>
      <c r="AF989"/>
      <c r="AG989"/>
      <c r="AH989"/>
      <c r="AI989"/>
      <c r="AJ989"/>
      <c r="AK989"/>
      <c r="AL989"/>
      <c r="AM989"/>
      <c r="AN989"/>
      <c r="AO989"/>
      <c r="AP989"/>
      <c r="AQ989"/>
      <c r="AR989"/>
      <c r="AS989"/>
      <c r="AT989"/>
      <c r="AU989"/>
      <c r="AV989" s="1" t="s">
        <v>38</v>
      </c>
      <c r="BG989" s="7" t="s">
        <v>1242</v>
      </c>
    </row>
    <row r="990" spans="1:59" s="1" customFormat="1" ht="234" x14ac:dyDescent="0.45">
      <c r="A990" s="5">
        <v>989</v>
      </c>
      <c r="B990" s="1" t="s">
        <v>11594</v>
      </c>
      <c r="C990" s="6"/>
      <c r="J990" s="1" t="s">
        <v>7557</v>
      </c>
      <c r="K990" s="11" t="s">
        <v>12067</v>
      </c>
      <c r="P990" s="7" t="s">
        <v>1241</v>
      </c>
      <c r="Q990"/>
      <c r="R990"/>
      <c r="S990"/>
      <c r="T990"/>
      <c r="U990"/>
      <c r="V990"/>
      <c r="W990"/>
      <c r="X990"/>
      <c r="Y990"/>
      <c r="Z990"/>
      <c r="AA990"/>
      <c r="AB990"/>
      <c r="AC990"/>
      <c r="AD990"/>
      <c r="AE990"/>
      <c r="AF990"/>
      <c r="AG990"/>
      <c r="AH990"/>
      <c r="AI990"/>
      <c r="AJ990"/>
      <c r="AK990"/>
      <c r="AL990"/>
      <c r="AM990"/>
      <c r="AN990"/>
      <c r="AO990"/>
      <c r="AP990"/>
      <c r="AQ990"/>
      <c r="AR990"/>
      <c r="AS990"/>
      <c r="AT990"/>
      <c r="AU990"/>
      <c r="AV990" s="1" t="s">
        <v>38</v>
      </c>
      <c r="BG990" s="7" t="s">
        <v>1242</v>
      </c>
    </row>
    <row r="991" spans="1:59" s="1" customFormat="1" ht="54" x14ac:dyDescent="0.45">
      <c r="A991" s="5">
        <v>990</v>
      </c>
      <c r="B991" s="1" t="s">
        <v>11595</v>
      </c>
      <c r="C991" s="6"/>
      <c r="J991" s="1" t="s">
        <v>7557</v>
      </c>
      <c r="K991" s="2" t="s">
        <v>11669</v>
      </c>
      <c r="P991" s="7" t="s">
        <v>1241</v>
      </c>
      <c r="Q991"/>
      <c r="R991"/>
      <c r="S991"/>
      <c r="T991"/>
      <c r="U991"/>
      <c r="V991"/>
      <c r="W991"/>
      <c r="X991"/>
      <c r="Y991"/>
      <c r="Z991"/>
      <c r="AA991"/>
      <c r="AB991"/>
      <c r="AC991"/>
      <c r="AD991"/>
      <c r="AE991"/>
      <c r="AF991"/>
      <c r="AG991"/>
      <c r="AH991"/>
      <c r="AI991"/>
      <c r="AJ991"/>
      <c r="AK991"/>
      <c r="AL991"/>
      <c r="AM991"/>
      <c r="AN991"/>
      <c r="AO991"/>
      <c r="AP991"/>
      <c r="AQ991"/>
      <c r="AR991"/>
      <c r="AS991"/>
      <c r="AT991"/>
      <c r="AU991"/>
      <c r="AV991" s="1" t="s">
        <v>38</v>
      </c>
      <c r="BG991" s="7" t="s">
        <v>1242</v>
      </c>
    </row>
    <row r="992" spans="1:59" s="1" customFormat="1" ht="72" x14ac:dyDescent="0.45">
      <c r="A992" s="5">
        <v>991</v>
      </c>
      <c r="B992" s="1" t="s">
        <v>11596</v>
      </c>
      <c r="C992" s="6"/>
      <c r="J992" s="1" t="s">
        <v>7557</v>
      </c>
      <c r="K992" s="2" t="s">
        <v>11670</v>
      </c>
      <c r="P992" s="7" t="s">
        <v>1241</v>
      </c>
      <c r="Q992"/>
      <c r="R992"/>
      <c r="S992"/>
      <c r="T992"/>
      <c r="U992"/>
      <c r="V992"/>
      <c r="W992"/>
      <c r="X992"/>
      <c r="Y992"/>
      <c r="Z992"/>
      <c r="AA992"/>
      <c r="AB992"/>
      <c r="AC992"/>
      <c r="AD992"/>
      <c r="AE992"/>
      <c r="AF992"/>
      <c r="AG992"/>
      <c r="AH992"/>
      <c r="AI992"/>
      <c r="AJ992"/>
      <c r="AK992"/>
      <c r="AL992"/>
      <c r="AM992"/>
      <c r="AN992"/>
      <c r="AO992"/>
      <c r="AP992"/>
      <c r="AQ992"/>
      <c r="AR992"/>
      <c r="AS992"/>
      <c r="AT992"/>
      <c r="AU992"/>
      <c r="AV992" s="1" t="s">
        <v>38</v>
      </c>
      <c r="BG992" s="7" t="s">
        <v>1242</v>
      </c>
    </row>
    <row r="993" spans="1:59" s="1" customFormat="1" ht="144" x14ac:dyDescent="0.45">
      <c r="A993" s="5">
        <v>992</v>
      </c>
      <c r="B993" s="1" t="s">
        <v>11597</v>
      </c>
      <c r="C993" s="6"/>
      <c r="J993" s="1" t="s">
        <v>7557</v>
      </c>
      <c r="K993" s="11" t="s">
        <v>12068</v>
      </c>
      <c r="P993" s="7" t="s">
        <v>1241</v>
      </c>
      <c r="Q993"/>
      <c r="R993"/>
      <c r="S993"/>
      <c r="T993"/>
      <c r="U993"/>
      <c r="V993"/>
      <c r="W993"/>
      <c r="X993"/>
      <c r="Y993"/>
      <c r="Z993"/>
      <c r="AA993"/>
      <c r="AB993"/>
      <c r="AC993"/>
      <c r="AD993"/>
      <c r="AE993"/>
      <c r="AF993"/>
      <c r="AG993"/>
      <c r="AH993"/>
      <c r="AI993"/>
      <c r="AJ993"/>
      <c r="AK993"/>
      <c r="AL993"/>
      <c r="AM993"/>
      <c r="AN993"/>
      <c r="AO993"/>
      <c r="AP993"/>
      <c r="AQ993"/>
      <c r="AR993"/>
      <c r="AS993"/>
      <c r="AT993"/>
      <c r="AU993"/>
      <c r="AV993" s="1" t="s">
        <v>38</v>
      </c>
      <c r="BG993" s="7" t="s">
        <v>1242</v>
      </c>
    </row>
    <row r="994" spans="1:59" s="1" customFormat="1" ht="72" x14ac:dyDescent="0.45">
      <c r="A994" s="5">
        <v>993</v>
      </c>
      <c r="B994" s="1" t="s">
        <v>11671</v>
      </c>
      <c r="C994" s="6"/>
      <c r="J994" s="1" t="s">
        <v>7557</v>
      </c>
      <c r="K994" s="2" t="s">
        <v>11672</v>
      </c>
      <c r="P994" s="7" t="s">
        <v>1241</v>
      </c>
      <c r="Q994"/>
      <c r="R994"/>
      <c r="S994"/>
      <c r="T994"/>
      <c r="U994"/>
      <c r="V994"/>
      <c r="W994"/>
      <c r="X994"/>
      <c r="Y994"/>
      <c r="Z994"/>
      <c r="AA994"/>
      <c r="AB994"/>
      <c r="AC994"/>
      <c r="AD994"/>
      <c r="AE994"/>
      <c r="AF994"/>
      <c r="AG994"/>
      <c r="AH994"/>
      <c r="AI994"/>
      <c r="AJ994"/>
      <c r="AK994"/>
      <c r="AL994"/>
      <c r="AM994"/>
      <c r="AN994"/>
      <c r="AO994"/>
      <c r="AP994"/>
      <c r="AQ994"/>
      <c r="AR994"/>
      <c r="AS994"/>
      <c r="AT994"/>
      <c r="AU994"/>
      <c r="AV994" s="1" t="s">
        <v>38</v>
      </c>
      <c r="BG994" s="7" t="s">
        <v>1242</v>
      </c>
    </row>
    <row r="995" spans="1:59" s="1" customFormat="1" ht="54" x14ac:dyDescent="0.45">
      <c r="A995" s="5">
        <v>994</v>
      </c>
      <c r="B995" s="1" t="s">
        <v>11598</v>
      </c>
      <c r="C995" s="6"/>
      <c r="J995" s="1" t="s">
        <v>7557</v>
      </c>
      <c r="K995" s="2" t="s">
        <v>11673</v>
      </c>
      <c r="P995" s="7" t="s">
        <v>1241</v>
      </c>
      <c r="Q995"/>
      <c r="R995"/>
      <c r="S995"/>
      <c r="T995"/>
      <c r="U995"/>
      <c r="V995"/>
      <c r="W995"/>
      <c r="X995"/>
      <c r="Y995"/>
      <c r="Z995"/>
      <c r="AA995"/>
      <c r="AB995"/>
      <c r="AC995"/>
      <c r="AD995"/>
      <c r="AE995"/>
      <c r="AF995"/>
      <c r="AG995"/>
      <c r="AH995"/>
      <c r="AI995"/>
      <c r="AJ995"/>
      <c r="AK995"/>
      <c r="AL995"/>
      <c r="AM995"/>
      <c r="AN995"/>
      <c r="AO995"/>
      <c r="AP995"/>
      <c r="AQ995"/>
      <c r="AR995"/>
      <c r="AS995"/>
      <c r="AT995"/>
      <c r="AU995"/>
      <c r="AV995" s="1" t="s">
        <v>38</v>
      </c>
      <c r="BG995" s="7" t="s">
        <v>1242</v>
      </c>
    </row>
    <row r="996" spans="1:59" s="1" customFormat="1" ht="54" x14ac:dyDescent="0.45">
      <c r="A996" s="5">
        <v>995</v>
      </c>
      <c r="B996" s="1" t="s">
        <v>11599</v>
      </c>
      <c r="C996" s="6"/>
      <c r="J996" s="1" t="s">
        <v>7557</v>
      </c>
      <c r="K996" s="2" t="s">
        <v>11674</v>
      </c>
      <c r="P996" s="7" t="s">
        <v>1241</v>
      </c>
      <c r="Q996"/>
      <c r="R996"/>
      <c r="S996"/>
      <c r="T996"/>
      <c r="U996"/>
      <c r="V996"/>
      <c r="W996"/>
      <c r="X996"/>
      <c r="Y996"/>
      <c r="Z996"/>
      <c r="AA996"/>
      <c r="AB996"/>
      <c r="AC996"/>
      <c r="AD996"/>
      <c r="AE996"/>
      <c r="AF996"/>
      <c r="AG996"/>
      <c r="AH996"/>
      <c r="AI996"/>
      <c r="AJ996"/>
      <c r="AK996"/>
      <c r="AL996"/>
      <c r="AM996"/>
      <c r="AN996"/>
      <c r="AO996"/>
      <c r="AP996"/>
      <c r="AQ996"/>
      <c r="AR996"/>
      <c r="AS996"/>
      <c r="AT996"/>
      <c r="AU996"/>
      <c r="AV996" s="1" t="s">
        <v>38</v>
      </c>
      <c r="BG996" s="7" t="s">
        <v>1242</v>
      </c>
    </row>
    <row r="997" spans="1:59" s="1" customFormat="1" ht="144" x14ac:dyDescent="0.45">
      <c r="A997" s="5">
        <v>996</v>
      </c>
      <c r="B997" s="1" t="s">
        <v>11600</v>
      </c>
      <c r="C997" s="6"/>
      <c r="J997" s="1" t="s">
        <v>7557</v>
      </c>
      <c r="K997" s="11" t="s">
        <v>12069</v>
      </c>
      <c r="P997" s="7" t="s">
        <v>1241</v>
      </c>
      <c r="Q997"/>
      <c r="R997"/>
      <c r="S997"/>
      <c r="T997"/>
      <c r="U997"/>
      <c r="V997"/>
      <c r="W997"/>
      <c r="X997"/>
      <c r="Y997"/>
      <c r="Z997"/>
      <c r="AA997"/>
      <c r="AB997"/>
      <c r="AC997"/>
      <c r="AD997"/>
      <c r="AE997"/>
      <c r="AF997"/>
      <c r="AG997"/>
      <c r="AH997"/>
      <c r="AI997"/>
      <c r="AJ997"/>
      <c r="AK997"/>
      <c r="AL997"/>
      <c r="AM997"/>
      <c r="AN997"/>
      <c r="AO997"/>
      <c r="AP997"/>
      <c r="AQ997"/>
      <c r="AR997"/>
      <c r="AS997"/>
      <c r="AT997"/>
      <c r="AU997"/>
      <c r="AV997" s="1" t="s">
        <v>38</v>
      </c>
      <c r="BG997" s="7" t="s">
        <v>1242</v>
      </c>
    </row>
    <row r="998" spans="1:59" s="1" customFormat="1" ht="144" x14ac:dyDescent="0.45">
      <c r="A998" s="5">
        <v>997</v>
      </c>
      <c r="B998" s="1" t="s">
        <v>11601</v>
      </c>
      <c r="C998" s="6"/>
      <c r="J998" s="1" t="s">
        <v>7557</v>
      </c>
      <c r="K998" s="11" t="s">
        <v>12070</v>
      </c>
      <c r="P998" s="7" t="s">
        <v>1241</v>
      </c>
      <c r="Q998"/>
      <c r="R998"/>
      <c r="S998"/>
      <c r="T998"/>
      <c r="U998"/>
      <c r="V998"/>
      <c r="W998"/>
      <c r="X998"/>
      <c r="Y998"/>
      <c r="Z998"/>
      <c r="AA998"/>
      <c r="AB998"/>
      <c r="AC998"/>
      <c r="AD998"/>
      <c r="AE998"/>
      <c r="AF998"/>
      <c r="AG998"/>
      <c r="AH998"/>
      <c r="AI998"/>
      <c r="AJ998"/>
      <c r="AK998"/>
      <c r="AL998"/>
      <c r="AM998"/>
      <c r="AN998"/>
      <c r="AO998"/>
      <c r="AP998"/>
      <c r="AQ998"/>
      <c r="AR998"/>
      <c r="AS998"/>
      <c r="AT998"/>
      <c r="AU998"/>
      <c r="AV998" s="1" t="s">
        <v>38</v>
      </c>
      <c r="BG998" s="7" t="s">
        <v>1242</v>
      </c>
    </row>
    <row r="999" spans="1:59" s="1" customFormat="1" ht="342" x14ac:dyDescent="0.45">
      <c r="A999" s="5">
        <v>998</v>
      </c>
      <c r="B999" s="1" t="s">
        <v>11602</v>
      </c>
      <c r="C999" s="6"/>
      <c r="J999" s="1" t="s">
        <v>7557</v>
      </c>
      <c r="K999" s="11" t="s">
        <v>12230</v>
      </c>
      <c r="P999" s="7" t="s">
        <v>1241</v>
      </c>
      <c r="Q999"/>
      <c r="R999"/>
      <c r="S999"/>
      <c r="T999"/>
      <c r="U999"/>
      <c r="V999"/>
      <c r="W999"/>
      <c r="X999"/>
      <c r="Y999"/>
      <c r="Z999"/>
      <c r="AA999"/>
      <c r="AB999"/>
      <c r="AC999"/>
      <c r="AD999"/>
      <c r="AE999"/>
      <c r="AF999"/>
      <c r="AG999"/>
      <c r="AH999"/>
      <c r="AI999"/>
      <c r="AJ999"/>
      <c r="AK999"/>
      <c r="AL999"/>
      <c r="AM999"/>
      <c r="AN999"/>
      <c r="AO999"/>
      <c r="AP999"/>
      <c r="AQ999"/>
      <c r="AR999"/>
      <c r="AS999"/>
      <c r="AT999"/>
      <c r="AU999"/>
      <c r="AV999" s="1" t="s">
        <v>38</v>
      </c>
      <c r="BG999" s="7" t="s">
        <v>1242</v>
      </c>
    </row>
    <row r="1000" spans="1:59" s="1" customFormat="1" ht="360" x14ac:dyDescent="0.45">
      <c r="A1000" s="5">
        <v>999</v>
      </c>
      <c r="B1000" s="1" t="s">
        <v>11675</v>
      </c>
      <c r="C1000" s="6"/>
      <c r="J1000" s="1" t="s">
        <v>7557</v>
      </c>
      <c r="K1000" s="11" t="s">
        <v>12071</v>
      </c>
      <c r="P1000" s="7" t="s">
        <v>1241</v>
      </c>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s="1" t="s">
        <v>38</v>
      </c>
      <c r="BG1000" s="7" t="s">
        <v>1242</v>
      </c>
    </row>
    <row r="1001" spans="1:59" s="1" customFormat="1" ht="288" x14ac:dyDescent="0.45">
      <c r="A1001" s="5">
        <v>1000</v>
      </c>
      <c r="B1001" s="1" t="s">
        <v>11603</v>
      </c>
      <c r="C1001" s="6"/>
      <c r="J1001" s="1" t="s">
        <v>7557</v>
      </c>
      <c r="K1001" s="11" t="s">
        <v>12231</v>
      </c>
      <c r="P1001" s="7" t="s">
        <v>1241</v>
      </c>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s="1" t="s">
        <v>38</v>
      </c>
      <c r="BG1001" s="7" t="s">
        <v>1242</v>
      </c>
    </row>
    <row r="1002" spans="1:59" x14ac:dyDescent="0.45">
      <c r="A1002" s="5"/>
    </row>
    <row r="1003" spans="1:59" x14ac:dyDescent="0.45">
      <c r="A1003" s="5"/>
    </row>
    <row r="1004" spans="1:59" x14ac:dyDescent="0.45">
      <c r="A1004" s="5"/>
    </row>
    <row r="1005" spans="1:59" x14ac:dyDescent="0.45">
      <c r="A1005" s="5"/>
    </row>
    <row r="1006" spans="1:59" x14ac:dyDescent="0.45">
      <c r="A1006" s="5"/>
    </row>
    <row r="1007" spans="1:59" x14ac:dyDescent="0.45">
      <c r="A1007" s="5"/>
    </row>
    <row r="1008" spans="1:59" x14ac:dyDescent="0.45">
      <c r="A1008" s="5"/>
    </row>
    <row r="1009" spans="1:1" x14ac:dyDescent="0.45">
      <c r="A1009" s="5"/>
    </row>
    <row r="1010" spans="1:1" x14ac:dyDescent="0.45">
      <c r="A1010" s="5"/>
    </row>
    <row r="1011" spans="1:1" x14ac:dyDescent="0.45">
      <c r="A1011" s="5"/>
    </row>
    <row r="1012" spans="1:1" x14ac:dyDescent="0.45">
      <c r="A1012" s="5"/>
    </row>
    <row r="1013" spans="1:1" x14ac:dyDescent="0.45">
      <c r="A1013" s="5"/>
    </row>
    <row r="1014" spans="1:1" x14ac:dyDescent="0.45">
      <c r="A1014" s="5"/>
    </row>
    <row r="1015" spans="1:1" x14ac:dyDescent="0.45">
      <c r="A1015" s="5"/>
    </row>
    <row r="1016" spans="1:1" x14ac:dyDescent="0.45">
      <c r="A1016" s="5"/>
    </row>
    <row r="1017" spans="1:1" x14ac:dyDescent="0.45">
      <c r="A1017" s="5"/>
    </row>
    <row r="1018" spans="1:1" x14ac:dyDescent="0.45">
      <c r="A1018" s="5"/>
    </row>
    <row r="1019" spans="1:1" x14ac:dyDescent="0.45">
      <c r="A1019" s="5"/>
    </row>
    <row r="1020" spans="1:1" x14ac:dyDescent="0.45">
      <c r="A1020" s="5"/>
    </row>
    <row r="1021" spans="1:1" x14ac:dyDescent="0.45">
      <c r="A1021" s="5"/>
    </row>
    <row r="1022" spans="1:1" x14ac:dyDescent="0.45">
      <c r="A1022" s="5"/>
    </row>
    <row r="1023" spans="1:1" x14ac:dyDescent="0.45">
      <c r="A1023" s="5"/>
    </row>
    <row r="1024" spans="1:1" x14ac:dyDescent="0.45">
      <c r="A1024" s="5"/>
    </row>
    <row r="1025" spans="1:1" x14ac:dyDescent="0.45">
      <c r="A1025" s="5"/>
    </row>
    <row r="1026" spans="1:1" x14ac:dyDescent="0.45">
      <c r="A1026" s="5"/>
    </row>
    <row r="1027" spans="1:1" x14ac:dyDescent="0.45">
      <c r="A1027" s="5"/>
    </row>
    <row r="1028" spans="1:1" x14ac:dyDescent="0.45">
      <c r="A1028" s="5"/>
    </row>
    <row r="1029" spans="1:1" x14ac:dyDescent="0.45">
      <c r="A1029" s="5"/>
    </row>
    <row r="1030" spans="1:1" x14ac:dyDescent="0.45">
      <c r="A1030" s="5"/>
    </row>
    <row r="1031" spans="1:1" x14ac:dyDescent="0.45">
      <c r="A1031" s="5"/>
    </row>
    <row r="1032" spans="1:1" x14ac:dyDescent="0.45">
      <c r="A1032" s="5"/>
    </row>
    <row r="1033" spans="1:1" x14ac:dyDescent="0.45">
      <c r="A1033" s="5"/>
    </row>
    <row r="1034" spans="1:1" x14ac:dyDescent="0.45">
      <c r="A1034" s="5"/>
    </row>
    <row r="1035" spans="1:1" x14ac:dyDescent="0.45">
      <c r="A1035" s="5"/>
    </row>
    <row r="1036" spans="1:1" x14ac:dyDescent="0.45">
      <c r="A1036" s="5"/>
    </row>
    <row r="1037" spans="1:1" x14ac:dyDescent="0.45">
      <c r="A1037" s="5"/>
    </row>
    <row r="1038" spans="1:1" x14ac:dyDescent="0.45">
      <c r="A1038" s="5"/>
    </row>
    <row r="1039" spans="1:1" x14ac:dyDescent="0.45">
      <c r="A1039" s="5"/>
    </row>
    <row r="1040" spans="1:1" x14ac:dyDescent="0.45">
      <c r="A1040" s="5"/>
    </row>
    <row r="1041" spans="1:1" x14ac:dyDescent="0.45">
      <c r="A1041" s="5"/>
    </row>
    <row r="1042" spans="1:1" x14ac:dyDescent="0.45">
      <c r="A1042" s="5"/>
    </row>
    <row r="1043" spans="1:1" x14ac:dyDescent="0.45">
      <c r="A1043" s="5"/>
    </row>
    <row r="1044" spans="1:1" x14ac:dyDescent="0.45">
      <c r="A1044" s="5"/>
    </row>
    <row r="1045" spans="1:1" x14ac:dyDescent="0.45">
      <c r="A1045" s="5"/>
    </row>
    <row r="1046" spans="1:1" x14ac:dyDescent="0.45">
      <c r="A1046" s="5"/>
    </row>
    <row r="1047" spans="1:1" x14ac:dyDescent="0.45">
      <c r="A1047" s="5"/>
    </row>
    <row r="1048" spans="1:1" x14ac:dyDescent="0.45">
      <c r="A1048" s="5"/>
    </row>
    <row r="1049" spans="1:1" x14ac:dyDescent="0.45">
      <c r="A1049" s="5"/>
    </row>
    <row r="1050" spans="1:1" x14ac:dyDescent="0.45">
      <c r="A1050" s="5"/>
    </row>
    <row r="1051" spans="1:1" x14ac:dyDescent="0.45">
      <c r="A1051" s="5"/>
    </row>
    <row r="1052" spans="1:1" x14ac:dyDescent="0.45">
      <c r="A1052" s="5"/>
    </row>
    <row r="1053" spans="1:1" x14ac:dyDescent="0.45">
      <c r="A1053" s="5"/>
    </row>
    <row r="1054" spans="1:1" x14ac:dyDescent="0.45">
      <c r="A1054" s="5"/>
    </row>
    <row r="1055" spans="1:1" x14ac:dyDescent="0.45">
      <c r="A1055" s="5"/>
    </row>
    <row r="1056" spans="1:1" x14ac:dyDescent="0.45">
      <c r="A1056" s="5"/>
    </row>
    <row r="1057" spans="1:1" x14ac:dyDescent="0.45">
      <c r="A1057" s="5"/>
    </row>
    <row r="1058" spans="1:1" x14ac:dyDescent="0.45">
      <c r="A1058" s="5"/>
    </row>
    <row r="1059" spans="1:1" x14ac:dyDescent="0.45">
      <c r="A1059" s="5"/>
    </row>
    <row r="1060" spans="1:1" x14ac:dyDescent="0.45">
      <c r="A1060" s="5"/>
    </row>
    <row r="1061" spans="1:1" x14ac:dyDescent="0.45">
      <c r="A1061" s="5"/>
    </row>
    <row r="1062" spans="1:1" x14ac:dyDescent="0.45">
      <c r="A1062" s="5"/>
    </row>
    <row r="1063" spans="1:1" x14ac:dyDescent="0.45">
      <c r="A1063" s="5"/>
    </row>
    <row r="1064" spans="1:1" x14ac:dyDescent="0.45">
      <c r="A1064" s="5"/>
    </row>
    <row r="1065" spans="1:1" x14ac:dyDescent="0.45">
      <c r="A1065" s="5"/>
    </row>
    <row r="1066" spans="1:1" x14ac:dyDescent="0.45">
      <c r="A1066" s="5"/>
    </row>
    <row r="1067" spans="1:1" x14ac:dyDescent="0.45">
      <c r="A1067" s="5"/>
    </row>
    <row r="1068" spans="1:1" x14ac:dyDescent="0.45">
      <c r="A1068" s="5"/>
    </row>
    <row r="1069" spans="1:1" x14ac:dyDescent="0.45">
      <c r="A1069" s="5"/>
    </row>
    <row r="1070" spans="1:1" x14ac:dyDescent="0.45">
      <c r="A1070" s="5"/>
    </row>
    <row r="1071" spans="1:1" x14ac:dyDescent="0.45">
      <c r="A1071" s="5"/>
    </row>
    <row r="1072" spans="1:1" x14ac:dyDescent="0.45">
      <c r="A1072" s="5"/>
    </row>
    <row r="1073" spans="1:1" x14ac:dyDescent="0.45">
      <c r="A1073" s="5"/>
    </row>
    <row r="1074" spans="1:1" x14ac:dyDescent="0.45">
      <c r="A1074" s="5"/>
    </row>
    <row r="1075" spans="1:1" x14ac:dyDescent="0.45">
      <c r="A1075" s="5"/>
    </row>
    <row r="1076" spans="1:1" x14ac:dyDescent="0.45">
      <c r="A1076" s="5"/>
    </row>
    <row r="1077" spans="1:1" x14ac:dyDescent="0.45">
      <c r="A1077" s="5"/>
    </row>
    <row r="1078" spans="1:1" x14ac:dyDescent="0.45">
      <c r="A1078" s="5"/>
    </row>
    <row r="1079" spans="1:1" x14ac:dyDescent="0.45">
      <c r="A1079" s="5"/>
    </row>
    <row r="1080" spans="1:1" x14ac:dyDescent="0.45">
      <c r="A1080" s="5"/>
    </row>
    <row r="1081" spans="1:1" x14ac:dyDescent="0.45">
      <c r="A1081" s="5"/>
    </row>
    <row r="1082" spans="1:1" x14ac:dyDescent="0.45">
      <c r="A1082" s="5"/>
    </row>
    <row r="1083" spans="1:1" x14ac:dyDescent="0.45">
      <c r="A1083" s="5"/>
    </row>
    <row r="1084" spans="1:1" x14ac:dyDescent="0.45">
      <c r="A1084" s="5"/>
    </row>
    <row r="1085" spans="1:1" x14ac:dyDescent="0.45">
      <c r="A1085" s="5"/>
    </row>
    <row r="1086" spans="1:1" x14ac:dyDescent="0.45">
      <c r="A1086" s="5"/>
    </row>
    <row r="1087" spans="1:1" x14ac:dyDescent="0.45">
      <c r="A1087" s="5"/>
    </row>
    <row r="1088" spans="1:1" x14ac:dyDescent="0.45">
      <c r="A1088" s="5"/>
    </row>
    <row r="1089" spans="1:1" x14ac:dyDescent="0.45">
      <c r="A1089" s="5"/>
    </row>
    <row r="1090" spans="1:1" x14ac:dyDescent="0.45">
      <c r="A1090" s="5"/>
    </row>
    <row r="1091" spans="1:1" x14ac:dyDescent="0.45">
      <c r="A1091" s="5"/>
    </row>
    <row r="1092" spans="1:1" x14ac:dyDescent="0.45">
      <c r="A1092" s="5"/>
    </row>
    <row r="1093" spans="1:1" x14ac:dyDescent="0.45">
      <c r="A1093" s="5"/>
    </row>
    <row r="1094" spans="1:1" x14ac:dyDescent="0.45">
      <c r="A1094" s="5"/>
    </row>
    <row r="1095" spans="1:1" x14ac:dyDescent="0.45">
      <c r="A1095" s="5"/>
    </row>
    <row r="1096" spans="1:1" x14ac:dyDescent="0.45">
      <c r="A1096" s="5"/>
    </row>
    <row r="1097" spans="1:1" x14ac:dyDescent="0.45">
      <c r="A1097" s="5"/>
    </row>
    <row r="1098" spans="1:1" x14ac:dyDescent="0.45">
      <c r="A1098" s="5"/>
    </row>
    <row r="1099" spans="1:1" x14ac:dyDescent="0.45">
      <c r="A1099" s="5"/>
    </row>
    <row r="1100" spans="1:1" x14ac:dyDescent="0.45">
      <c r="A1100" s="5"/>
    </row>
    <row r="1101" spans="1:1" x14ac:dyDescent="0.45">
      <c r="A1101" s="5"/>
    </row>
    <row r="1102" spans="1:1" x14ac:dyDescent="0.45">
      <c r="A1102" s="5"/>
    </row>
    <row r="1103" spans="1:1" x14ac:dyDescent="0.45">
      <c r="A1103" s="5"/>
    </row>
    <row r="1104" spans="1:1" x14ac:dyDescent="0.45">
      <c r="A1104" s="5"/>
    </row>
    <row r="1105" spans="1:1" x14ac:dyDescent="0.45">
      <c r="A1105" s="5"/>
    </row>
    <row r="1106" spans="1:1" x14ac:dyDescent="0.45">
      <c r="A1106" s="5"/>
    </row>
    <row r="1107" spans="1:1" x14ac:dyDescent="0.45">
      <c r="A1107" s="5"/>
    </row>
    <row r="1108" spans="1:1" x14ac:dyDescent="0.45">
      <c r="A1108" s="5"/>
    </row>
    <row r="1109" spans="1:1" x14ac:dyDescent="0.45">
      <c r="A1109" s="5"/>
    </row>
    <row r="1110" spans="1:1" x14ac:dyDescent="0.45">
      <c r="A1110" s="5"/>
    </row>
    <row r="1111" spans="1:1" x14ac:dyDescent="0.45">
      <c r="A1111" s="5"/>
    </row>
    <row r="1112" spans="1:1" x14ac:dyDescent="0.45">
      <c r="A1112" s="5"/>
    </row>
    <row r="1113" spans="1:1" x14ac:dyDescent="0.45">
      <c r="A1113" s="5"/>
    </row>
    <row r="1114" spans="1:1" x14ac:dyDescent="0.45">
      <c r="A1114" s="5"/>
    </row>
    <row r="1115" spans="1:1" x14ac:dyDescent="0.45">
      <c r="A1115" s="5"/>
    </row>
    <row r="1116" spans="1:1" x14ac:dyDescent="0.45">
      <c r="A1116" s="5"/>
    </row>
    <row r="1117" spans="1:1" x14ac:dyDescent="0.45">
      <c r="A1117" s="5"/>
    </row>
    <row r="1118" spans="1:1" x14ac:dyDescent="0.45">
      <c r="A1118" s="5"/>
    </row>
    <row r="1119" spans="1:1" x14ac:dyDescent="0.45">
      <c r="A1119" s="5"/>
    </row>
    <row r="1120" spans="1:1" x14ac:dyDescent="0.45">
      <c r="A1120" s="5"/>
    </row>
    <row r="1121" spans="1:1" x14ac:dyDescent="0.45">
      <c r="A1121" s="5"/>
    </row>
    <row r="1122" spans="1:1" x14ac:dyDescent="0.45">
      <c r="A1122" s="5"/>
    </row>
    <row r="1123" spans="1:1" x14ac:dyDescent="0.45">
      <c r="A1123" s="5"/>
    </row>
    <row r="1124" spans="1:1" x14ac:dyDescent="0.45">
      <c r="A1124" s="5"/>
    </row>
    <row r="1125" spans="1:1" x14ac:dyDescent="0.45">
      <c r="A1125" s="5"/>
    </row>
    <row r="1126" spans="1:1" x14ac:dyDescent="0.45">
      <c r="A1126" s="5"/>
    </row>
    <row r="1127" spans="1:1" x14ac:dyDescent="0.45">
      <c r="A1127" s="5"/>
    </row>
    <row r="1128" spans="1:1" x14ac:dyDescent="0.45">
      <c r="A1128" s="5"/>
    </row>
    <row r="1129" spans="1:1" x14ac:dyDescent="0.45">
      <c r="A1129" s="5"/>
    </row>
    <row r="1130" spans="1:1" x14ac:dyDescent="0.45">
      <c r="A1130" s="5"/>
    </row>
    <row r="1131" spans="1:1" x14ac:dyDescent="0.45">
      <c r="A1131" s="5"/>
    </row>
    <row r="1132" spans="1:1" x14ac:dyDescent="0.45">
      <c r="A1132" s="5"/>
    </row>
    <row r="1133" spans="1:1" x14ac:dyDescent="0.45">
      <c r="A1133" s="5"/>
    </row>
    <row r="1134" spans="1:1" x14ac:dyDescent="0.45">
      <c r="A1134" s="5"/>
    </row>
    <row r="1135" spans="1:1" x14ac:dyDescent="0.45">
      <c r="A1135" s="5"/>
    </row>
    <row r="1136" spans="1:1" x14ac:dyDescent="0.45">
      <c r="A1136" s="5"/>
    </row>
    <row r="1137" spans="1:1" x14ac:dyDescent="0.45">
      <c r="A1137" s="5"/>
    </row>
    <row r="1138" spans="1:1" x14ac:dyDescent="0.45">
      <c r="A1138" s="5"/>
    </row>
    <row r="1139" spans="1:1" x14ac:dyDescent="0.45">
      <c r="A1139" s="5"/>
    </row>
    <row r="1140" spans="1:1" x14ac:dyDescent="0.45">
      <c r="A1140" s="5"/>
    </row>
    <row r="1141" spans="1:1" x14ac:dyDescent="0.45">
      <c r="A1141" s="5"/>
    </row>
    <row r="1142" spans="1:1" x14ac:dyDescent="0.45">
      <c r="A1142" s="5"/>
    </row>
    <row r="1143" spans="1:1" x14ac:dyDescent="0.45">
      <c r="A1143" s="5"/>
    </row>
    <row r="1144" spans="1:1" x14ac:dyDescent="0.45">
      <c r="A1144" s="5"/>
    </row>
    <row r="1145" spans="1:1" x14ac:dyDescent="0.45">
      <c r="A1145" s="5"/>
    </row>
    <row r="1146" spans="1:1" x14ac:dyDescent="0.45">
      <c r="A1146" s="5"/>
    </row>
    <row r="1147" spans="1:1" x14ac:dyDescent="0.45">
      <c r="A1147" s="5"/>
    </row>
    <row r="1148" spans="1:1" x14ac:dyDescent="0.45">
      <c r="A1148" s="5"/>
    </row>
    <row r="1149" spans="1:1" x14ac:dyDescent="0.45">
      <c r="A1149" s="5"/>
    </row>
    <row r="1150" spans="1:1" x14ac:dyDescent="0.45">
      <c r="A1150" s="5"/>
    </row>
    <row r="1151" spans="1:1" x14ac:dyDescent="0.45">
      <c r="A1151" s="5"/>
    </row>
    <row r="1152" spans="1:1" x14ac:dyDescent="0.45">
      <c r="A1152" s="5"/>
    </row>
    <row r="1153" spans="1:1" x14ac:dyDescent="0.45">
      <c r="A1153" s="5"/>
    </row>
    <row r="1154" spans="1:1" x14ac:dyDescent="0.45">
      <c r="A1154" s="5"/>
    </row>
    <row r="1155" spans="1:1" x14ac:dyDescent="0.45">
      <c r="A1155" s="5"/>
    </row>
    <row r="1156" spans="1:1" x14ac:dyDescent="0.45">
      <c r="A1156" s="5"/>
    </row>
    <row r="1157" spans="1:1" x14ac:dyDescent="0.45">
      <c r="A1157" s="5"/>
    </row>
    <row r="1158" spans="1:1" x14ac:dyDescent="0.45">
      <c r="A1158" s="5"/>
    </row>
    <row r="1159" spans="1:1" x14ac:dyDescent="0.45">
      <c r="A1159" s="5"/>
    </row>
    <row r="1160" spans="1:1" x14ac:dyDescent="0.45">
      <c r="A1160" s="5"/>
    </row>
    <row r="1161" spans="1:1" x14ac:dyDescent="0.45">
      <c r="A1161" s="5"/>
    </row>
    <row r="1162" spans="1:1" x14ac:dyDescent="0.45">
      <c r="A1162" s="5"/>
    </row>
    <row r="1163" spans="1:1" x14ac:dyDescent="0.45">
      <c r="A1163" s="5"/>
    </row>
    <row r="1164" spans="1:1" x14ac:dyDescent="0.45">
      <c r="A1164" s="5"/>
    </row>
    <row r="1165" spans="1:1" x14ac:dyDescent="0.45">
      <c r="A1165" s="5"/>
    </row>
    <row r="1166" spans="1:1" x14ac:dyDescent="0.45">
      <c r="A1166" s="5"/>
    </row>
    <row r="1167" spans="1:1" x14ac:dyDescent="0.45">
      <c r="A1167" s="5"/>
    </row>
    <row r="1168" spans="1:1" x14ac:dyDescent="0.45">
      <c r="A1168" s="5"/>
    </row>
    <row r="1169" spans="1:1" x14ac:dyDescent="0.45">
      <c r="A1169" s="5"/>
    </row>
    <row r="1170" spans="1:1" x14ac:dyDescent="0.45">
      <c r="A1170" s="5"/>
    </row>
    <row r="1171" spans="1:1" x14ac:dyDescent="0.45">
      <c r="A1171" s="5"/>
    </row>
    <row r="1172" spans="1:1" x14ac:dyDescent="0.45">
      <c r="A1172" s="5"/>
    </row>
    <row r="1173" spans="1:1" x14ac:dyDescent="0.45">
      <c r="A1173" s="5"/>
    </row>
    <row r="1174" spans="1:1" x14ac:dyDescent="0.45">
      <c r="A1174" s="5"/>
    </row>
    <row r="1175" spans="1:1" x14ac:dyDescent="0.45">
      <c r="A1175" s="5"/>
    </row>
    <row r="1176" spans="1:1" x14ac:dyDescent="0.45">
      <c r="A1176" s="5"/>
    </row>
    <row r="1177" spans="1:1" x14ac:dyDescent="0.45">
      <c r="A1177" s="5"/>
    </row>
    <row r="1178" spans="1:1" x14ac:dyDescent="0.45">
      <c r="A1178" s="5"/>
    </row>
    <row r="1179" spans="1:1" x14ac:dyDescent="0.45">
      <c r="A1179" s="5"/>
    </row>
    <row r="1180" spans="1:1" x14ac:dyDescent="0.45">
      <c r="A1180" s="5"/>
    </row>
    <row r="1181" spans="1:1" x14ac:dyDescent="0.45">
      <c r="A1181" s="5"/>
    </row>
    <row r="1182" spans="1:1" x14ac:dyDescent="0.45">
      <c r="A1182" s="5"/>
    </row>
    <row r="1183" spans="1:1" x14ac:dyDescent="0.45">
      <c r="A1183" s="5"/>
    </row>
    <row r="1184" spans="1:1" x14ac:dyDescent="0.45">
      <c r="A1184" s="5"/>
    </row>
    <row r="1185" spans="1:1" x14ac:dyDescent="0.45">
      <c r="A1185" s="5"/>
    </row>
    <row r="1186" spans="1:1" x14ac:dyDescent="0.45">
      <c r="A1186" s="5"/>
    </row>
    <row r="1187" spans="1:1" x14ac:dyDescent="0.45">
      <c r="A1187" s="5"/>
    </row>
    <row r="1188" spans="1:1" x14ac:dyDescent="0.45">
      <c r="A1188" s="5"/>
    </row>
    <row r="1189" spans="1:1" x14ac:dyDescent="0.45">
      <c r="A1189" s="5"/>
    </row>
    <row r="1190" spans="1:1" x14ac:dyDescent="0.45">
      <c r="A1190" s="5"/>
    </row>
    <row r="1191" spans="1:1" x14ac:dyDescent="0.45">
      <c r="A1191" s="5"/>
    </row>
    <row r="1192" spans="1:1" x14ac:dyDescent="0.45">
      <c r="A1192" s="5"/>
    </row>
    <row r="1193" spans="1:1" x14ac:dyDescent="0.45">
      <c r="A1193" s="5"/>
    </row>
    <row r="1194" spans="1:1" x14ac:dyDescent="0.45">
      <c r="A1194" s="5"/>
    </row>
    <row r="1195" spans="1:1" x14ac:dyDescent="0.45">
      <c r="A1195" s="5"/>
    </row>
    <row r="1196" spans="1:1" x14ac:dyDescent="0.45">
      <c r="A1196" s="5"/>
    </row>
    <row r="1197" spans="1:1" x14ac:dyDescent="0.45">
      <c r="A1197" s="5"/>
    </row>
    <row r="1198" spans="1:1" x14ac:dyDescent="0.45">
      <c r="A1198" s="5"/>
    </row>
    <row r="1199" spans="1:1" x14ac:dyDescent="0.45">
      <c r="A1199" s="5"/>
    </row>
    <row r="1200" spans="1:1" x14ac:dyDescent="0.45">
      <c r="A1200" s="5"/>
    </row>
    <row r="1201" spans="1:1" x14ac:dyDescent="0.45">
      <c r="A1201" s="5"/>
    </row>
    <row r="1202" spans="1:1" x14ac:dyDescent="0.45">
      <c r="A1202" s="5"/>
    </row>
    <row r="1203" spans="1:1" x14ac:dyDescent="0.45">
      <c r="A1203" s="5"/>
    </row>
    <row r="1204" spans="1:1" x14ac:dyDescent="0.45">
      <c r="A1204" s="5"/>
    </row>
    <row r="1205" spans="1:1" x14ac:dyDescent="0.45">
      <c r="A1205" s="5"/>
    </row>
    <row r="1206" spans="1:1" x14ac:dyDescent="0.45">
      <c r="A1206" s="5"/>
    </row>
    <row r="1207" spans="1:1" x14ac:dyDescent="0.45">
      <c r="A1207" s="5"/>
    </row>
    <row r="1208" spans="1:1" x14ac:dyDescent="0.45">
      <c r="A1208" s="5"/>
    </row>
    <row r="1209" spans="1:1" x14ac:dyDescent="0.45">
      <c r="A1209" s="5"/>
    </row>
    <row r="1210" spans="1:1" x14ac:dyDescent="0.45">
      <c r="A1210" s="5"/>
    </row>
    <row r="1211" spans="1:1" x14ac:dyDescent="0.45">
      <c r="A1211" s="5"/>
    </row>
    <row r="1212" spans="1:1" x14ac:dyDescent="0.45">
      <c r="A1212" s="5"/>
    </row>
    <row r="1213" spans="1:1" x14ac:dyDescent="0.45">
      <c r="A1213" s="5"/>
    </row>
    <row r="1214" spans="1:1" x14ac:dyDescent="0.45">
      <c r="A1214" s="5"/>
    </row>
    <row r="1215" spans="1:1" x14ac:dyDescent="0.45">
      <c r="A1215" s="5"/>
    </row>
    <row r="1216" spans="1:1" x14ac:dyDescent="0.45">
      <c r="A1216" s="5"/>
    </row>
    <row r="1217" spans="1:1" x14ac:dyDescent="0.45">
      <c r="A1217" s="5"/>
    </row>
    <row r="1218" spans="1:1" x14ac:dyDescent="0.45">
      <c r="A1218" s="5"/>
    </row>
    <row r="1219" spans="1:1" x14ac:dyDescent="0.45">
      <c r="A1219" s="5"/>
    </row>
    <row r="1220" spans="1:1" x14ac:dyDescent="0.45">
      <c r="A1220" s="5"/>
    </row>
    <row r="1221" spans="1:1" x14ac:dyDescent="0.45">
      <c r="A1221" s="5"/>
    </row>
    <row r="1222" spans="1:1" x14ac:dyDescent="0.45">
      <c r="A1222" s="5"/>
    </row>
    <row r="1223" spans="1:1" x14ac:dyDescent="0.45">
      <c r="A1223" s="5"/>
    </row>
    <row r="1224" spans="1:1" x14ac:dyDescent="0.45">
      <c r="A1224" s="5"/>
    </row>
    <row r="1225" spans="1:1" x14ac:dyDescent="0.45">
      <c r="A1225" s="5"/>
    </row>
    <row r="1226" spans="1:1" x14ac:dyDescent="0.45">
      <c r="A1226" s="5"/>
    </row>
    <row r="1227" spans="1:1" x14ac:dyDescent="0.45">
      <c r="A1227" s="5"/>
    </row>
    <row r="1228" spans="1:1" x14ac:dyDescent="0.45">
      <c r="A1228" s="5"/>
    </row>
    <row r="1229" spans="1:1" x14ac:dyDescent="0.45">
      <c r="A1229" s="5"/>
    </row>
    <row r="1230" spans="1:1" x14ac:dyDescent="0.45">
      <c r="A1230" s="5"/>
    </row>
    <row r="1231" spans="1:1" x14ac:dyDescent="0.45">
      <c r="A1231" s="5"/>
    </row>
    <row r="1232" spans="1:1" x14ac:dyDescent="0.45">
      <c r="A1232" s="5"/>
    </row>
    <row r="1233" spans="1:1" x14ac:dyDescent="0.45">
      <c r="A1233" s="5"/>
    </row>
    <row r="1234" spans="1:1" x14ac:dyDescent="0.45">
      <c r="A1234" s="5"/>
    </row>
    <row r="1235" spans="1:1" x14ac:dyDescent="0.45">
      <c r="A1235" s="5"/>
    </row>
    <row r="1236" spans="1:1" x14ac:dyDescent="0.45">
      <c r="A1236" s="5"/>
    </row>
    <row r="1237" spans="1:1" x14ac:dyDescent="0.45">
      <c r="A1237" s="5"/>
    </row>
    <row r="1238" spans="1:1" x14ac:dyDescent="0.45">
      <c r="A1238" s="5"/>
    </row>
    <row r="1239" spans="1:1" x14ac:dyDescent="0.45">
      <c r="A1239" s="5"/>
    </row>
    <row r="1240" spans="1:1" x14ac:dyDescent="0.45">
      <c r="A1240" s="5"/>
    </row>
    <row r="1241" spans="1:1" x14ac:dyDescent="0.45">
      <c r="A1241" s="5"/>
    </row>
    <row r="1242" spans="1:1" x14ac:dyDescent="0.45">
      <c r="A1242" s="5"/>
    </row>
    <row r="1243" spans="1:1" x14ac:dyDescent="0.45">
      <c r="A1243" s="5"/>
    </row>
    <row r="1244" spans="1:1" x14ac:dyDescent="0.45">
      <c r="A1244" s="5"/>
    </row>
    <row r="1245" spans="1:1" x14ac:dyDescent="0.45">
      <c r="A1245" s="5"/>
    </row>
    <row r="1246" spans="1:1" x14ac:dyDescent="0.45">
      <c r="A1246" s="5"/>
    </row>
    <row r="1247" spans="1:1" x14ac:dyDescent="0.45">
      <c r="A1247" s="5"/>
    </row>
    <row r="1248" spans="1:1" x14ac:dyDescent="0.45">
      <c r="A1248" s="5"/>
    </row>
    <row r="1249" spans="1:1" x14ac:dyDescent="0.45">
      <c r="A1249" s="5"/>
    </row>
    <row r="1250" spans="1:1" x14ac:dyDescent="0.45">
      <c r="A1250" s="5"/>
    </row>
    <row r="1251" spans="1:1" x14ac:dyDescent="0.45">
      <c r="A1251" s="5"/>
    </row>
    <row r="1252" spans="1:1" x14ac:dyDescent="0.45">
      <c r="A1252" s="5"/>
    </row>
    <row r="1253" spans="1:1" x14ac:dyDescent="0.45">
      <c r="A1253" s="5"/>
    </row>
    <row r="1254" spans="1:1" x14ac:dyDescent="0.45">
      <c r="A1254" s="5"/>
    </row>
    <row r="1255" spans="1:1" x14ac:dyDescent="0.45">
      <c r="A1255" s="5"/>
    </row>
    <row r="1256" spans="1:1" x14ac:dyDescent="0.45">
      <c r="A1256" s="5"/>
    </row>
    <row r="1257" spans="1:1" x14ac:dyDescent="0.45">
      <c r="A1257" s="5"/>
    </row>
    <row r="1258" spans="1:1" x14ac:dyDescent="0.45">
      <c r="A1258" s="5"/>
    </row>
    <row r="1259" spans="1:1" x14ac:dyDescent="0.45">
      <c r="A1259" s="5"/>
    </row>
    <row r="1260" spans="1:1" x14ac:dyDescent="0.45">
      <c r="A1260" s="5"/>
    </row>
    <row r="1261" spans="1:1" x14ac:dyDescent="0.45">
      <c r="A1261" s="5"/>
    </row>
    <row r="1262" spans="1:1" x14ac:dyDescent="0.45">
      <c r="A1262" s="5"/>
    </row>
    <row r="1263" spans="1:1" x14ac:dyDescent="0.45">
      <c r="A1263" s="5"/>
    </row>
    <row r="1264" spans="1:1" x14ac:dyDescent="0.45">
      <c r="A1264" s="5"/>
    </row>
    <row r="1265" spans="1:1" x14ac:dyDescent="0.45">
      <c r="A1265" s="5"/>
    </row>
    <row r="1266" spans="1:1" x14ac:dyDescent="0.45">
      <c r="A1266" s="5"/>
    </row>
    <row r="1267" spans="1:1" x14ac:dyDescent="0.45">
      <c r="A1267" s="5"/>
    </row>
    <row r="1268" spans="1:1" x14ac:dyDescent="0.45">
      <c r="A1268" s="5"/>
    </row>
    <row r="1269" spans="1:1" x14ac:dyDescent="0.45">
      <c r="A1269" s="5"/>
    </row>
    <row r="1270" spans="1:1" x14ac:dyDescent="0.45">
      <c r="A1270" s="5"/>
    </row>
    <row r="1271" spans="1:1" x14ac:dyDescent="0.45">
      <c r="A1271" s="5"/>
    </row>
    <row r="1272" spans="1:1" x14ac:dyDescent="0.45">
      <c r="A1272" s="5"/>
    </row>
    <row r="1273" spans="1:1" x14ac:dyDescent="0.45">
      <c r="A1273" s="5"/>
    </row>
    <row r="1274" spans="1:1" x14ac:dyDescent="0.45">
      <c r="A1274" s="5"/>
    </row>
    <row r="1275" spans="1:1" x14ac:dyDescent="0.45">
      <c r="A1275" s="5"/>
    </row>
    <row r="1276" spans="1:1" x14ac:dyDescent="0.45">
      <c r="A1276" s="5"/>
    </row>
    <row r="1277" spans="1:1" x14ac:dyDescent="0.45">
      <c r="A1277" s="5"/>
    </row>
    <row r="1278" spans="1:1" x14ac:dyDescent="0.45">
      <c r="A1278" s="5"/>
    </row>
    <row r="1279" spans="1:1" x14ac:dyDescent="0.45">
      <c r="A1279" s="5"/>
    </row>
    <row r="1280" spans="1:1" x14ac:dyDescent="0.45">
      <c r="A1280" s="5"/>
    </row>
    <row r="1281" spans="1:1" x14ac:dyDescent="0.45">
      <c r="A1281" s="5"/>
    </row>
    <row r="1282" spans="1:1" x14ac:dyDescent="0.45">
      <c r="A1282" s="5"/>
    </row>
    <row r="1283" spans="1:1" x14ac:dyDescent="0.45">
      <c r="A1283" s="5"/>
    </row>
    <row r="1284" spans="1:1" x14ac:dyDescent="0.45">
      <c r="A1284" s="5"/>
    </row>
    <row r="1285" spans="1:1" x14ac:dyDescent="0.45">
      <c r="A1285" s="5"/>
    </row>
    <row r="1286" spans="1:1" x14ac:dyDescent="0.45">
      <c r="A1286" s="5"/>
    </row>
    <row r="1287" spans="1:1" x14ac:dyDescent="0.45">
      <c r="A1287" s="5"/>
    </row>
    <row r="1288" spans="1:1" x14ac:dyDescent="0.45">
      <c r="A1288" s="5"/>
    </row>
    <row r="1289" spans="1:1" x14ac:dyDescent="0.45">
      <c r="A1289" s="5"/>
    </row>
    <row r="1290" spans="1:1" x14ac:dyDescent="0.45">
      <c r="A1290" s="5"/>
    </row>
    <row r="1291" spans="1:1" x14ac:dyDescent="0.45">
      <c r="A1291" s="5"/>
    </row>
    <row r="1292" spans="1:1" x14ac:dyDescent="0.45">
      <c r="A1292" s="5"/>
    </row>
    <row r="1293" spans="1:1" x14ac:dyDescent="0.45">
      <c r="A1293" s="5"/>
    </row>
    <row r="1294" spans="1:1" x14ac:dyDescent="0.45">
      <c r="A1294" s="5"/>
    </row>
    <row r="1295" spans="1:1" x14ac:dyDescent="0.45">
      <c r="A1295" s="5"/>
    </row>
    <row r="1296" spans="1:1" x14ac:dyDescent="0.45">
      <c r="A1296" s="5"/>
    </row>
    <row r="1297" spans="1:1" x14ac:dyDescent="0.45">
      <c r="A1297" s="5"/>
    </row>
    <row r="1298" spans="1:1" x14ac:dyDescent="0.45">
      <c r="A1298" s="5"/>
    </row>
    <row r="1299" spans="1:1" x14ac:dyDescent="0.45">
      <c r="A1299" s="5"/>
    </row>
    <row r="1300" spans="1:1" x14ac:dyDescent="0.45">
      <c r="A1300" s="5"/>
    </row>
    <row r="1301" spans="1:1" x14ac:dyDescent="0.45">
      <c r="A1301" s="5"/>
    </row>
    <row r="1302" spans="1:1" x14ac:dyDescent="0.45">
      <c r="A1302" s="5"/>
    </row>
    <row r="1303" spans="1:1" x14ac:dyDescent="0.45">
      <c r="A1303" s="5"/>
    </row>
    <row r="1304" spans="1:1" x14ac:dyDescent="0.45">
      <c r="A1304" s="5"/>
    </row>
    <row r="1305" spans="1:1" x14ac:dyDescent="0.45">
      <c r="A1305" s="5"/>
    </row>
    <row r="1306" spans="1:1" x14ac:dyDescent="0.45">
      <c r="A1306" s="5"/>
    </row>
    <row r="1307" spans="1:1" x14ac:dyDescent="0.45">
      <c r="A1307" s="5"/>
    </row>
    <row r="1308" spans="1:1" x14ac:dyDescent="0.45">
      <c r="A1308" s="5"/>
    </row>
    <row r="1309" spans="1:1" x14ac:dyDescent="0.45">
      <c r="A1309" s="5"/>
    </row>
    <row r="1310" spans="1:1" x14ac:dyDescent="0.45">
      <c r="A1310" s="5"/>
    </row>
    <row r="1311" spans="1:1" x14ac:dyDescent="0.45">
      <c r="A1311" s="5"/>
    </row>
    <row r="1312" spans="1:1" x14ac:dyDescent="0.45">
      <c r="A1312" s="5"/>
    </row>
    <row r="1313" spans="1:1" x14ac:dyDescent="0.45">
      <c r="A1313" s="5"/>
    </row>
    <row r="1314" spans="1:1" x14ac:dyDescent="0.45">
      <c r="A1314" s="5"/>
    </row>
    <row r="1315" spans="1:1" x14ac:dyDescent="0.45">
      <c r="A1315" s="5"/>
    </row>
    <row r="1316" spans="1:1" x14ac:dyDescent="0.45">
      <c r="A1316" s="5"/>
    </row>
    <row r="1317" spans="1:1" x14ac:dyDescent="0.45">
      <c r="A1317" s="5"/>
    </row>
    <row r="1318" spans="1:1" x14ac:dyDescent="0.45">
      <c r="A1318" s="5"/>
    </row>
    <row r="1319" spans="1:1" x14ac:dyDescent="0.45">
      <c r="A1319" s="5"/>
    </row>
    <row r="1320" spans="1:1" x14ac:dyDescent="0.45">
      <c r="A1320" s="5"/>
    </row>
    <row r="1321" spans="1:1" x14ac:dyDescent="0.45">
      <c r="A1321" s="5"/>
    </row>
    <row r="1322" spans="1:1" x14ac:dyDescent="0.45">
      <c r="A1322" s="5"/>
    </row>
    <row r="1323" spans="1:1" x14ac:dyDescent="0.45">
      <c r="A1323" s="5"/>
    </row>
    <row r="1324" spans="1:1" x14ac:dyDescent="0.45">
      <c r="A1324" s="5"/>
    </row>
    <row r="1325" spans="1:1" x14ac:dyDescent="0.45">
      <c r="A1325" s="5"/>
    </row>
    <row r="1326" spans="1:1" x14ac:dyDescent="0.45">
      <c r="A1326" s="5"/>
    </row>
    <row r="1327" spans="1:1" x14ac:dyDescent="0.45">
      <c r="A1327" s="5"/>
    </row>
    <row r="1328" spans="1:1" x14ac:dyDescent="0.45">
      <c r="A1328" s="5"/>
    </row>
    <row r="1329" spans="1:1" x14ac:dyDescent="0.45">
      <c r="A1329" s="5"/>
    </row>
    <row r="1330" spans="1:1" x14ac:dyDescent="0.45">
      <c r="A1330" s="5"/>
    </row>
    <row r="1331" spans="1:1" x14ac:dyDescent="0.45">
      <c r="A1331" s="5"/>
    </row>
    <row r="1332" spans="1:1" x14ac:dyDescent="0.45">
      <c r="A1332" s="5"/>
    </row>
    <row r="1333" spans="1:1" x14ac:dyDescent="0.45">
      <c r="A1333" s="5"/>
    </row>
    <row r="1334" spans="1:1" x14ac:dyDescent="0.45">
      <c r="A1334" s="5"/>
    </row>
    <row r="1335" spans="1:1" x14ac:dyDescent="0.45">
      <c r="A1335" s="5"/>
    </row>
    <row r="1336" spans="1:1" x14ac:dyDescent="0.45">
      <c r="A1336" s="5"/>
    </row>
    <row r="1337" spans="1:1" x14ac:dyDescent="0.45">
      <c r="A1337" s="5"/>
    </row>
    <row r="1338" spans="1:1" x14ac:dyDescent="0.45">
      <c r="A1338" s="5"/>
    </row>
    <row r="1339" spans="1:1" x14ac:dyDescent="0.45">
      <c r="A1339" s="5"/>
    </row>
    <row r="1340" spans="1:1" x14ac:dyDescent="0.45">
      <c r="A1340" s="5"/>
    </row>
    <row r="1341" spans="1:1" x14ac:dyDescent="0.45">
      <c r="A1341" s="5"/>
    </row>
    <row r="1342" spans="1:1" x14ac:dyDescent="0.45">
      <c r="A1342" s="5"/>
    </row>
    <row r="1343" spans="1:1" x14ac:dyDescent="0.45">
      <c r="A1343" s="5"/>
    </row>
    <row r="1344" spans="1:1" x14ac:dyDescent="0.45">
      <c r="A1344" s="5"/>
    </row>
    <row r="1345" spans="1:1" x14ac:dyDescent="0.45">
      <c r="A1345" s="5"/>
    </row>
    <row r="1346" spans="1:1" x14ac:dyDescent="0.45">
      <c r="A1346" s="5"/>
    </row>
    <row r="1347" spans="1:1" x14ac:dyDescent="0.45">
      <c r="A1347" s="5"/>
    </row>
    <row r="1348" spans="1:1" x14ac:dyDescent="0.45">
      <c r="A1348" s="5"/>
    </row>
    <row r="1349" spans="1:1" x14ac:dyDescent="0.45">
      <c r="A1349" s="5"/>
    </row>
    <row r="1350" spans="1:1" x14ac:dyDescent="0.45">
      <c r="A1350" s="5"/>
    </row>
    <row r="1351" spans="1:1" x14ac:dyDescent="0.45">
      <c r="A1351" s="5"/>
    </row>
    <row r="1352" spans="1:1" x14ac:dyDescent="0.45">
      <c r="A1352" s="5"/>
    </row>
    <row r="1353" spans="1:1" x14ac:dyDescent="0.45">
      <c r="A1353" s="5"/>
    </row>
    <row r="1354" spans="1:1" x14ac:dyDescent="0.45">
      <c r="A1354" s="5"/>
    </row>
    <row r="1355" spans="1:1" x14ac:dyDescent="0.45">
      <c r="A1355" s="5"/>
    </row>
    <row r="1356" spans="1:1" x14ac:dyDescent="0.45">
      <c r="A1356" s="5"/>
    </row>
    <row r="1357" spans="1:1" x14ac:dyDescent="0.45">
      <c r="A1357" s="5"/>
    </row>
    <row r="1358" spans="1:1" x14ac:dyDescent="0.45">
      <c r="A1358" s="5"/>
    </row>
    <row r="1359" spans="1:1" x14ac:dyDescent="0.45">
      <c r="A1359" s="5"/>
    </row>
    <row r="1360" spans="1:1" x14ac:dyDescent="0.45">
      <c r="A1360" s="5"/>
    </row>
    <row r="1361" spans="1:1" x14ac:dyDescent="0.45">
      <c r="A1361" s="5"/>
    </row>
    <row r="1362" spans="1:1" x14ac:dyDescent="0.45">
      <c r="A1362" s="5"/>
    </row>
    <row r="1363" spans="1:1" x14ac:dyDescent="0.45">
      <c r="A1363" s="5"/>
    </row>
    <row r="1364" spans="1:1" x14ac:dyDescent="0.45">
      <c r="A1364" s="5"/>
    </row>
    <row r="1365" spans="1:1" x14ac:dyDescent="0.45">
      <c r="A1365" s="5"/>
    </row>
    <row r="1366" spans="1:1" x14ac:dyDescent="0.45">
      <c r="A1366" s="5"/>
    </row>
    <row r="1367" spans="1:1" x14ac:dyDescent="0.45">
      <c r="A1367" s="5"/>
    </row>
    <row r="1368" spans="1:1" x14ac:dyDescent="0.45">
      <c r="A1368" s="5"/>
    </row>
    <row r="1369" spans="1:1" x14ac:dyDescent="0.45">
      <c r="A1369" s="5"/>
    </row>
    <row r="1370" spans="1:1" x14ac:dyDescent="0.45">
      <c r="A1370" s="5"/>
    </row>
    <row r="1371" spans="1:1" x14ac:dyDescent="0.45">
      <c r="A1371" s="5"/>
    </row>
    <row r="1372" spans="1:1" x14ac:dyDescent="0.45">
      <c r="A1372" s="5"/>
    </row>
    <row r="1373" spans="1:1" x14ac:dyDescent="0.45">
      <c r="A1373" s="5"/>
    </row>
    <row r="1374" spans="1:1" x14ac:dyDescent="0.45">
      <c r="A1374" s="5"/>
    </row>
    <row r="1375" spans="1:1" x14ac:dyDescent="0.45">
      <c r="A1375" s="5"/>
    </row>
    <row r="1376" spans="1:1" x14ac:dyDescent="0.45">
      <c r="A1376" s="5"/>
    </row>
    <row r="1377" spans="1:1" x14ac:dyDescent="0.45">
      <c r="A1377" s="5"/>
    </row>
    <row r="1378" spans="1:1" x14ac:dyDescent="0.45">
      <c r="A1378" s="5"/>
    </row>
    <row r="1379" spans="1:1" x14ac:dyDescent="0.45">
      <c r="A1379" s="5"/>
    </row>
    <row r="1380" spans="1:1" x14ac:dyDescent="0.45">
      <c r="A1380" s="5"/>
    </row>
    <row r="1381" spans="1:1" x14ac:dyDescent="0.45">
      <c r="A1381" s="5"/>
    </row>
    <row r="1382" spans="1:1" x14ac:dyDescent="0.45">
      <c r="A1382" s="5"/>
    </row>
    <row r="1383" spans="1:1" x14ac:dyDescent="0.45">
      <c r="A1383" s="5"/>
    </row>
    <row r="1384" spans="1:1" x14ac:dyDescent="0.45">
      <c r="A1384" s="5"/>
    </row>
    <row r="1385" spans="1:1" x14ac:dyDescent="0.45">
      <c r="A1385" s="5"/>
    </row>
    <row r="1386" spans="1:1" x14ac:dyDescent="0.45">
      <c r="A1386" s="5"/>
    </row>
    <row r="1387" spans="1:1" x14ac:dyDescent="0.45">
      <c r="A1387" s="5"/>
    </row>
    <row r="1388" spans="1:1" x14ac:dyDescent="0.45">
      <c r="A1388" s="5"/>
    </row>
    <row r="1389" spans="1:1" x14ac:dyDescent="0.45">
      <c r="A1389" s="5"/>
    </row>
    <row r="1390" spans="1:1" x14ac:dyDescent="0.45">
      <c r="A1390" s="5"/>
    </row>
    <row r="1391" spans="1:1" x14ac:dyDescent="0.45">
      <c r="A1391" s="5"/>
    </row>
    <row r="1392" spans="1:1" x14ac:dyDescent="0.45">
      <c r="A1392" s="5"/>
    </row>
    <row r="1393" spans="1:1" x14ac:dyDescent="0.45">
      <c r="A1393" s="5"/>
    </row>
    <row r="1394" spans="1:1" x14ac:dyDescent="0.45">
      <c r="A1394" s="5"/>
    </row>
    <row r="1395" spans="1:1" x14ac:dyDescent="0.45">
      <c r="A1395" s="5"/>
    </row>
    <row r="1396" spans="1:1" x14ac:dyDescent="0.45">
      <c r="A1396" s="5"/>
    </row>
    <row r="1397" spans="1:1" x14ac:dyDescent="0.45">
      <c r="A1397" s="5"/>
    </row>
    <row r="1398" spans="1:1" x14ac:dyDescent="0.45">
      <c r="A1398" s="5"/>
    </row>
    <row r="1399" spans="1:1" x14ac:dyDescent="0.45">
      <c r="A1399" s="5"/>
    </row>
    <row r="1400" spans="1:1" x14ac:dyDescent="0.45">
      <c r="A1400" s="5"/>
    </row>
    <row r="1401" spans="1:1" x14ac:dyDescent="0.45">
      <c r="A1401" s="5"/>
    </row>
    <row r="1402" spans="1:1" x14ac:dyDescent="0.45">
      <c r="A1402" s="5"/>
    </row>
    <row r="1403" spans="1:1" x14ac:dyDescent="0.45">
      <c r="A1403" s="5"/>
    </row>
    <row r="1404" spans="1:1" x14ac:dyDescent="0.45">
      <c r="A1404" s="5"/>
    </row>
    <row r="1405" spans="1:1" x14ac:dyDescent="0.45">
      <c r="A1405" s="5"/>
    </row>
    <row r="1406" spans="1:1" x14ac:dyDescent="0.45">
      <c r="A1406" s="5"/>
    </row>
    <row r="1407" spans="1:1" x14ac:dyDescent="0.45">
      <c r="A1407" s="5"/>
    </row>
    <row r="1408" spans="1:1" x14ac:dyDescent="0.45">
      <c r="A1408" s="5"/>
    </row>
    <row r="1409" spans="1:1" x14ac:dyDescent="0.45">
      <c r="A1409" s="5"/>
    </row>
    <row r="1410" spans="1:1" x14ac:dyDescent="0.45">
      <c r="A1410" s="5"/>
    </row>
    <row r="1411" spans="1:1" x14ac:dyDescent="0.45">
      <c r="A1411" s="5"/>
    </row>
    <row r="1412" spans="1:1" x14ac:dyDescent="0.45">
      <c r="A1412" s="5"/>
    </row>
    <row r="1413" spans="1:1" x14ac:dyDescent="0.45">
      <c r="A1413" s="5"/>
    </row>
    <row r="1414" spans="1:1" x14ac:dyDescent="0.45">
      <c r="A1414" s="5"/>
    </row>
    <row r="1415" spans="1:1" x14ac:dyDescent="0.45">
      <c r="A1415" s="5"/>
    </row>
    <row r="1416" spans="1:1" x14ac:dyDescent="0.45">
      <c r="A1416" s="5"/>
    </row>
    <row r="1417" spans="1:1" x14ac:dyDescent="0.45">
      <c r="A1417" s="5"/>
    </row>
    <row r="1418" spans="1:1" x14ac:dyDescent="0.45">
      <c r="A1418" s="5"/>
    </row>
    <row r="1419" spans="1:1" x14ac:dyDescent="0.45">
      <c r="A1419" s="5"/>
    </row>
    <row r="1420" spans="1:1" x14ac:dyDescent="0.45">
      <c r="A1420" s="5"/>
    </row>
    <row r="1421" spans="1:1" x14ac:dyDescent="0.45">
      <c r="A1421" s="5"/>
    </row>
    <row r="1422" spans="1:1" x14ac:dyDescent="0.45">
      <c r="A1422" s="5"/>
    </row>
    <row r="1423" spans="1:1" x14ac:dyDescent="0.45">
      <c r="A1423" s="5"/>
    </row>
    <row r="1424" spans="1:1" x14ac:dyDescent="0.45">
      <c r="A1424" s="5"/>
    </row>
    <row r="1425" spans="1:1" x14ac:dyDescent="0.45">
      <c r="A1425" s="5"/>
    </row>
    <row r="1426" spans="1:1" x14ac:dyDescent="0.45">
      <c r="A1426" s="5"/>
    </row>
    <row r="1427" spans="1:1" x14ac:dyDescent="0.45">
      <c r="A1427" s="5"/>
    </row>
    <row r="1428" spans="1:1" x14ac:dyDescent="0.45">
      <c r="A1428" s="5"/>
    </row>
    <row r="1429" spans="1:1" x14ac:dyDescent="0.45">
      <c r="A1429" s="5"/>
    </row>
    <row r="1430" spans="1:1" x14ac:dyDescent="0.45">
      <c r="A1430" s="5"/>
    </row>
    <row r="1431" spans="1:1" x14ac:dyDescent="0.45">
      <c r="A1431" s="5"/>
    </row>
    <row r="1432" spans="1:1" x14ac:dyDescent="0.45">
      <c r="A1432" s="5"/>
    </row>
    <row r="1433" spans="1:1" x14ac:dyDescent="0.45">
      <c r="A1433" s="5"/>
    </row>
    <row r="1434" spans="1:1" x14ac:dyDescent="0.45">
      <c r="A1434" s="5"/>
    </row>
    <row r="1435" spans="1:1" x14ac:dyDescent="0.45">
      <c r="A1435" s="5"/>
    </row>
    <row r="1436" spans="1:1" x14ac:dyDescent="0.45">
      <c r="A1436" s="5"/>
    </row>
    <row r="1437" spans="1:1" x14ac:dyDescent="0.45">
      <c r="A1437" s="5"/>
    </row>
    <row r="1438" spans="1:1" x14ac:dyDescent="0.45">
      <c r="A1438" s="5"/>
    </row>
    <row r="1439" spans="1:1" x14ac:dyDescent="0.45">
      <c r="A1439" s="5"/>
    </row>
    <row r="1440" spans="1:1" x14ac:dyDescent="0.45">
      <c r="A1440" s="5"/>
    </row>
    <row r="1441" spans="1:1" x14ac:dyDescent="0.45">
      <c r="A1441" s="5"/>
    </row>
    <row r="1442" spans="1:1" x14ac:dyDescent="0.45">
      <c r="A1442" s="5"/>
    </row>
    <row r="1443" spans="1:1" x14ac:dyDescent="0.45">
      <c r="A1443" s="5"/>
    </row>
    <row r="1444" spans="1:1" x14ac:dyDescent="0.45">
      <c r="A1444" s="5"/>
    </row>
    <row r="1445" spans="1:1" x14ac:dyDescent="0.45">
      <c r="A1445" s="5"/>
    </row>
    <row r="1446" spans="1:1" x14ac:dyDescent="0.45">
      <c r="A1446" s="5"/>
    </row>
    <row r="1447" spans="1:1" x14ac:dyDescent="0.45">
      <c r="A1447" s="5"/>
    </row>
    <row r="1448" spans="1:1" x14ac:dyDescent="0.45">
      <c r="A1448" s="5"/>
    </row>
    <row r="1449" spans="1:1" x14ac:dyDescent="0.45">
      <c r="A1449" s="5"/>
    </row>
    <row r="1450" spans="1:1" x14ac:dyDescent="0.45">
      <c r="A1450" s="5"/>
    </row>
    <row r="1451" spans="1:1" x14ac:dyDescent="0.45">
      <c r="A1451" s="5"/>
    </row>
    <row r="1452" spans="1:1" x14ac:dyDescent="0.45">
      <c r="A1452" s="5"/>
    </row>
    <row r="1453" spans="1:1" x14ac:dyDescent="0.45">
      <c r="A1453" s="5"/>
    </row>
    <row r="1454" spans="1:1" x14ac:dyDescent="0.45">
      <c r="A1454" s="5"/>
    </row>
    <row r="1455" spans="1:1" x14ac:dyDescent="0.45">
      <c r="A1455" s="5"/>
    </row>
    <row r="1456" spans="1:1" x14ac:dyDescent="0.45">
      <c r="A1456" s="5"/>
    </row>
    <row r="1457" spans="1:1" x14ac:dyDescent="0.45">
      <c r="A1457" s="5"/>
    </row>
    <row r="1458" spans="1:1" x14ac:dyDescent="0.45">
      <c r="A1458" s="5"/>
    </row>
    <row r="1459" spans="1:1" x14ac:dyDescent="0.45">
      <c r="A1459" s="5"/>
    </row>
    <row r="1460" spans="1:1" x14ac:dyDescent="0.45">
      <c r="A1460" s="5"/>
    </row>
    <row r="1461" spans="1:1" x14ac:dyDescent="0.45">
      <c r="A1461" s="5"/>
    </row>
    <row r="1462" spans="1:1" x14ac:dyDescent="0.45">
      <c r="A1462" s="5"/>
    </row>
    <row r="1463" spans="1:1" x14ac:dyDescent="0.45">
      <c r="A1463" s="5"/>
    </row>
    <row r="1464" spans="1:1" x14ac:dyDescent="0.45">
      <c r="A1464" s="5"/>
    </row>
    <row r="1465" spans="1:1" x14ac:dyDescent="0.45">
      <c r="A1465" s="5"/>
    </row>
    <row r="1466" spans="1:1" x14ac:dyDescent="0.45">
      <c r="A1466" s="5"/>
    </row>
    <row r="1467" spans="1:1" x14ac:dyDescent="0.45">
      <c r="A1467" s="5"/>
    </row>
    <row r="1468" spans="1:1" x14ac:dyDescent="0.45">
      <c r="A1468" s="5"/>
    </row>
    <row r="1469" spans="1:1" x14ac:dyDescent="0.45">
      <c r="A1469" s="5"/>
    </row>
    <row r="1470" spans="1:1" x14ac:dyDescent="0.45">
      <c r="A1470" s="5"/>
    </row>
    <row r="1471" spans="1:1" x14ac:dyDescent="0.45">
      <c r="A1471" s="5"/>
    </row>
    <row r="1472" spans="1:1" x14ac:dyDescent="0.45">
      <c r="A1472" s="5"/>
    </row>
    <row r="1473" spans="1:1" x14ac:dyDescent="0.45">
      <c r="A1473" s="5"/>
    </row>
    <row r="1474" spans="1:1" x14ac:dyDescent="0.45">
      <c r="A1474" s="5"/>
    </row>
    <row r="1475" spans="1:1" x14ac:dyDescent="0.45">
      <c r="A1475" s="5"/>
    </row>
    <row r="1476" spans="1:1" x14ac:dyDescent="0.45">
      <c r="A1476" s="5"/>
    </row>
    <row r="1477" spans="1:1" x14ac:dyDescent="0.45">
      <c r="A1477" s="5"/>
    </row>
    <row r="1478" spans="1:1" x14ac:dyDescent="0.45">
      <c r="A1478" s="5"/>
    </row>
    <row r="1479" spans="1:1" x14ac:dyDescent="0.45">
      <c r="A1479" s="5"/>
    </row>
    <row r="1480" spans="1:1" x14ac:dyDescent="0.45">
      <c r="A1480" s="5"/>
    </row>
    <row r="1481" spans="1:1" x14ac:dyDescent="0.45">
      <c r="A1481" s="5"/>
    </row>
    <row r="1482" spans="1:1" x14ac:dyDescent="0.45">
      <c r="A1482" s="5"/>
    </row>
    <row r="1483" spans="1:1" x14ac:dyDescent="0.45">
      <c r="A1483" s="5"/>
    </row>
    <row r="1484" spans="1:1" x14ac:dyDescent="0.45">
      <c r="A1484" s="5"/>
    </row>
    <row r="1485" spans="1:1" x14ac:dyDescent="0.45">
      <c r="A1485" s="5"/>
    </row>
    <row r="1486" spans="1:1" x14ac:dyDescent="0.45">
      <c r="A1486" s="5"/>
    </row>
    <row r="1487" spans="1:1" x14ac:dyDescent="0.45">
      <c r="A1487" s="5"/>
    </row>
    <row r="1488" spans="1:1" x14ac:dyDescent="0.45">
      <c r="A1488" s="5"/>
    </row>
    <row r="1489" spans="1:1" x14ac:dyDescent="0.45">
      <c r="A1489" s="5"/>
    </row>
    <row r="1490" spans="1:1" x14ac:dyDescent="0.45">
      <c r="A1490" s="5"/>
    </row>
    <row r="1491" spans="1:1" x14ac:dyDescent="0.45">
      <c r="A1491" s="5"/>
    </row>
    <row r="1492" spans="1:1" x14ac:dyDescent="0.45">
      <c r="A1492" s="5"/>
    </row>
    <row r="1493" spans="1:1" x14ac:dyDescent="0.45">
      <c r="A1493" s="5"/>
    </row>
    <row r="1494" spans="1:1" x14ac:dyDescent="0.45">
      <c r="A1494" s="5"/>
    </row>
    <row r="1495" spans="1:1" x14ac:dyDescent="0.45">
      <c r="A1495" s="5"/>
    </row>
    <row r="1496" spans="1:1" x14ac:dyDescent="0.45">
      <c r="A1496" s="5"/>
    </row>
    <row r="1497" spans="1:1" x14ac:dyDescent="0.45">
      <c r="A1497" s="5"/>
    </row>
    <row r="1498" spans="1:1" x14ac:dyDescent="0.45">
      <c r="A1498" s="5"/>
    </row>
    <row r="1499" spans="1:1" x14ac:dyDescent="0.45">
      <c r="A1499" s="5"/>
    </row>
    <row r="1500" spans="1:1" x14ac:dyDescent="0.45">
      <c r="A1500" s="5"/>
    </row>
    <row r="1501" spans="1:1" x14ac:dyDescent="0.45">
      <c r="A1501" s="5"/>
    </row>
  </sheetData>
  <phoneticPr fontId="1"/>
  <conditionalFormatting sqref="E2:E22 E24:E1001">
    <cfRule type="expression" dxfId="7" priority="3">
      <formula>ISBLANK($E2)</formula>
    </cfRule>
  </conditionalFormatting>
  <conditionalFormatting sqref="K2:K82">
    <cfRule type="expression" dxfId="6" priority="4">
      <formula>ISBLANK($K2)</formula>
    </cfRule>
  </conditionalFormatting>
  <conditionalFormatting sqref="E1">
    <cfRule type="expression" dxfId="1" priority="1">
      <formula>ISBLANK($E1)</formula>
    </cfRule>
  </conditionalFormatting>
  <conditionalFormatting sqref="L1">
    <cfRule type="expression" dxfId="0" priority="2">
      <formula>ISBLANK($L1)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Word</vt:lpstr>
      <vt:lpstr>Idiom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 Y</dc:creator>
  <cp:lastModifiedBy>T Y</cp:lastModifiedBy>
  <dcterms:created xsi:type="dcterms:W3CDTF">2025-10-08T11:21:15Z</dcterms:created>
  <dcterms:modified xsi:type="dcterms:W3CDTF">2026-10-26T11:50:02Z</dcterms:modified>
</cp:coreProperties>
</file>